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6.xml" ContentType="application/vnd.openxmlformats-officedocument.drawing+xml"/>
  <Override PartName="/xl/comments9.xml" ContentType="application/vnd.openxmlformats-officedocument.spreadsheetml.comments+xml"/>
  <Override PartName="/xl/drawings/drawing7.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updateLinks="never" codeName="ThisWorkbook"/>
  <mc:AlternateContent xmlns:mc="http://schemas.openxmlformats.org/markup-compatibility/2006">
    <mc:Choice Requires="x15">
      <x15ac:absPath xmlns:x15ac="http://schemas.microsoft.com/office/spreadsheetml/2010/11/ac" url="P:\Prod\INS\RS Kommun\Aktuell\2 Designa och planera\Blankettexempel\"/>
    </mc:Choice>
  </mc:AlternateContent>
  <xr:revisionPtr revIDLastSave="0" documentId="13_ncr:1_{8032B1D7-9517-460B-8D0D-2484A28BEE76}" xr6:coauthVersionLast="47" xr6:coauthVersionMax="47" xr10:uidLastSave="{00000000-0000-0000-0000-000000000000}"/>
  <bookViews>
    <workbookView xWindow="780" yWindow="780" windowWidth="28905" windowHeight="12525" tabRatio="806" activeTab="2" xr2:uid="{00000000-000D-0000-FFFF-FFFF00000000}"/>
  </bookViews>
  <sheets>
    <sheet name="Information" sheetId="2" r:id="rId1"/>
    <sheet name="RR" sheetId="17" r:id="rId2"/>
    <sheet name="BR" sheetId="4" r:id="rId3"/>
    <sheet name="Verks int o kostn" sheetId="19" r:id="rId4"/>
    <sheet name="Skatter, bidrag o fin poster" sheetId="20" r:id="rId5"/>
    <sheet name="Investeringar" sheetId="7" r:id="rId6"/>
    <sheet name="Drift" sheetId="8" r:id="rId7"/>
    <sheet name="Motpart" sheetId="9" r:id="rId8"/>
    <sheet name="Pedagogisk verksamhet" sheetId="10" r:id="rId9"/>
    <sheet name="Äldre o personer funktionsn" sheetId="11" r:id="rId10"/>
    <sheet name="IFO" sheetId="12" r:id="rId11"/>
    <sheet name="Kontrollblad" sheetId="14" r:id="rId12"/>
    <sheet name="Nyckeltal" sheetId="15" state="hidden" r:id="rId13"/>
    <sheet name="Felkontroll" sheetId="16" state="hidden" r:id="rId14"/>
  </sheets>
  <definedNames>
    <definedName name="_GoBack" localSheetId="4">'Skatter, bidrag o fin poster'!$C$9</definedName>
    <definedName name="_HSL1">#REF!</definedName>
    <definedName name="_HSL2">#REF!</definedName>
    <definedName name="Affärsverksamhet">Drift!$Z$91</definedName>
    <definedName name="Balanskravsutredningen">RR!$G$30</definedName>
    <definedName name="Barn_o_ungdomsvård">IFO!$P$22</definedName>
    <definedName name="Barnomsorg">Drift!$Z$44</definedName>
    <definedName name="Bidrag_o_transfer.">Motpart!$N$47</definedName>
    <definedName name="Block_1">Drift!$Z$11</definedName>
    <definedName name="Block_2">Drift!$Z$18</definedName>
    <definedName name="Block_3">Drift!$Z$31</definedName>
    <definedName name="Block_6">Drift!$Z$86</definedName>
    <definedName name="BR">BR!$A$88</definedName>
    <definedName name="Datum">"2015-10-16"</definedName>
    <definedName name="Datumföre">"2016-10-17"</definedName>
    <definedName name="Drift">Drift!$A$117</definedName>
    <definedName name="EKchef">Information!$B$16</definedName>
    <definedName name="Ekcheftel">Information!$C$16</definedName>
    <definedName name="Epost1RS">Information!$D$14</definedName>
    <definedName name="Epost2RS">Information!$D$15</definedName>
    <definedName name="Epostaldre">Information!$D$31</definedName>
    <definedName name="EpostAO">Information!$D$32</definedName>
    <definedName name="EpostEkchef">Information!$D$16</definedName>
    <definedName name="Epostforskola">Information!$D$22</definedName>
    <definedName name="Epostgrund">Information!$D$23</definedName>
    <definedName name="Epostgymn">Information!$D$24</definedName>
    <definedName name="Eposthandik">Information!$D$33</definedName>
    <definedName name="Epostifo">Information!$D$34</definedName>
    <definedName name="EpostPV">Information!$D$21</definedName>
    <definedName name="epostpvchef">Information!$D$26</definedName>
    <definedName name="epostvochef">Information!$D$35</definedName>
    <definedName name="Epostvux">Information!$D$25</definedName>
    <definedName name="Extraordinära_RR">RR!$G$17</definedName>
    <definedName name="Familjerätt">IFO!$P$33</definedName>
    <definedName name="Fritidshem">'Pedagogisk verksamhet'!$R$17</definedName>
    <definedName name="Funktionsnedsättning">'Äldre o personer funktionsn'!$T$22</definedName>
    <definedName name="Förskola">'Pedagogisk verksamhet'!$R$9</definedName>
    <definedName name="Förskoleklass">'Pedagogisk verksamhet'!$R$25</definedName>
    <definedName name="Förändring_anläggningstillgångar">Investeringar!$I$16</definedName>
    <definedName name="Grundskola">'Pedagogisk verksamhet'!$R$32</definedName>
    <definedName name="Grundsärskola">'Pedagogisk verksamhet'!$R$45</definedName>
    <definedName name="Grundvux">'Pedagogisk verksamhet'!$R$87</definedName>
    <definedName name="Gymnasieskola">'Pedagogisk verksamhet'!$R$59</definedName>
    <definedName name="Gymnasiesärskola">'Pedagogisk verksamhet'!$R$73</definedName>
    <definedName name="Gymnvux">'Pedagogisk verksamhet'!$R$96</definedName>
    <definedName name="inv19_64">1</definedName>
    <definedName name="inv7_15">Information!$B$5</definedName>
    <definedName name="invanare">Information!$B$4</definedName>
    <definedName name="Investeringar">Investeringar!$G$68</definedName>
    <definedName name="Invånare">Information!$B$4</definedName>
    <definedName name="Jämförelsestörande_RR">RR!$G$23</definedName>
    <definedName name="Kontaktpers1RS">Information!$B$14</definedName>
    <definedName name="Kontaktpers2RS">Information!$B$15</definedName>
    <definedName name="Kontaktpersaldre">Information!$B$32</definedName>
    <definedName name="KontaktpersAO">Information!$B$31</definedName>
    <definedName name="Kontaktpersforskola">Information!$B$22</definedName>
    <definedName name="Kontaktpersgrund">Information!$B$23</definedName>
    <definedName name="Kontaktpersgymn">Information!$B$24</definedName>
    <definedName name="Kontaktpershandik">Information!$B$33</definedName>
    <definedName name="Kontaktpersifo">Information!$B$34</definedName>
    <definedName name="KontaktpersPV">Information!$B$21</definedName>
    <definedName name="Kontaktpersvux">Information!$B$25</definedName>
    <definedName name="Kontakttel1RS">Information!$C$14</definedName>
    <definedName name="Kontakttel2RS">Information!$C$15</definedName>
    <definedName name="Kontakttelaldre">Information!$C$32</definedName>
    <definedName name="KontakttelAO">Information!$C$31</definedName>
    <definedName name="Kontakttelforskola">Information!$C$22</definedName>
    <definedName name="Kontakttelgrund">Information!$C$23</definedName>
    <definedName name="Kontakttelgymn">Information!$C$24</definedName>
    <definedName name="Kontakttelhandik">Information!$C$33</definedName>
    <definedName name="Kontakttelifo">Information!$C$34</definedName>
    <definedName name="Kontakttelpv">Information!$C$21</definedName>
    <definedName name="Kontakttelpvchef">Information!$C$26</definedName>
    <definedName name="Kontakttelvux">Information!$C$25</definedName>
    <definedName name="Kontakttevochef">Information!$C$35</definedName>
    <definedName name="Kontrollblad_1">Kontrollblad!$A$15</definedName>
    <definedName name="Kontrollblad_10">Kontrollblad!$A$104</definedName>
    <definedName name="Kontrollblad_11">Kontrollblad!$A$113</definedName>
    <definedName name="Kontrollblad_12">Kontrollblad!$A$121</definedName>
    <definedName name="Kontrollblad_13">Kontrollblad!$A$129</definedName>
    <definedName name="Kontrollblad_14">Kontrollblad!$A$137</definedName>
    <definedName name="Kontrollblad_15">Kontrollblad!$A$146</definedName>
    <definedName name="Kontrollblad_16">Kontrollblad!$A$154</definedName>
    <definedName name="Kontrollblad_17">Kontrollblad!$A$163</definedName>
    <definedName name="Kontrollblad_18">Kontrollblad!$A$171</definedName>
    <definedName name="Kontrollblad_19">Kontrollblad!$A$184</definedName>
    <definedName name="Kontrollblad_2">Kontrollblad!$A$26</definedName>
    <definedName name="Kontrollblad_3">Kontrollblad!$A$34</definedName>
    <definedName name="Kontrollblad_4">Kontrollblad!$A$51</definedName>
    <definedName name="Kontrollblad_5">Kontrollblad!$A$59</definedName>
    <definedName name="Kontrollblad_6">Kontrollblad!$A$67</definedName>
    <definedName name="Kontrollblad_7">Kontrollblad!$A$75</definedName>
    <definedName name="Kontrollblad_8">Kontrollblad!$A$83</definedName>
    <definedName name="Kontrollblad_9">Kontrollblad!$A$96</definedName>
    <definedName name="Köp_huvudvht">Motpart!$C$47</definedName>
    <definedName name="LSS">'Äldre o personer funktionsn'!$T$32</definedName>
    <definedName name="Pvchef">Information!$B$26</definedName>
    <definedName name="Skatter_bidrag_finpost">'Skatter, bidrag o fin poster'!$H$35</definedName>
    <definedName name="solver_cvg" localSheetId="5" hidden="1">0.0001</definedName>
    <definedName name="solver_drv" localSheetId="5" hidden="1">1</definedName>
    <definedName name="solver_est" localSheetId="5" hidden="1">1</definedName>
    <definedName name="solver_itr" localSheetId="5" hidden="1">100</definedName>
    <definedName name="solver_lin" localSheetId="5" hidden="1">2</definedName>
    <definedName name="solver_neg" localSheetId="5" hidden="1">2</definedName>
    <definedName name="solver_num" localSheetId="5" hidden="1">0</definedName>
    <definedName name="solver_nwt" localSheetId="5" hidden="1">1</definedName>
    <definedName name="solver_opt" localSheetId="5" hidden="1">Investeringar!$D$22</definedName>
    <definedName name="solver_pre" localSheetId="5" hidden="1">0.000001</definedName>
    <definedName name="solver_scl" localSheetId="5" hidden="1">2</definedName>
    <definedName name="solver_sho" localSheetId="5" hidden="1">2</definedName>
    <definedName name="solver_tim" localSheetId="5" hidden="1">100</definedName>
    <definedName name="solver_tol" localSheetId="5" hidden="1">0.05</definedName>
    <definedName name="solver_typ" localSheetId="5" hidden="1">1</definedName>
    <definedName name="solver_val" localSheetId="5" hidden="1">0</definedName>
    <definedName name="Spec_intäkter">Motpart!$Y$47</definedName>
    <definedName name="Spec_VoO">'Äldre o personer funktionsn'!$R$46</definedName>
    <definedName name="Tillägg_1_Invest">Investeringar!$G$81</definedName>
    <definedName name="Tillägg_2_Invest">Investeringar!$G$97</definedName>
    <definedName name="Utbildning">Drift!$Z$52</definedName>
    <definedName name="_xlnm.Print_Area" localSheetId="6">Drift!$A$1:$AH$126</definedName>
    <definedName name="_xlnm.Print_Area" localSheetId="0">Information!$A$1:$E$50</definedName>
    <definedName name="_xlnm.Print_Area" localSheetId="5">Investeringar!$A$1:$M$104</definedName>
    <definedName name="_xlnm.Print_Area" localSheetId="7">Motpart!$A$1:$AD$51</definedName>
    <definedName name="_xlnm.Print_Area" localSheetId="1">RR!$A$1:$K$56</definedName>
    <definedName name="_xlnm.Print_Area" localSheetId="9">'Äldre o personer funktionsn'!$A$1:$U$59</definedName>
    <definedName name="_xlnm.Print_Titles" localSheetId="6">Drift!$A:$B,Drift!$1:$10</definedName>
    <definedName name="_xlnm.Print_Titles" localSheetId="7">Motpart!$A:$B,Motpart!$1:$8</definedName>
    <definedName name="Vht_int">'Verks int o kostn'!$F$35</definedName>
    <definedName name="Vht_kostn">'Verks int o kostn'!$F$77</definedName>
    <definedName name="VOchef">Information!$B$35</definedName>
    <definedName name="Vuxna_missb.">IFO!$P$13</definedName>
    <definedName name="Z_27C9E95B_0E2B_454F_B637_1CECC9579A10_.wvu.Cols" localSheetId="6" hidden="1">Drift!$AG:$IV</definedName>
    <definedName name="Z_27C9E95B_0E2B_454F_B637_1CECC9579A10_.wvu.Cols" localSheetId="10" hidden="1">IFO!#REF!</definedName>
    <definedName name="Z_27C9E95B_0E2B_454F_B637_1CECC9579A10_.wvu.Cols" localSheetId="0" hidden="1">Information!$F:$IV</definedName>
    <definedName name="Z_27C9E95B_0E2B_454F_B637_1CECC9579A10_.wvu.Cols" localSheetId="5" hidden="1">Investeringar!$M:$IV</definedName>
    <definedName name="Z_27C9E95B_0E2B_454F_B637_1CECC9579A10_.wvu.Cols" localSheetId="7" hidden="1">Motpart!$AE:$IV</definedName>
    <definedName name="Z_27C9E95B_0E2B_454F_B637_1CECC9579A10_.wvu.Cols" localSheetId="8" hidden="1">'Pedagogisk verksamhet'!$H:$H,'Pedagogisk verksamhet'!$Y:$IV</definedName>
    <definedName name="Z_27C9E95B_0E2B_454F_B637_1CECC9579A10_.wvu.Cols" localSheetId="1" hidden="1">RR!$L:$IV</definedName>
    <definedName name="Z_27C9E95B_0E2B_454F_B637_1CECC9579A10_.wvu.Cols" localSheetId="4" hidden="1">'Skatter, bidrag o fin poster'!$U:$IV</definedName>
    <definedName name="Z_27C9E95B_0E2B_454F_B637_1CECC9579A10_.wvu.Cols" localSheetId="9" hidden="1">'Äldre o personer funktionsn'!$V:$IV</definedName>
    <definedName name="Z_27C9E95B_0E2B_454F_B637_1CECC9579A10_.wvu.Rows" localSheetId="2" hidden="1">BR!$94:$65536,BR!#REF!,BR!$89:$89</definedName>
    <definedName name="Z_27C9E95B_0E2B_454F_B637_1CECC9579A10_.wvu.Rows" localSheetId="6" hidden="1">Drift!$303:$65536,Drift!$127:$302</definedName>
    <definedName name="Z_27C9E95B_0E2B_454F_B637_1CECC9579A10_.wvu.Rows" localSheetId="10" hidden="1">IFO!$39:$65536,IFO!$38:$38</definedName>
    <definedName name="Z_27C9E95B_0E2B_454F_B637_1CECC9579A10_.wvu.Rows" localSheetId="0" hidden="1">Information!$51:$65536</definedName>
    <definedName name="Z_27C9E95B_0E2B_454F_B637_1CECC9579A10_.wvu.Rows" localSheetId="5" hidden="1">Investeringar!$118:$65536,Investeringar!$105:$114</definedName>
    <definedName name="Z_27C9E95B_0E2B_454F_B637_1CECC9579A10_.wvu.Rows" localSheetId="7" hidden="1">Motpart!$53:$65536</definedName>
    <definedName name="Z_27C9E95B_0E2B_454F_B637_1CECC9579A10_.wvu.Rows" localSheetId="8" hidden="1">'Pedagogisk verksamhet'!$105:$65536</definedName>
    <definedName name="Z_27C9E95B_0E2B_454F_B637_1CECC9579A10_.wvu.Rows" localSheetId="1" hidden="1">RR!$66:$65544,RR!$58:$58</definedName>
    <definedName name="Z_27C9E95B_0E2B_454F_B637_1CECC9579A10_.wvu.Rows" localSheetId="4" hidden="1">'Skatter, bidrag o fin poster'!$45:$65536,'Skatter, bidrag o fin poster'!$44:$44</definedName>
    <definedName name="Z_27C9E95B_0E2B_454F_B637_1CECC9579A10_.wvu.Rows" localSheetId="3" hidden="1">'Verks int o kostn'!#REF!,'Verks int o kostn'!#REF!</definedName>
    <definedName name="Z_27C9E95B_0E2B_454F_B637_1CECC9579A10_.wvu.Rows" localSheetId="9" hidden="1">'Äldre o personer funktionsn'!$61:$65536</definedName>
    <definedName name="Z_97D6DB71_3F4C_4C5F_8C5B_51E3EBF78932_.wvu.Cols" localSheetId="2" hidden="1">BR!#REF!</definedName>
    <definedName name="Z_97D6DB71_3F4C_4C5F_8C5B_51E3EBF78932_.wvu.Cols" localSheetId="6" hidden="1">Drift!#REF!</definedName>
    <definedName name="Z_97D6DB71_3F4C_4C5F_8C5B_51E3EBF78932_.wvu.Cols" localSheetId="10" hidden="1">IFO!#REF!</definedName>
    <definedName name="Z_97D6DB71_3F4C_4C5F_8C5B_51E3EBF78932_.wvu.Cols" localSheetId="0" hidden="1">Information!#REF!</definedName>
    <definedName name="Z_97D6DB71_3F4C_4C5F_8C5B_51E3EBF78932_.wvu.Cols" localSheetId="5" hidden="1">Investeringar!#REF!</definedName>
    <definedName name="Z_97D6DB71_3F4C_4C5F_8C5B_51E3EBF78932_.wvu.Cols" localSheetId="7" hidden="1">Motpart!#REF!</definedName>
    <definedName name="Z_97D6DB71_3F4C_4C5F_8C5B_51E3EBF78932_.wvu.Cols" localSheetId="1" hidden="1">RR!#REF!</definedName>
    <definedName name="Z_97D6DB71_3F4C_4C5F_8C5B_51E3EBF78932_.wvu.Cols" localSheetId="4" hidden="1">'Skatter, bidrag o fin poster'!#REF!</definedName>
    <definedName name="Z_97D6DB71_3F4C_4C5F_8C5B_51E3EBF78932_.wvu.Cols" localSheetId="3" hidden="1">'Verks int o kostn'!#REF!</definedName>
    <definedName name="Z_97D6DB71_3F4C_4C5F_8C5B_51E3EBF78932_.wvu.Cols" localSheetId="9" hidden="1">'Äldre o personer funktionsn'!#REF!</definedName>
    <definedName name="Z_97D6DB71_3F4C_4C5F_8C5B_51E3EBF78932_.wvu.PrintTitles" localSheetId="6" hidden="1">Drift!$A:$B,Drift!$1:$10</definedName>
    <definedName name="Z_97D6DB71_3F4C_4C5F_8C5B_51E3EBF78932_.wvu.Rows" localSheetId="2" hidden="1">BR!#REF!,BR!#REF!,BR!$89:$89</definedName>
    <definedName name="Z_97D6DB71_3F4C_4C5F_8C5B_51E3EBF78932_.wvu.Rows" localSheetId="6" hidden="1">Drift!#REF!,Drift!$127:$302</definedName>
    <definedName name="Z_97D6DB71_3F4C_4C5F_8C5B_51E3EBF78932_.wvu.Rows" localSheetId="10" hidden="1">IFO!#REF!,IFO!$38:$38</definedName>
    <definedName name="Z_97D6DB71_3F4C_4C5F_8C5B_51E3EBF78932_.wvu.Rows" localSheetId="0" hidden="1">Information!#REF!</definedName>
    <definedName name="Z_97D6DB71_3F4C_4C5F_8C5B_51E3EBF78932_.wvu.Rows" localSheetId="5" hidden="1">Investeringar!#REF!,Investeringar!$105:$114</definedName>
    <definedName name="Z_97D6DB71_3F4C_4C5F_8C5B_51E3EBF78932_.wvu.Rows" localSheetId="7" hidden="1">Motpart!#REF!</definedName>
    <definedName name="Z_97D6DB71_3F4C_4C5F_8C5B_51E3EBF78932_.wvu.Rows" localSheetId="8" hidden="1">'Pedagogisk verksamhet'!#REF!</definedName>
    <definedName name="Z_97D6DB71_3F4C_4C5F_8C5B_51E3EBF78932_.wvu.Rows" localSheetId="1" hidden="1">RR!#REF!,RR!$58:$58</definedName>
    <definedName name="Z_97D6DB71_3F4C_4C5F_8C5B_51E3EBF78932_.wvu.Rows" localSheetId="4" hidden="1">'Skatter, bidrag o fin poster'!#REF!,'Skatter, bidrag o fin poster'!$44:$44</definedName>
    <definedName name="Z_97D6DB71_3F4C_4C5F_8C5B_51E3EBF78932_.wvu.Rows" localSheetId="3" hidden="1">'Verks int o kostn'!#REF!</definedName>
    <definedName name="Z_97D6DB71_3F4C_4C5F_8C5B_51E3EBF78932_.wvu.Rows" localSheetId="9" hidden="1">'Äldre o personer funktionsn'!#REF!</definedName>
    <definedName name="Z_99FBDEB7_DD08_4F57_81F4_3C180403E153_.wvu.Cols" localSheetId="2" hidden="1">BR!#REF!</definedName>
    <definedName name="Z_99FBDEB7_DD08_4F57_81F4_3C180403E153_.wvu.Cols" localSheetId="6" hidden="1">Drift!#REF!</definedName>
    <definedName name="Z_99FBDEB7_DD08_4F57_81F4_3C180403E153_.wvu.Cols" localSheetId="10" hidden="1">IFO!#REF!</definedName>
    <definedName name="Z_99FBDEB7_DD08_4F57_81F4_3C180403E153_.wvu.Cols" localSheetId="0" hidden="1">Information!#REF!</definedName>
    <definedName name="Z_99FBDEB7_DD08_4F57_81F4_3C180403E153_.wvu.Cols" localSheetId="5" hidden="1">Investeringar!#REF!</definedName>
    <definedName name="Z_99FBDEB7_DD08_4F57_81F4_3C180403E153_.wvu.Cols" localSheetId="7" hidden="1">Motpart!#REF!</definedName>
    <definedName name="Z_99FBDEB7_DD08_4F57_81F4_3C180403E153_.wvu.Cols" localSheetId="1" hidden="1">RR!#REF!</definedName>
    <definedName name="Z_99FBDEB7_DD08_4F57_81F4_3C180403E153_.wvu.Cols" localSheetId="4" hidden="1">'Skatter, bidrag o fin poster'!#REF!</definedName>
    <definedName name="Z_99FBDEB7_DD08_4F57_81F4_3C180403E153_.wvu.Cols" localSheetId="3" hidden="1">'Verks int o kostn'!#REF!</definedName>
    <definedName name="Z_99FBDEB7_DD08_4F57_81F4_3C180403E153_.wvu.Cols" localSheetId="9" hidden="1">'Äldre o personer funktionsn'!#REF!</definedName>
    <definedName name="Z_99FBDEB7_DD08_4F57_81F4_3C180403E153_.wvu.Rows" localSheetId="2" hidden="1">BR!#REF!,BR!#REF!,BR!$89:$89</definedName>
    <definedName name="Z_99FBDEB7_DD08_4F57_81F4_3C180403E153_.wvu.Rows" localSheetId="6" hidden="1">Drift!#REF!,Drift!$127:$302</definedName>
    <definedName name="Z_99FBDEB7_DD08_4F57_81F4_3C180403E153_.wvu.Rows" localSheetId="10" hidden="1">IFO!#REF!,IFO!$38:$38</definedName>
    <definedName name="Z_99FBDEB7_DD08_4F57_81F4_3C180403E153_.wvu.Rows" localSheetId="0" hidden="1">Information!#REF!</definedName>
    <definedName name="Z_99FBDEB7_DD08_4F57_81F4_3C180403E153_.wvu.Rows" localSheetId="5" hidden="1">Investeringar!#REF!,Investeringar!$105:$114</definedName>
    <definedName name="Z_99FBDEB7_DD08_4F57_81F4_3C180403E153_.wvu.Rows" localSheetId="7" hidden="1">Motpart!#REF!</definedName>
    <definedName name="Z_99FBDEB7_DD08_4F57_81F4_3C180403E153_.wvu.Rows" localSheetId="8" hidden="1">'Pedagogisk verksamhet'!#REF!</definedName>
    <definedName name="Z_99FBDEB7_DD08_4F57_81F4_3C180403E153_.wvu.Rows" localSheetId="1" hidden="1">RR!#REF!,RR!$58:$58</definedName>
    <definedName name="Z_99FBDEB7_DD08_4F57_81F4_3C180403E153_.wvu.Rows" localSheetId="4" hidden="1">'Skatter, bidrag o fin poster'!#REF!,'Skatter, bidrag o fin poster'!$44:$44</definedName>
    <definedName name="Z_99FBDEB7_DD08_4F57_81F4_3C180403E153_.wvu.Rows" localSheetId="3" hidden="1">'Verks int o kostn'!#REF!</definedName>
    <definedName name="Z_99FBDEB7_DD08_4F57_81F4_3C180403E153_.wvu.Rows" localSheetId="9" hidden="1">'Äldre o personer funktionsn'!#REF!</definedName>
    <definedName name="Z_FA98FB86_76DB_4A0E_BD94_632DC6B7BC81_.wvu.Cols" localSheetId="6" hidden="1">Drift!$AG:$IV</definedName>
    <definedName name="Z_FA98FB86_76DB_4A0E_BD94_632DC6B7BC81_.wvu.Cols" localSheetId="10" hidden="1">IFO!#REF!</definedName>
    <definedName name="Z_FA98FB86_76DB_4A0E_BD94_632DC6B7BC81_.wvu.Cols" localSheetId="0" hidden="1">Information!$F:$IV</definedName>
    <definedName name="Z_FA98FB86_76DB_4A0E_BD94_632DC6B7BC81_.wvu.Cols" localSheetId="5" hidden="1">Investeringar!$M:$IV</definedName>
    <definedName name="Z_FA98FB86_76DB_4A0E_BD94_632DC6B7BC81_.wvu.Cols" localSheetId="7" hidden="1">Motpart!$AE:$IV</definedName>
    <definedName name="Z_FA98FB86_76DB_4A0E_BD94_632DC6B7BC81_.wvu.Cols" localSheetId="8" hidden="1">'Pedagogisk verksamhet'!$H:$H,'Pedagogisk verksamhet'!$Y:$IV</definedName>
    <definedName name="Z_FA98FB86_76DB_4A0E_BD94_632DC6B7BC81_.wvu.Cols" localSheetId="1" hidden="1">RR!$L:$IV</definedName>
    <definedName name="Z_FA98FB86_76DB_4A0E_BD94_632DC6B7BC81_.wvu.Cols" localSheetId="4" hidden="1">'Skatter, bidrag o fin poster'!$U:$IV</definedName>
    <definedName name="Z_FA98FB86_76DB_4A0E_BD94_632DC6B7BC81_.wvu.Cols" localSheetId="9" hidden="1">'Äldre o personer funktionsn'!$V:$IV</definedName>
    <definedName name="Z_FA98FB86_76DB_4A0E_BD94_632DC6B7BC81_.wvu.Rows" localSheetId="2" hidden="1">BR!$94:$65536,BR!#REF!,BR!$89:$89</definedName>
    <definedName name="Z_FA98FB86_76DB_4A0E_BD94_632DC6B7BC81_.wvu.Rows" localSheetId="6" hidden="1">Drift!$303:$65536,Drift!$127:$302</definedName>
    <definedName name="Z_FA98FB86_76DB_4A0E_BD94_632DC6B7BC81_.wvu.Rows" localSheetId="10" hidden="1">IFO!$39:$65536,IFO!$38:$38</definedName>
    <definedName name="Z_FA98FB86_76DB_4A0E_BD94_632DC6B7BC81_.wvu.Rows" localSheetId="0" hidden="1">Information!$51:$65536</definedName>
    <definedName name="Z_FA98FB86_76DB_4A0E_BD94_632DC6B7BC81_.wvu.Rows" localSheetId="5" hidden="1">Investeringar!$118:$65536,Investeringar!$105:$114</definedName>
    <definedName name="Z_FA98FB86_76DB_4A0E_BD94_632DC6B7BC81_.wvu.Rows" localSheetId="7" hidden="1">Motpart!$53:$65536</definedName>
    <definedName name="Z_FA98FB86_76DB_4A0E_BD94_632DC6B7BC81_.wvu.Rows" localSheetId="8" hidden="1">'Pedagogisk verksamhet'!$105:$65536</definedName>
    <definedName name="Z_FA98FB86_76DB_4A0E_BD94_632DC6B7BC81_.wvu.Rows" localSheetId="1" hidden="1">RR!$66:$65544,RR!$58:$58</definedName>
    <definedName name="Z_FA98FB86_76DB_4A0E_BD94_632DC6B7BC81_.wvu.Rows" localSheetId="4" hidden="1">'Skatter, bidrag o fin poster'!$45:$65536,'Skatter, bidrag o fin poster'!$44:$44</definedName>
    <definedName name="Z_FA98FB86_76DB_4A0E_BD94_632DC6B7BC81_.wvu.Rows" localSheetId="3" hidden="1">'Verks int o kostn'!#REF!</definedName>
    <definedName name="Z_FA98FB86_76DB_4A0E_BD94_632DC6B7BC81_.wvu.Rows" localSheetId="9" hidden="1">'Äldre o personer funktionsn'!$61:$65536</definedName>
    <definedName name="År">2023</definedName>
    <definedName name="ÄF_inkl_IFO">Drift!$Z$72</definedName>
    <definedName name="Äldre">'Äldre o personer funktionsn'!$T$12</definedName>
    <definedName name="Övr._o_ek.bistånd">IFO!$P$30</definedName>
  </definedNames>
  <calcPr calcId="191029"/>
  <customWorkbookViews>
    <customWorkbookView name="Håkan Wilén - Personlig vy" guid="{FA98FB86-76DB-4A0E-BD94-632DC6B7BC81}" mergeInterval="0" personalView="1" maximized="1" xWindow="1" yWindow="1" windowWidth="1680" windowHeight="829" tabRatio="806" activeSheetId="3"/>
    <customWorkbookView name="scbelie - Personlig vy" guid="{97D6DB71-3F4C-4C5F-8C5B-51E3EBF78932}" mergeInterval="0" personalView="1" maximized="1" xWindow="1" yWindow="1" windowWidth="1676" windowHeight="829" tabRatio="806" activeSheetId="11"/>
    <customWorkbookView name="scbingj - Personlig vy" guid="{99FBDEB7-DD08-4F57-81F4-3C180403E153}" mergeInterval="0" personalView="1" maximized="1" xWindow="1" yWindow="1" windowWidth="1916" windowHeight="839" tabRatio="806" activeSheetId="10"/>
    <customWorkbookView name="SCB - Personlig vy" guid="{27C9E95B-0E2B-454F-B637-1CECC9579A10}" mergeInterval="0" personalView="1" maximized="1" windowWidth="1916" windowHeight="881" tabRatio="806"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78" i="8" l="1"/>
  <c r="P15" i="11"/>
  <c r="I121" i="8"/>
  <c r="I13" i="7"/>
  <c r="X65" i="10" l="1"/>
  <c r="P60" i="10"/>
  <c r="P49" i="10"/>
  <c r="P65" i="10"/>
  <c r="W48" i="8"/>
  <c r="AD48" i="8"/>
  <c r="AH48" i="8"/>
  <c r="D78" i="7"/>
  <c r="E19" i="19"/>
  <c r="J51" i="4" l="1"/>
  <c r="P64" i="10"/>
  <c r="P38" i="10"/>
  <c r="P59" i="10"/>
  <c r="P61" i="10"/>
  <c r="P50" i="10"/>
  <c r="P47" i="10"/>
  <c r="P46" i="10"/>
  <c r="AD107" i="8"/>
  <c r="AD106" i="8"/>
  <c r="AD105" i="8"/>
  <c r="AD104" i="8"/>
  <c r="AD100" i="8"/>
  <c r="D82" i="7"/>
  <c r="E94" i="7"/>
  <c r="I14" i="7"/>
  <c r="J75" i="19"/>
  <c r="J51" i="19"/>
  <c r="J43" i="19"/>
  <c r="J42" i="19"/>
  <c r="I76" i="19"/>
  <c r="F49" i="4"/>
  <c r="F56" i="4"/>
  <c r="I11" i="10"/>
  <c r="I19" i="10"/>
  <c r="I27" i="10"/>
  <c r="B6" i="9"/>
  <c r="B6" i="8"/>
  <c r="I19" i="20"/>
  <c r="I5" i="20"/>
  <c r="B32" i="20"/>
  <c r="B18" i="20"/>
  <c r="B5" i="20"/>
  <c r="B38" i="19"/>
  <c r="B5" i="19"/>
  <c r="H12" i="4"/>
  <c r="B37" i="4"/>
  <c r="B4" i="4"/>
  <c r="A1" i="4"/>
  <c r="D75" i="4"/>
  <c r="M75" i="4"/>
  <c r="B35" i="17"/>
  <c r="B34" i="17"/>
  <c r="AD112" i="8"/>
  <c r="X119" i="8" l="1"/>
  <c r="Q123" i="8"/>
  <c r="E27" i="20" l="1"/>
  <c r="L68" i="4"/>
  <c r="M38" i="19"/>
  <c r="N38" i="19"/>
  <c r="M39" i="19"/>
  <c r="N39" i="19"/>
  <c r="E97" i="7"/>
  <c r="E96" i="7"/>
  <c r="E95" i="7"/>
  <c r="D81" i="7"/>
  <c r="D80" i="7"/>
  <c r="D79" i="7"/>
  <c r="D75" i="7"/>
  <c r="D74" i="7"/>
  <c r="C46" i="19"/>
  <c r="E47" i="19"/>
  <c r="X13" i="10"/>
  <c r="X76" i="10"/>
  <c r="X80" i="10"/>
  <c r="M20" i="10" l="1"/>
  <c r="X20" i="10"/>
  <c r="M65" i="10"/>
  <c r="M76" i="10"/>
  <c r="M13" i="10"/>
  <c r="M32" i="11" l="1"/>
  <c r="M33" i="11"/>
  <c r="M34" i="11"/>
  <c r="M35" i="11"/>
  <c r="M14" i="11"/>
  <c r="M16" i="11"/>
  <c r="M15" i="11"/>
  <c r="L14" i="11" l="1"/>
  <c r="L15" i="11"/>
  <c r="K15" i="11"/>
  <c r="K14" i="11"/>
  <c r="K24" i="11"/>
  <c r="M17" i="11"/>
  <c r="O15" i="11" l="1"/>
  <c r="E73" i="19"/>
  <c r="M61" i="10"/>
  <c r="M60" i="10"/>
  <c r="M33" i="10"/>
  <c r="M58" i="10"/>
  <c r="M59" i="10"/>
  <c r="M19" i="10"/>
  <c r="M27" i="10"/>
  <c r="M11" i="10"/>
  <c r="M62" i="10"/>
  <c r="F80" i="4" l="1"/>
  <c r="F77" i="4"/>
  <c r="F78" i="4"/>
  <c r="F79" i="4"/>
  <c r="F76" i="4"/>
  <c r="O67" i="19"/>
  <c r="O60" i="19"/>
  <c r="O58" i="19"/>
  <c r="O31" i="19"/>
  <c r="O12" i="19"/>
  <c r="M18" i="10"/>
  <c r="D37" i="11"/>
  <c r="E37" i="11"/>
  <c r="F37" i="11"/>
  <c r="G37" i="11"/>
  <c r="H37" i="11"/>
  <c r="I37" i="11"/>
  <c r="J37" i="11"/>
  <c r="C37" i="11"/>
  <c r="D29" i="11"/>
  <c r="E29" i="11"/>
  <c r="F29" i="11"/>
  <c r="G29" i="11"/>
  <c r="H29" i="11"/>
  <c r="I29" i="11"/>
  <c r="J29" i="11"/>
  <c r="C29" i="11"/>
  <c r="M71" i="4" l="1"/>
  <c r="O14" i="11" l="1"/>
  <c r="AC41" i="9" l="1"/>
  <c r="D178" i="14"/>
  <c r="G37" i="12"/>
  <c r="J73" i="19"/>
  <c r="N49" i="11"/>
  <c r="E21" i="19"/>
  <c r="E22" i="19"/>
  <c r="F68" i="4"/>
  <c r="F65" i="4"/>
  <c r="F64" i="4"/>
  <c r="F63" i="4"/>
  <c r="J65" i="4" l="1"/>
  <c r="F61" i="4" l="1"/>
  <c r="B85" i="4"/>
  <c r="L37" i="19" l="1"/>
  <c r="D31" i="19" l="1"/>
  <c r="L61" i="4"/>
  <c r="N34" i="9"/>
  <c r="N32" i="9"/>
  <c r="C34" i="9"/>
  <c r="C32" i="9"/>
  <c r="M22" i="12"/>
  <c r="M13" i="12"/>
  <c r="E12" i="20"/>
  <c r="E11" i="20"/>
  <c r="I11" i="7"/>
  <c r="F42" i="4" l="1"/>
  <c r="F40" i="4"/>
  <c r="R36" i="11" l="1"/>
  <c r="R23" i="11"/>
  <c r="R14" i="11"/>
  <c r="E41" i="20" l="1"/>
  <c r="J11" i="7" l="1"/>
  <c r="U42" i="9"/>
  <c r="I6" i="7" l="1"/>
  <c r="J7" i="7" s="1"/>
  <c r="L60" i="4"/>
  <c r="L59" i="4"/>
  <c r="E22" i="12" l="1"/>
  <c r="E13" i="12"/>
  <c r="A7" i="2"/>
  <c r="J17" i="17" l="1"/>
  <c r="J32" i="19" l="1"/>
  <c r="J30" i="19"/>
  <c r="J25" i="19"/>
  <c r="E32" i="19" l="1"/>
  <c r="N49" i="4"/>
  <c r="M48" i="4"/>
  <c r="M47" i="4"/>
  <c r="F50" i="4"/>
  <c r="F47" i="4"/>
  <c r="F45" i="4"/>
  <c r="E57" i="4" l="1"/>
  <c r="D57" i="4"/>
  <c r="D49" i="4"/>
  <c r="M49" i="4" l="1"/>
  <c r="B148" i="15"/>
  <c r="D98" i="16" l="1"/>
  <c r="D97" i="16"/>
  <c r="D96" i="16"/>
  <c r="D95" i="16"/>
  <c r="D94" i="16"/>
  <c r="E95" i="16"/>
  <c r="E96" i="16"/>
  <c r="E97" i="16"/>
  <c r="E98" i="16"/>
  <c r="E94" i="16"/>
  <c r="A25" i="16"/>
  <c r="I9" i="7" l="1"/>
  <c r="D142" i="14" l="1"/>
  <c r="D143" i="14"/>
  <c r="B134" i="14"/>
  <c r="J40" i="19" l="1"/>
  <c r="E74" i="19"/>
  <c r="E34" i="19"/>
  <c r="F21" i="4"/>
  <c r="W44" i="9" l="1"/>
  <c r="V44" i="9"/>
  <c r="L69" i="4" l="1"/>
  <c r="I12" i="7" l="1"/>
  <c r="M15" i="20"/>
  <c r="E46" i="19" l="1"/>
  <c r="J46" i="19"/>
  <c r="J29" i="19" l="1"/>
  <c r="J28" i="19"/>
  <c r="J27" i="19"/>
  <c r="J19" i="19"/>
  <c r="J26" i="4"/>
  <c r="J23" i="4"/>
  <c r="J21" i="4"/>
  <c r="J16" i="4"/>
  <c r="J14" i="4"/>
  <c r="P125" i="8" l="1"/>
  <c r="D11" i="14" l="1"/>
  <c r="D12" i="14"/>
  <c r="C52" i="19"/>
  <c r="D10" i="14"/>
  <c r="D9" i="14"/>
  <c r="D8" i="14"/>
  <c r="D6" i="14"/>
  <c r="B7" i="14"/>
  <c r="D53" i="19"/>
  <c r="D5" i="14" l="1"/>
  <c r="B6" i="14"/>
  <c r="D7" i="14"/>
  <c r="D13" i="14" l="1"/>
  <c r="D181" i="14" l="1"/>
  <c r="D180" i="14"/>
  <c r="D179" i="14"/>
  <c r="D177" i="14"/>
  <c r="D176" i="14"/>
  <c r="D168" i="14"/>
  <c r="D160" i="14"/>
  <c r="D159" i="14"/>
  <c r="D151" i="14"/>
  <c r="D134" i="14"/>
  <c r="D126" i="14"/>
  <c r="D118" i="14"/>
  <c r="D110" i="14"/>
  <c r="D109" i="14"/>
  <c r="D101" i="14"/>
  <c r="D100" i="14"/>
  <c r="D23" i="14"/>
  <c r="D46" i="14"/>
  <c r="D45" i="14"/>
  <c r="D43" i="14"/>
  <c r="D41" i="14"/>
  <c r="D40" i="14"/>
  <c r="D90" i="14"/>
  <c r="D89" i="14"/>
  <c r="D88" i="14"/>
  <c r="D80" i="14"/>
  <c r="D64" i="14"/>
  <c r="D47" i="14"/>
  <c r="D31" i="14"/>
  <c r="D21" i="14"/>
  <c r="G42" i="11"/>
  <c r="G41" i="11"/>
  <c r="AC46" i="9"/>
  <c r="AB41" i="9"/>
  <c r="AA41" i="9"/>
  <c r="Z41" i="9"/>
  <c r="Y41" i="9"/>
  <c r="I10" i="7"/>
  <c r="D182" i="14" l="1"/>
  <c r="I17" i="17"/>
  <c r="G44" i="4"/>
  <c r="F30" i="4"/>
  <c r="R15" i="20" l="1"/>
  <c r="R16" i="20"/>
  <c r="D39" i="20" l="1"/>
  <c r="K30" i="20"/>
  <c r="D28" i="20"/>
  <c r="K16" i="20"/>
  <c r="M12" i="20" s="1"/>
  <c r="D14" i="20"/>
  <c r="C11" i="17" s="1"/>
  <c r="C11" i="20"/>
  <c r="C10" i="20"/>
  <c r="C9" i="20"/>
  <c r="R8" i="20"/>
  <c r="T1" i="20"/>
  <c r="N1" i="20"/>
  <c r="A1" i="20"/>
  <c r="M10" i="20" l="1"/>
  <c r="C12" i="17"/>
  <c r="K31" i="20"/>
  <c r="L31" i="20" s="1"/>
  <c r="M29" i="20"/>
  <c r="M25" i="20"/>
  <c r="M14" i="20"/>
  <c r="M23" i="20"/>
  <c r="M24" i="20"/>
  <c r="M27" i="20"/>
  <c r="M22" i="20"/>
  <c r="M26" i="20"/>
  <c r="M28" i="20"/>
  <c r="M9" i="20"/>
  <c r="M13" i="20"/>
  <c r="K17" i="20"/>
  <c r="L17" i="20" s="1"/>
  <c r="M8" i="20"/>
  <c r="M11" i="20"/>
  <c r="E12" i="10" l="1"/>
  <c r="C26" i="10"/>
  <c r="C18" i="10"/>
  <c r="C10" i="10"/>
  <c r="J8" i="7" l="1"/>
  <c r="J10" i="7"/>
  <c r="J9" i="7"/>
  <c r="D76" i="19" l="1"/>
  <c r="E72" i="19"/>
  <c r="D71" i="19"/>
  <c r="N67" i="19"/>
  <c r="N60" i="19"/>
  <c r="J58" i="19"/>
  <c r="D58" i="19"/>
  <c r="J57" i="19"/>
  <c r="J54" i="19"/>
  <c r="E52" i="19"/>
  <c r="J50" i="19"/>
  <c r="N49" i="19"/>
  <c r="O49" i="19" s="1"/>
  <c r="J49" i="19"/>
  <c r="N48" i="19"/>
  <c r="O48" i="19" s="1"/>
  <c r="E48" i="19"/>
  <c r="N45" i="19"/>
  <c r="O45" i="19" s="1"/>
  <c r="J45" i="19"/>
  <c r="A23" i="16" s="1"/>
  <c r="D44" i="19"/>
  <c r="D56" i="14" s="1"/>
  <c r="E43" i="19"/>
  <c r="J41" i="19"/>
  <c r="A22" i="16" s="1"/>
  <c r="D36" i="19"/>
  <c r="E33" i="19"/>
  <c r="D26" i="19"/>
  <c r="N22" i="19"/>
  <c r="O22" i="19" s="1"/>
  <c r="A20" i="16"/>
  <c r="A19" i="16"/>
  <c r="D16" i="19"/>
  <c r="N16" i="19" s="1"/>
  <c r="O16" i="19" s="1"/>
  <c r="N13" i="19"/>
  <c r="O13" i="19" s="1"/>
  <c r="D12" i="19"/>
  <c r="N8" i="19"/>
  <c r="O8" i="19" s="1"/>
  <c r="N6" i="19"/>
  <c r="M6" i="19"/>
  <c r="L4" i="19"/>
  <c r="J1" i="19"/>
  <c r="I1" i="19"/>
  <c r="A1" i="19"/>
  <c r="E26" i="19" l="1"/>
  <c r="E25" i="19"/>
  <c r="N44" i="19"/>
  <c r="O44" i="19" s="1"/>
  <c r="N12" i="19"/>
  <c r="D72" i="14"/>
  <c r="N26" i="19"/>
  <c r="O26" i="19" s="1"/>
  <c r="D91" i="14"/>
  <c r="N58" i="19"/>
  <c r="D20" i="14"/>
  <c r="N71" i="19"/>
  <c r="O71" i="19" s="1"/>
  <c r="D39" i="14"/>
  <c r="N31" i="19"/>
  <c r="D93" i="14"/>
  <c r="D75" i="19"/>
  <c r="D77" i="19" s="1"/>
  <c r="A24" i="16" s="1"/>
  <c r="D35" i="19"/>
  <c r="D37" i="19" s="1"/>
  <c r="A21" i="16" s="1"/>
  <c r="B126" i="14" l="1"/>
  <c r="F136" i="14" l="1"/>
  <c r="F128" i="14"/>
  <c r="B217" i="14"/>
  <c r="E217" i="14" s="1"/>
  <c r="B216" i="14"/>
  <c r="D216" i="14" s="1"/>
  <c r="B215" i="14"/>
  <c r="D215" i="14" s="1"/>
  <c r="B214" i="14"/>
  <c r="E214" i="14" s="1"/>
  <c r="B213" i="14"/>
  <c r="E213" i="14" s="1"/>
  <c r="E136" i="14" l="1"/>
  <c r="A93" i="16"/>
  <c r="E128" i="14"/>
  <c r="A92" i="16"/>
  <c r="E135" i="14"/>
  <c r="E127" i="14"/>
  <c r="E215" i="14"/>
  <c r="E216" i="14"/>
  <c r="D214" i="14"/>
  <c r="D213" i="14"/>
  <c r="D217" i="14"/>
  <c r="D144" i="14" l="1"/>
  <c r="B118" i="14" l="1"/>
  <c r="B109" i="14"/>
  <c r="B111" i="14" s="1"/>
  <c r="B100" i="14"/>
  <c r="B102" i="14" s="1"/>
  <c r="D111" i="14" l="1"/>
  <c r="F112" i="14" s="1"/>
  <c r="E112" i="14" s="1"/>
  <c r="F120" i="14"/>
  <c r="D102" i="14"/>
  <c r="E119" i="14" l="1"/>
  <c r="A91" i="16"/>
  <c r="F103" i="14"/>
  <c r="A89" i="16" s="1"/>
  <c r="E120" i="14"/>
  <c r="F44" i="4"/>
  <c r="E102" i="14" l="1"/>
  <c r="E103" i="14"/>
  <c r="W122" i="8"/>
  <c r="E17" i="17" l="1"/>
  <c r="I55" i="17"/>
  <c r="J51" i="17"/>
  <c r="I51" i="17"/>
  <c r="D44" i="17"/>
  <c r="B43" i="17"/>
  <c r="B39" i="17"/>
  <c r="B38" i="17"/>
  <c r="B37" i="17"/>
  <c r="B36" i="17"/>
  <c r="B33" i="17"/>
  <c r="B32" i="17"/>
  <c r="B31" i="17"/>
  <c r="E15" i="17"/>
  <c r="J14" i="17"/>
  <c r="I14" i="17"/>
  <c r="E14" i="17"/>
  <c r="D10" i="17"/>
  <c r="C10" i="17"/>
  <c r="J9" i="17"/>
  <c r="I9" i="17"/>
  <c r="E9" i="17"/>
  <c r="J8" i="17"/>
  <c r="I8" i="17"/>
  <c r="E8" i="17"/>
  <c r="J7" i="17"/>
  <c r="I7" i="17"/>
  <c r="E7" i="17"/>
  <c r="A1" i="16" s="1"/>
  <c r="G1" i="17"/>
  <c r="F1" i="17"/>
  <c r="A1" i="17"/>
  <c r="D11" i="17" l="1"/>
  <c r="J11" i="17" s="1"/>
  <c r="I10" i="17"/>
  <c r="I11" i="17"/>
  <c r="J10" i="17"/>
  <c r="F19" i="4" l="1"/>
  <c r="Q36" i="11" l="1"/>
  <c r="I38" i="10" l="1"/>
  <c r="A5" i="2" l="1"/>
  <c r="A4" i="2"/>
  <c r="L21" i="12" l="1"/>
  <c r="L12" i="12"/>
  <c r="I99" i="10" l="1"/>
  <c r="I90" i="10"/>
  <c r="I79" i="10"/>
  <c r="I65" i="10"/>
  <c r="I51" i="10"/>
  <c r="B252" i="14" l="1"/>
  <c r="E252" i="14" s="1"/>
  <c r="B239" i="14"/>
  <c r="D239" i="14" s="1"/>
  <c r="B240" i="14"/>
  <c r="E240" i="14" s="1"/>
  <c r="B241" i="14"/>
  <c r="E241" i="14" s="1"/>
  <c r="B242" i="14"/>
  <c r="D242" i="14" s="1"/>
  <c r="B243" i="14"/>
  <c r="D243" i="14" s="1"/>
  <c r="B244" i="14"/>
  <c r="E244" i="14" s="1"/>
  <c r="B245" i="14"/>
  <c r="D245" i="14" s="1"/>
  <c r="B246" i="14"/>
  <c r="E246" i="14" s="1"/>
  <c r="B247" i="14"/>
  <c r="D247" i="14" s="1"/>
  <c r="B248" i="14"/>
  <c r="E248" i="14" s="1"/>
  <c r="B250" i="14"/>
  <c r="E250" i="14" s="1"/>
  <c r="B251" i="14"/>
  <c r="E251" i="14" s="1"/>
  <c r="B223" i="14"/>
  <c r="D223" i="14" s="1"/>
  <c r="B218" i="14"/>
  <c r="E218" i="14" s="1"/>
  <c r="B220" i="14"/>
  <c r="E220" i="14" s="1"/>
  <c r="B229" i="14"/>
  <c r="E229" i="14" s="1"/>
  <c r="B228" i="14"/>
  <c r="D228" i="14" s="1"/>
  <c r="B227" i="14"/>
  <c r="D227" i="14" s="1"/>
  <c r="B226" i="14"/>
  <c r="D226" i="14" s="1"/>
  <c r="B222" i="14"/>
  <c r="E222" i="14" s="1"/>
  <c r="B221" i="14"/>
  <c r="E221" i="14" s="1"/>
  <c r="B219" i="14"/>
  <c r="D219" i="14" s="1"/>
  <c r="E239" i="14" l="1"/>
  <c r="E242" i="14"/>
  <c r="E247" i="14"/>
  <c r="D252" i="14"/>
  <c r="E243" i="14"/>
  <c r="D246" i="14"/>
  <c r="D241" i="14"/>
  <c r="D251" i="14"/>
  <c r="D240" i="14"/>
  <c r="D244" i="14"/>
  <c r="E245" i="14"/>
  <c r="D248" i="14"/>
  <c r="D250" i="14"/>
  <c r="D222" i="14"/>
  <c r="D220" i="14"/>
  <c r="E226" i="14"/>
  <c r="E223" i="14"/>
  <c r="D229" i="14"/>
  <c r="E228" i="14"/>
  <c r="D218" i="14"/>
  <c r="D221" i="14"/>
  <c r="E227" i="14"/>
  <c r="E219" i="14"/>
  <c r="Z44" i="9" l="1"/>
  <c r="K82" i="4" l="1"/>
  <c r="D49" i="16" l="1"/>
  <c r="E82" i="16" l="1"/>
  <c r="E83" i="16"/>
  <c r="E84" i="16"/>
  <c r="E85" i="16"/>
  <c r="E86" i="16"/>
  <c r="E87" i="16"/>
  <c r="E88" i="16"/>
  <c r="E89" i="16"/>
  <c r="E90" i="16"/>
  <c r="E91" i="16"/>
  <c r="E92" i="16"/>
  <c r="E93" i="16"/>
  <c r="E81" i="16"/>
  <c r="E80" i="16"/>
  <c r="D79" i="16"/>
  <c r="D77" i="16"/>
  <c r="D76" i="16"/>
  <c r="D78" i="16"/>
  <c r="D75" i="16"/>
  <c r="D74" i="16"/>
  <c r="D73" i="16"/>
  <c r="D72" i="16"/>
  <c r="D93" i="16"/>
  <c r="D92" i="16"/>
  <c r="D91" i="16"/>
  <c r="D90" i="16"/>
  <c r="D89" i="16"/>
  <c r="D88" i="16"/>
  <c r="D87" i="16"/>
  <c r="D86" i="16"/>
  <c r="D85" i="16"/>
  <c r="D84" i="16"/>
  <c r="D83" i="16"/>
  <c r="D82" i="16"/>
  <c r="D81" i="16"/>
  <c r="D80" i="16"/>
  <c r="D71" i="16"/>
  <c r="D70" i="16"/>
  <c r="D69" i="16"/>
  <c r="D68" i="16"/>
  <c r="D67" i="16"/>
  <c r="D66" i="16"/>
  <c r="D65" i="16"/>
  <c r="D64" i="16"/>
  <c r="D63" i="16"/>
  <c r="D62" i="16"/>
  <c r="D61" i="16"/>
  <c r="D60" i="16"/>
  <c r="D59" i="16"/>
  <c r="D58" i="16"/>
  <c r="D57" i="16"/>
  <c r="D56" i="16"/>
  <c r="D55" i="16"/>
  <c r="D52" i="16"/>
  <c r="D17" i="16"/>
  <c r="D18" i="16"/>
  <c r="D53" i="16"/>
  <c r="D54" i="16"/>
  <c r="D13" i="16"/>
  <c r="D14" i="16"/>
  <c r="D44" i="16"/>
  <c r="D51" i="16"/>
  <c r="D48" i="16"/>
  <c r="D11" i="16"/>
  <c r="D12" i="16"/>
  <c r="D50" i="16"/>
  <c r="D15" i="16"/>
  <c r="D16" i="16"/>
  <c r="D47" i="16"/>
  <c r="D36" i="16"/>
  <c r="D37" i="16"/>
  <c r="D43" i="16"/>
  <c r="D42" i="16"/>
  <c r="D41" i="16"/>
  <c r="D46" i="16"/>
  <c r="D45" i="16"/>
  <c r="D39" i="16"/>
  <c r="D40" i="16"/>
  <c r="D38" i="16"/>
  <c r="D33" i="16"/>
  <c r="D34" i="16"/>
  <c r="D35" i="16"/>
  <c r="D9" i="16"/>
  <c r="D10" i="16"/>
  <c r="D32" i="16"/>
  <c r="D6" i="16"/>
  <c r="D31" i="16"/>
  <c r="D5" i="16"/>
  <c r="D27" i="16"/>
  <c r="D28" i="16"/>
  <c r="D29" i="16"/>
  <c r="D30" i="16"/>
  <c r="D4" i="16"/>
  <c r="D25" i="16"/>
  <c r="D24" i="16"/>
  <c r="D22" i="16"/>
  <c r="D23" i="16"/>
  <c r="D21" i="16"/>
  <c r="D20" i="16"/>
  <c r="D19" i="16"/>
  <c r="D3" i="16"/>
  <c r="D2" i="16"/>
  <c r="D1" i="16"/>
  <c r="D32" i="12"/>
  <c r="D30" i="12"/>
  <c r="D29" i="12"/>
  <c r="D21" i="12"/>
  <c r="D12" i="12"/>
  <c r="D31" i="11"/>
  <c r="D38" i="11" s="1"/>
  <c r="D21" i="11"/>
  <c r="D12" i="11"/>
  <c r="A5" i="16"/>
  <c r="A4" i="16"/>
  <c r="A6" i="16"/>
  <c r="F85" i="4"/>
  <c r="G26" i="7"/>
  <c r="G27" i="7"/>
  <c r="G28" i="7"/>
  <c r="G29" i="7"/>
  <c r="G30" i="7"/>
  <c r="G31" i="7"/>
  <c r="G32" i="7"/>
  <c r="G34" i="7"/>
  <c r="G35" i="7"/>
  <c r="G37" i="7"/>
  <c r="G38" i="7"/>
  <c r="G39" i="7"/>
  <c r="G42" i="7"/>
  <c r="G43" i="7"/>
  <c r="G44" i="7"/>
  <c r="G45" i="7"/>
  <c r="G46" i="7"/>
  <c r="G48" i="7"/>
  <c r="G50" i="7"/>
  <c r="G51" i="7"/>
  <c r="G52" i="7"/>
  <c r="G53" i="7"/>
  <c r="G55" i="7"/>
  <c r="G56" i="7"/>
  <c r="G57" i="7"/>
  <c r="G59" i="7"/>
  <c r="G60" i="7"/>
  <c r="G61" i="7"/>
  <c r="G62" i="7"/>
  <c r="G25" i="7"/>
  <c r="L58" i="4"/>
  <c r="F54" i="4"/>
  <c r="F52" i="4"/>
  <c r="N57" i="4"/>
  <c r="K55" i="4"/>
  <c r="F55" i="4"/>
  <c r="J55" i="4"/>
  <c r="F51" i="4"/>
  <c r="F9" i="4"/>
  <c r="L35" i="12"/>
  <c r="D35" i="12"/>
  <c r="E35" i="12"/>
  <c r="D26" i="12"/>
  <c r="E26" i="12"/>
  <c r="D27" i="12"/>
  <c r="E27" i="12"/>
  <c r="D19" i="12"/>
  <c r="E19" i="12"/>
  <c r="D18" i="12"/>
  <c r="E18" i="12"/>
  <c r="AC45" i="9"/>
  <c r="AC44" i="9"/>
  <c r="AB45" i="9"/>
  <c r="AB44" i="9"/>
  <c r="AA45" i="9"/>
  <c r="AA44" i="9"/>
  <c r="Z45" i="9"/>
  <c r="Y44" i="9"/>
  <c r="Y45" i="9"/>
  <c r="E32" i="12"/>
  <c r="E30" i="12"/>
  <c r="E29" i="12"/>
  <c r="E21" i="12"/>
  <c r="E12" i="12"/>
  <c r="L25" i="11"/>
  <c r="L26" i="11"/>
  <c r="K25" i="11"/>
  <c r="M25" i="11" s="1"/>
  <c r="O25" i="11" s="1"/>
  <c r="K26" i="11"/>
  <c r="M26" i="11" s="1"/>
  <c r="O26" i="11" s="1"/>
  <c r="L33" i="11"/>
  <c r="L34" i="11"/>
  <c r="L35" i="11"/>
  <c r="L36" i="11"/>
  <c r="L32" i="11"/>
  <c r="L23" i="11"/>
  <c r="L24" i="11"/>
  <c r="L27" i="11"/>
  <c r="L28" i="11"/>
  <c r="L16" i="11"/>
  <c r="L17" i="11"/>
  <c r="L18" i="11"/>
  <c r="L13" i="11"/>
  <c r="L22" i="11"/>
  <c r="D19" i="11"/>
  <c r="H15" i="7"/>
  <c r="H16" i="7" s="1"/>
  <c r="H17" i="7" s="1"/>
  <c r="G15" i="7"/>
  <c r="G16" i="7" s="1"/>
  <c r="G17" i="7" s="1"/>
  <c r="D98" i="7"/>
  <c r="C98" i="7"/>
  <c r="E98" i="7" s="1"/>
  <c r="E32" i="4"/>
  <c r="N32" i="4" s="1"/>
  <c r="D30" i="4"/>
  <c r="D26" i="4"/>
  <c r="F26" i="4" s="1"/>
  <c r="M78" i="4"/>
  <c r="M76" i="4"/>
  <c r="AB110" i="8"/>
  <c r="J8" i="12"/>
  <c r="I8" i="12"/>
  <c r="K4" i="12"/>
  <c r="O4" i="11"/>
  <c r="N8" i="11"/>
  <c r="M8" i="11"/>
  <c r="AC4" i="8"/>
  <c r="H43" i="11"/>
  <c r="AG38" i="8"/>
  <c r="AG62" i="8"/>
  <c r="AF38" i="8"/>
  <c r="AE5" i="8"/>
  <c r="AB5" i="8"/>
  <c r="AA5" i="8"/>
  <c r="A40" i="16"/>
  <c r="AE4" i="8"/>
  <c r="Z5" i="8"/>
  <c r="G108" i="15"/>
  <c r="M12" i="10"/>
  <c r="M14" i="10"/>
  <c r="X12" i="10"/>
  <c r="X14" i="10"/>
  <c r="M28" i="10"/>
  <c r="P28" i="10" s="1"/>
  <c r="M30" i="10"/>
  <c r="X28" i="10"/>
  <c r="X30" i="10"/>
  <c r="M45" i="10"/>
  <c r="P45" i="10" s="1"/>
  <c r="X45" i="10"/>
  <c r="M32" i="10"/>
  <c r="P32" i="10" s="1"/>
  <c r="M34" i="10"/>
  <c r="P34" i="10" s="1"/>
  <c r="M35" i="10"/>
  <c r="M36" i="10"/>
  <c r="M37" i="10"/>
  <c r="M38" i="10"/>
  <c r="M40" i="10"/>
  <c r="M42" i="10"/>
  <c r="P42" i="10" s="1"/>
  <c r="M46" i="10"/>
  <c r="M47" i="10"/>
  <c r="M48" i="10"/>
  <c r="P48" i="10" s="1"/>
  <c r="M49" i="10"/>
  <c r="M50" i="10"/>
  <c r="M51" i="10"/>
  <c r="P51" i="10" s="1"/>
  <c r="M53" i="10"/>
  <c r="M55" i="10"/>
  <c r="P55" i="10" s="1"/>
  <c r="M56" i="10"/>
  <c r="P56" i="10" s="1"/>
  <c r="M63" i="10"/>
  <c r="P63" i="10" s="1"/>
  <c r="M64" i="10"/>
  <c r="M67" i="10"/>
  <c r="P67" i="10" s="1"/>
  <c r="M69" i="10"/>
  <c r="P69" i="10" s="1"/>
  <c r="M70" i="10"/>
  <c r="M73" i="10"/>
  <c r="M74" i="10"/>
  <c r="P74" i="10" s="1"/>
  <c r="M75" i="10"/>
  <c r="P75" i="10" s="1"/>
  <c r="M77" i="10"/>
  <c r="M78" i="10"/>
  <c r="P78" i="10" s="1"/>
  <c r="M79" i="10"/>
  <c r="P79" i="10" s="1"/>
  <c r="M81" i="10"/>
  <c r="M83" i="10"/>
  <c r="M84" i="10"/>
  <c r="P84" i="10" s="1"/>
  <c r="M87" i="10"/>
  <c r="P87" i="10" s="1"/>
  <c r="M88" i="10"/>
  <c r="P88" i="10" s="1"/>
  <c r="M89" i="10"/>
  <c r="M90" i="10"/>
  <c r="P90" i="10" s="1"/>
  <c r="M91" i="10"/>
  <c r="P91" i="10" s="1"/>
  <c r="M96" i="10"/>
  <c r="P96" i="10" s="1"/>
  <c r="M97" i="10"/>
  <c r="P97" i="10" s="1"/>
  <c r="M98" i="10"/>
  <c r="P98" i="10" s="1"/>
  <c r="M99" i="10"/>
  <c r="M100" i="10"/>
  <c r="P100" i="10" s="1"/>
  <c r="F135" i="15"/>
  <c r="F127" i="15" s="1"/>
  <c r="F131" i="15"/>
  <c r="F130" i="15"/>
  <c r="F134" i="15"/>
  <c r="F133" i="15"/>
  <c r="F132" i="15"/>
  <c r="F129" i="15"/>
  <c r="F128" i="15"/>
  <c r="F125" i="15" s="1"/>
  <c r="F100" i="15"/>
  <c r="X100" i="10"/>
  <c r="X99" i="10"/>
  <c r="X98" i="10"/>
  <c r="X97" i="10"/>
  <c r="X96" i="10"/>
  <c r="X91" i="10"/>
  <c r="X90" i="10"/>
  <c r="X89" i="10"/>
  <c r="X88" i="10"/>
  <c r="X87" i="10"/>
  <c r="X84" i="10"/>
  <c r="X83" i="10"/>
  <c r="X81" i="10"/>
  <c r="X79" i="10"/>
  <c r="X78" i="10"/>
  <c r="X77" i="10"/>
  <c r="X75" i="10"/>
  <c r="X74" i="10"/>
  <c r="X73" i="10"/>
  <c r="O69" i="10"/>
  <c r="X70" i="10"/>
  <c r="X69" i="10"/>
  <c r="X67" i="10"/>
  <c r="X64" i="10"/>
  <c r="X63" i="10"/>
  <c r="X62" i="10"/>
  <c r="X61" i="10"/>
  <c r="X60" i="10"/>
  <c r="X59" i="10"/>
  <c r="O56" i="10"/>
  <c r="X56" i="10"/>
  <c r="X55" i="10"/>
  <c r="X53" i="10"/>
  <c r="X51" i="10"/>
  <c r="X50" i="10"/>
  <c r="X49" i="10"/>
  <c r="X48" i="10"/>
  <c r="X47" i="10"/>
  <c r="X46" i="10"/>
  <c r="X42" i="10"/>
  <c r="X40" i="10"/>
  <c r="X38" i="10"/>
  <c r="X37" i="10"/>
  <c r="X36" i="10"/>
  <c r="X35" i="10"/>
  <c r="X34" i="10"/>
  <c r="X33" i="10"/>
  <c r="X32" i="10"/>
  <c r="X27" i="10"/>
  <c r="X19" i="10"/>
  <c r="X11" i="10"/>
  <c r="X7" i="10"/>
  <c r="B98" i="15"/>
  <c r="B100" i="15" s="1"/>
  <c r="B97" i="15"/>
  <c r="B96" i="15"/>
  <c r="I31" i="11"/>
  <c r="I38" i="11" s="1"/>
  <c r="I21" i="11"/>
  <c r="O78" i="10"/>
  <c r="B55" i="15"/>
  <c r="B56" i="15"/>
  <c r="B57" i="15"/>
  <c r="B58" i="15"/>
  <c r="B59" i="15"/>
  <c r="B75" i="15"/>
  <c r="B76" i="15"/>
  <c r="B77" i="15"/>
  <c r="B86" i="15"/>
  <c r="B87" i="15"/>
  <c r="B88" i="15"/>
  <c r="H93" i="15"/>
  <c r="A1" i="12"/>
  <c r="I1" i="12"/>
  <c r="J1" i="12"/>
  <c r="M6" i="12"/>
  <c r="F12" i="12"/>
  <c r="F20" i="12" s="1"/>
  <c r="G12" i="12"/>
  <c r="G13" i="12"/>
  <c r="H13" i="12" s="1"/>
  <c r="I13" i="12" s="1"/>
  <c r="H14" i="12"/>
  <c r="I14" i="12" s="1"/>
  <c r="H15" i="12"/>
  <c r="I15" i="12" s="1"/>
  <c r="K15" i="12" s="1"/>
  <c r="H16" i="12"/>
  <c r="I16" i="12"/>
  <c r="H17" i="12"/>
  <c r="I17" i="12" s="1"/>
  <c r="K17" i="12" s="1"/>
  <c r="C18" i="12"/>
  <c r="F18" i="12"/>
  <c r="G18" i="12"/>
  <c r="C19" i="12"/>
  <c r="F19" i="12"/>
  <c r="F21" i="12"/>
  <c r="G21" i="12"/>
  <c r="G22" i="12"/>
  <c r="H22" i="12" s="1"/>
  <c r="I22" i="12"/>
  <c r="K22" i="12" s="1"/>
  <c r="H23" i="12"/>
  <c r="I23" i="12"/>
  <c r="K23" i="12" s="1"/>
  <c r="H24" i="12"/>
  <c r="I24" i="12"/>
  <c r="K24" i="12" s="1"/>
  <c r="H25" i="12"/>
  <c r="I25" i="12"/>
  <c r="K25" i="12" s="1"/>
  <c r="C26" i="12"/>
  <c r="F26" i="12"/>
  <c r="G26" i="12"/>
  <c r="C27" i="12"/>
  <c r="F27" i="12"/>
  <c r="F29" i="12"/>
  <c r="F30" i="12"/>
  <c r="F32" i="12"/>
  <c r="G32" i="12"/>
  <c r="H33" i="12"/>
  <c r="I33" i="12"/>
  <c r="K33" i="12" s="1"/>
  <c r="M33" i="12"/>
  <c r="H34" i="12"/>
  <c r="I34" i="12"/>
  <c r="C35" i="12"/>
  <c r="F35" i="12"/>
  <c r="G35" i="12"/>
  <c r="G36" i="12" s="1"/>
  <c r="A1" i="11"/>
  <c r="O1" i="11"/>
  <c r="P1" i="11"/>
  <c r="Q6" i="11"/>
  <c r="E12" i="11"/>
  <c r="C49" i="11" s="1"/>
  <c r="F12" i="11"/>
  <c r="G12" i="11"/>
  <c r="H12" i="11"/>
  <c r="I12" i="11"/>
  <c r="J12" i="11"/>
  <c r="K13" i="11"/>
  <c r="M13" i="11" s="1"/>
  <c r="O13" i="11" s="1"/>
  <c r="B7" i="15"/>
  <c r="B38" i="15" s="1"/>
  <c r="B8" i="15"/>
  <c r="B39" i="15" s="1"/>
  <c r="K16" i="11"/>
  <c r="K17" i="11"/>
  <c r="K18" i="11"/>
  <c r="B11" i="15" s="1"/>
  <c r="B42" i="15" s="1"/>
  <c r="C19" i="11"/>
  <c r="E19" i="11"/>
  <c r="F19" i="11"/>
  <c r="G19" i="11"/>
  <c r="H19" i="11"/>
  <c r="I19" i="11"/>
  <c r="J19" i="11"/>
  <c r="E21" i="11"/>
  <c r="F21" i="11"/>
  <c r="G21" i="11"/>
  <c r="H21" i="11"/>
  <c r="J21" i="11"/>
  <c r="K22" i="11"/>
  <c r="K23" i="11"/>
  <c r="B16" i="15" s="1"/>
  <c r="B47" i="15" s="1"/>
  <c r="B18" i="15"/>
  <c r="B49" i="15" s="1"/>
  <c r="K27" i="11"/>
  <c r="B19" i="15" s="1"/>
  <c r="B50" i="15" s="1"/>
  <c r="K28" i="11"/>
  <c r="E31" i="11"/>
  <c r="F31" i="11"/>
  <c r="G31" i="11"/>
  <c r="H31" i="11"/>
  <c r="J31" i="11"/>
  <c r="K32" i="11"/>
  <c r="B25" i="15" s="1"/>
  <c r="K33" i="11"/>
  <c r="O33" i="11"/>
  <c r="K34" i="11"/>
  <c r="B27" i="15" s="1"/>
  <c r="K35" i="11"/>
  <c r="B28" i="15" s="1"/>
  <c r="O35" i="11"/>
  <c r="K36" i="11"/>
  <c r="B29" i="15" s="1"/>
  <c r="E49" i="11"/>
  <c r="F49" i="11"/>
  <c r="G49" i="11"/>
  <c r="H49" i="11"/>
  <c r="I49" i="11"/>
  <c r="J49" i="11"/>
  <c r="L49" i="11"/>
  <c r="M49" i="11"/>
  <c r="C50" i="11"/>
  <c r="D50" i="11" s="1"/>
  <c r="C51" i="11"/>
  <c r="D51" i="11" s="1"/>
  <c r="C52" i="11"/>
  <c r="D52" i="11" s="1"/>
  <c r="E53" i="11"/>
  <c r="F53" i="11"/>
  <c r="G53" i="11"/>
  <c r="H53" i="11"/>
  <c r="I53" i="11"/>
  <c r="J53" i="11"/>
  <c r="N54" i="11" s="1"/>
  <c r="L53" i="11"/>
  <c r="M53" i="11"/>
  <c r="C54" i="11"/>
  <c r="D54" i="11" s="1"/>
  <c r="C55" i="11"/>
  <c r="D55" i="11" s="1"/>
  <c r="C56" i="11"/>
  <c r="D56" i="11" s="1"/>
  <c r="E57" i="11"/>
  <c r="F57" i="11"/>
  <c r="G57" i="11"/>
  <c r="H57" i="11"/>
  <c r="I57" i="11"/>
  <c r="J57" i="11"/>
  <c r="N58" i="11" s="1"/>
  <c r="L57" i="11"/>
  <c r="M57" i="11"/>
  <c r="C58" i="11"/>
  <c r="D58" i="11" s="1"/>
  <c r="A1" i="10"/>
  <c r="I1" i="10"/>
  <c r="J1" i="10"/>
  <c r="M7" i="10"/>
  <c r="N7" i="10"/>
  <c r="O7" i="10"/>
  <c r="D8" i="10"/>
  <c r="F8" i="10"/>
  <c r="G8" i="10"/>
  <c r="F143" i="15"/>
  <c r="D16" i="10"/>
  <c r="F16" i="10"/>
  <c r="X21" i="10" s="1"/>
  <c r="G16" i="10"/>
  <c r="E20" i="10"/>
  <c r="D24" i="10"/>
  <c r="F24" i="10"/>
  <c r="X29" i="10" s="1"/>
  <c r="G24" i="10"/>
  <c r="M26" i="10"/>
  <c r="D31" i="10"/>
  <c r="F31" i="10"/>
  <c r="X41" i="10" s="1"/>
  <c r="G31" i="10"/>
  <c r="G40" i="10" s="1"/>
  <c r="G43" i="10" s="1"/>
  <c r="D44" i="10"/>
  <c r="F44" i="10"/>
  <c r="M54" i="10" s="1"/>
  <c r="G44" i="10"/>
  <c r="G53" i="10" s="1"/>
  <c r="G57" i="10" s="1"/>
  <c r="D58" i="10"/>
  <c r="F58" i="10"/>
  <c r="M68" i="10" s="1"/>
  <c r="G58" i="10"/>
  <c r="G67" i="10" s="1"/>
  <c r="G71" i="10" s="1"/>
  <c r="D72" i="10"/>
  <c r="F72" i="10"/>
  <c r="X82" i="10" s="1"/>
  <c r="G72" i="10"/>
  <c r="G81" i="10" s="1"/>
  <c r="G85" i="10" s="1"/>
  <c r="O75" i="10"/>
  <c r="O84" i="10"/>
  <c r="O85" i="10"/>
  <c r="D86" i="10"/>
  <c r="F86" i="10"/>
  <c r="G86" i="10"/>
  <c r="G93" i="10" s="1"/>
  <c r="G94" i="10" s="1"/>
  <c r="O92" i="10"/>
  <c r="O93" i="10"/>
  <c r="O94" i="10"/>
  <c r="D95" i="10"/>
  <c r="F95" i="10"/>
  <c r="G95" i="10"/>
  <c r="G102" i="10" s="1"/>
  <c r="G103" i="10" s="1"/>
  <c r="C1" i="9"/>
  <c r="J1" i="9"/>
  <c r="K1" i="9"/>
  <c r="S1" i="9"/>
  <c r="Z1" i="9"/>
  <c r="AA1" i="9"/>
  <c r="C13" i="9"/>
  <c r="M13" i="9" s="1"/>
  <c r="N13" i="9"/>
  <c r="X13" i="9" s="1"/>
  <c r="AD13" i="9"/>
  <c r="C14" i="9"/>
  <c r="M14" i="9" s="1"/>
  <c r="N14" i="9"/>
  <c r="X14" i="9" s="1"/>
  <c r="AD14" i="9"/>
  <c r="C15" i="9"/>
  <c r="M15" i="9" s="1"/>
  <c r="N15" i="9"/>
  <c r="X15" i="9" s="1"/>
  <c r="AD15" i="9"/>
  <c r="C16" i="9"/>
  <c r="M16" i="9" s="1"/>
  <c r="N16" i="9"/>
  <c r="X16" i="9" s="1"/>
  <c r="AD16" i="9"/>
  <c r="C17" i="9"/>
  <c r="M17" i="9" s="1"/>
  <c r="N17" i="9"/>
  <c r="X17" i="9" s="1"/>
  <c r="AD17" i="9"/>
  <c r="C18" i="9"/>
  <c r="M18" i="9" s="1"/>
  <c r="N18" i="9"/>
  <c r="X18" i="9" s="1"/>
  <c r="AD18" i="9"/>
  <c r="C19" i="9"/>
  <c r="M19" i="9" s="1"/>
  <c r="N19" i="9"/>
  <c r="X19" i="9" s="1"/>
  <c r="AD19" i="9"/>
  <c r="C20" i="9"/>
  <c r="M20" i="9" s="1"/>
  <c r="N20" i="9"/>
  <c r="X20" i="9" s="1"/>
  <c r="AD20" i="9"/>
  <c r="C21" i="9"/>
  <c r="M21" i="9" s="1"/>
  <c r="N21" i="9"/>
  <c r="X21" i="9" s="1"/>
  <c r="AD21" i="9"/>
  <c r="C22" i="9"/>
  <c r="M22" i="9" s="1"/>
  <c r="N22" i="9"/>
  <c r="X22" i="9" s="1"/>
  <c r="AD22" i="9"/>
  <c r="C23" i="9"/>
  <c r="M23" i="9" s="1"/>
  <c r="N23" i="9"/>
  <c r="X23" i="9" s="1"/>
  <c r="AD23" i="9"/>
  <c r="C24" i="9"/>
  <c r="M24" i="9" s="1"/>
  <c r="N24" i="9"/>
  <c r="X24" i="9" s="1"/>
  <c r="AD24" i="9"/>
  <c r="C25" i="9"/>
  <c r="M25" i="9" s="1"/>
  <c r="N25" i="9"/>
  <c r="X25" i="9" s="1"/>
  <c r="AD25" i="9"/>
  <c r="C26" i="9"/>
  <c r="M26" i="9" s="1"/>
  <c r="N26" i="9"/>
  <c r="X26" i="9" s="1"/>
  <c r="AD26" i="9"/>
  <c r="C27" i="9"/>
  <c r="M27" i="9" s="1"/>
  <c r="N27" i="9"/>
  <c r="X27" i="9" s="1"/>
  <c r="AD27" i="9"/>
  <c r="C28" i="9"/>
  <c r="M28" i="9" s="1"/>
  <c r="N28" i="9"/>
  <c r="X28" i="9" s="1"/>
  <c r="AD28" i="9"/>
  <c r="C29" i="9"/>
  <c r="M29" i="9" s="1"/>
  <c r="N29" i="9"/>
  <c r="X29" i="9" s="1"/>
  <c r="AD29" i="9"/>
  <c r="C30" i="9"/>
  <c r="M30" i="9" s="1"/>
  <c r="N30" i="9"/>
  <c r="X30" i="9" s="1"/>
  <c r="AD30" i="9"/>
  <c r="C31" i="9"/>
  <c r="M31" i="9" s="1"/>
  <c r="N31" i="9"/>
  <c r="T44" i="9" s="1"/>
  <c r="A13" i="16" s="1"/>
  <c r="AD31" i="9"/>
  <c r="M32" i="9"/>
  <c r="X32" i="9"/>
  <c r="C33" i="9"/>
  <c r="K45" i="9" s="1"/>
  <c r="A16" i="16" s="1"/>
  <c r="N33" i="9"/>
  <c r="X33" i="9" s="1"/>
  <c r="AD33" i="9"/>
  <c r="M34" i="9"/>
  <c r="X34" i="9"/>
  <c r="C35" i="9"/>
  <c r="M35" i="9" s="1"/>
  <c r="N35" i="9"/>
  <c r="V43" i="9" s="1"/>
  <c r="A44" i="16" s="1"/>
  <c r="AD35" i="9"/>
  <c r="C36" i="9"/>
  <c r="M36" i="9" s="1"/>
  <c r="N36" i="9"/>
  <c r="X36" i="9" s="1"/>
  <c r="AD36" i="9"/>
  <c r="C37" i="9"/>
  <c r="M37" i="9" s="1"/>
  <c r="N37" i="9"/>
  <c r="X37" i="9" s="1"/>
  <c r="AD37" i="9"/>
  <c r="C39" i="9"/>
  <c r="M39" i="9" s="1"/>
  <c r="N39" i="9"/>
  <c r="X39" i="9" s="1"/>
  <c r="AD39" i="9"/>
  <c r="A37" i="16" s="1"/>
  <c r="D40" i="9"/>
  <c r="B262" i="14" s="1"/>
  <c r="E40" i="9"/>
  <c r="B263" i="14" s="1"/>
  <c r="F40" i="9"/>
  <c r="B264" i="14" s="1"/>
  <c r="G40" i="9"/>
  <c r="B265" i="14" s="1"/>
  <c r="H40" i="9"/>
  <c r="B266" i="14" s="1"/>
  <c r="I40" i="9"/>
  <c r="B267" i="14" s="1"/>
  <c r="J40" i="9"/>
  <c r="K40" i="9"/>
  <c r="B268" i="14" s="1"/>
  <c r="L40" i="9"/>
  <c r="O40" i="9"/>
  <c r="B272" i="14" s="1"/>
  <c r="P40" i="9"/>
  <c r="B273" i="14" s="1"/>
  <c r="Q40" i="9"/>
  <c r="B274" i="14" s="1"/>
  <c r="R40" i="9"/>
  <c r="S40" i="9"/>
  <c r="B276" i="14" s="1"/>
  <c r="T40" i="9"/>
  <c r="B277" i="14" s="1"/>
  <c r="U40" i="9"/>
  <c r="B278" i="14" s="1"/>
  <c r="V40" i="9"/>
  <c r="B279" i="14" s="1"/>
  <c r="W40" i="9"/>
  <c r="B280" i="14" s="1"/>
  <c r="Y40" i="9"/>
  <c r="B142" i="14" s="1"/>
  <c r="Z40" i="9"/>
  <c r="AA40" i="9"/>
  <c r="AB40" i="9"/>
  <c r="AC40" i="9"/>
  <c r="AC42" i="9" s="1"/>
  <c r="D44" i="9"/>
  <c r="A47" i="16" s="1"/>
  <c r="I44" i="9"/>
  <c r="A49" i="16" s="1"/>
  <c r="C49" i="16" s="1"/>
  <c r="O44" i="9"/>
  <c r="A51" i="16" s="1"/>
  <c r="S44" i="9"/>
  <c r="A53" i="16" s="1"/>
  <c r="X44" i="9"/>
  <c r="D45" i="9"/>
  <c r="A48" i="16" s="1"/>
  <c r="I45" i="9"/>
  <c r="A50" i="16" s="1"/>
  <c r="O45" i="9"/>
  <c r="A52" i="16" s="1"/>
  <c r="S45" i="9"/>
  <c r="A54" i="16" s="1"/>
  <c r="X45" i="9"/>
  <c r="C1" i="8"/>
  <c r="I1" i="8"/>
  <c r="J1" i="8"/>
  <c r="R1" i="8"/>
  <c r="Y1" i="8"/>
  <c r="Z1" i="8"/>
  <c r="W13" i="8"/>
  <c r="AH13" i="8" s="1"/>
  <c r="W14" i="8"/>
  <c r="AH14" i="8" s="1"/>
  <c r="W15" i="8"/>
  <c r="AH15" i="8" s="1"/>
  <c r="W16" i="8"/>
  <c r="AH16" i="8" s="1"/>
  <c r="C17" i="8"/>
  <c r="D17" i="8"/>
  <c r="E17" i="8"/>
  <c r="F17" i="8"/>
  <c r="C9" i="9" s="1"/>
  <c r="M9" i="9" s="1"/>
  <c r="G17" i="8"/>
  <c r="H17" i="8"/>
  <c r="I17" i="8"/>
  <c r="J17" i="8"/>
  <c r="L17" i="8"/>
  <c r="M17" i="8"/>
  <c r="N17" i="8"/>
  <c r="R17" i="8"/>
  <c r="S17" i="8"/>
  <c r="T17" i="8"/>
  <c r="AD9" i="9" s="1"/>
  <c r="V17" i="8"/>
  <c r="W19" i="8"/>
  <c r="AH19" i="8" s="1"/>
  <c r="W20" i="8"/>
  <c r="AH20" i="8" s="1"/>
  <c r="W21" i="8"/>
  <c r="AH21" i="8" s="1"/>
  <c r="W22" i="8"/>
  <c r="AH22" i="8" s="1"/>
  <c r="W23" i="8"/>
  <c r="AH23" i="8" s="1"/>
  <c r="W24" i="8"/>
  <c r="AH24" i="8" s="1"/>
  <c r="W25" i="8"/>
  <c r="AH25" i="8" s="1"/>
  <c r="W26" i="8"/>
  <c r="AH26" i="8" s="1"/>
  <c r="W27" i="8"/>
  <c r="AH27" i="8" s="1"/>
  <c r="W28" i="8"/>
  <c r="AH28" i="8" s="1"/>
  <c r="W29" i="8"/>
  <c r="AH29" i="8" s="1"/>
  <c r="C30" i="8"/>
  <c r="D30" i="8"/>
  <c r="E30" i="8"/>
  <c r="F30" i="8"/>
  <c r="C10" i="9" s="1"/>
  <c r="M10" i="9" s="1"/>
  <c r="G30" i="8"/>
  <c r="H30" i="8"/>
  <c r="N10" i="9" s="1"/>
  <c r="X10" i="9" s="1"/>
  <c r="I30" i="8"/>
  <c r="J30" i="8"/>
  <c r="L30" i="8"/>
  <c r="M30" i="8"/>
  <c r="N30" i="8"/>
  <c r="R30" i="8"/>
  <c r="S30" i="8"/>
  <c r="T30" i="8"/>
  <c r="AD10" i="9" s="1"/>
  <c r="A36" i="16" s="1"/>
  <c r="V30" i="8"/>
  <c r="W33" i="8"/>
  <c r="AH33" i="8" s="1"/>
  <c r="W34" i="8"/>
  <c r="AH34" i="8" s="1"/>
  <c r="W35" i="8"/>
  <c r="AH35" i="8" s="1"/>
  <c r="W36" i="8"/>
  <c r="AH36" i="8" s="1"/>
  <c r="C37" i="8"/>
  <c r="D37" i="8"/>
  <c r="E37" i="8"/>
  <c r="F37" i="8"/>
  <c r="C11" i="9" s="1"/>
  <c r="M11" i="9" s="1"/>
  <c r="G37" i="8"/>
  <c r="H37" i="8"/>
  <c r="I37" i="8"/>
  <c r="J37" i="8"/>
  <c r="L37" i="8"/>
  <c r="M37" i="8"/>
  <c r="N37" i="8"/>
  <c r="N43" i="8" s="1"/>
  <c r="R37" i="8"/>
  <c r="S37" i="8"/>
  <c r="T37" i="8"/>
  <c r="AD11" i="9" s="1"/>
  <c r="V37" i="8"/>
  <c r="W39" i="8"/>
  <c r="AH39" i="8" s="1"/>
  <c r="W40" i="8"/>
  <c r="AH40" i="8" s="1"/>
  <c r="W41" i="8"/>
  <c r="AH41" i="8" s="1"/>
  <c r="C42" i="8"/>
  <c r="D42" i="8"/>
  <c r="D43" i="8" s="1"/>
  <c r="E42" i="8"/>
  <c r="F42" i="8"/>
  <c r="C12" i="9" s="1"/>
  <c r="M12" i="9" s="1"/>
  <c r="G42" i="8"/>
  <c r="G43" i="8" s="1"/>
  <c r="H42" i="8"/>
  <c r="N12" i="9" s="1"/>
  <c r="X12" i="9" s="1"/>
  <c r="I42" i="8"/>
  <c r="J42" i="8"/>
  <c r="L42" i="8"/>
  <c r="M42" i="8"/>
  <c r="M43" i="8" s="1"/>
  <c r="N42" i="8"/>
  <c r="R42" i="8"/>
  <c r="S42" i="8"/>
  <c r="T42" i="8"/>
  <c r="AD12" i="9" s="1"/>
  <c r="V42" i="8"/>
  <c r="W46" i="8"/>
  <c r="AH46" i="8" s="1"/>
  <c r="W47" i="8"/>
  <c r="AH47" i="8" s="1"/>
  <c r="AD47" i="8"/>
  <c r="W49" i="8"/>
  <c r="AH49" i="8" s="1"/>
  <c r="W50" i="8"/>
  <c r="AH50" i="8" s="1"/>
  <c r="C51" i="8"/>
  <c r="D51" i="8"/>
  <c r="E51" i="8"/>
  <c r="F51" i="8"/>
  <c r="G51" i="8"/>
  <c r="H51" i="8"/>
  <c r="I51" i="8"/>
  <c r="AE48" i="8" s="1"/>
  <c r="J51" i="8"/>
  <c r="L51" i="8"/>
  <c r="M51" i="8"/>
  <c r="N51" i="8"/>
  <c r="R51" i="8"/>
  <c r="AE49" i="8" s="1"/>
  <c r="S51" i="8"/>
  <c r="T51" i="8"/>
  <c r="V51" i="8"/>
  <c r="W53" i="8"/>
  <c r="AH53" i="8" s="1"/>
  <c r="AD53" i="8"/>
  <c r="W54" i="8"/>
  <c r="AH54" i="8" s="1"/>
  <c r="W55" i="8"/>
  <c r="AH55" i="8" s="1"/>
  <c r="W56" i="8"/>
  <c r="AH56" i="8" s="1"/>
  <c r="W57" i="8"/>
  <c r="AH57" i="8" s="1"/>
  <c r="C58" i="8"/>
  <c r="C67" i="8" s="1"/>
  <c r="D58" i="8"/>
  <c r="D67" i="8" s="1"/>
  <c r="E58" i="8"/>
  <c r="E67" i="8" s="1"/>
  <c r="F58" i="8"/>
  <c r="F67" i="8" s="1"/>
  <c r="G58" i="8"/>
  <c r="G67" i="8" s="1"/>
  <c r="H58" i="8"/>
  <c r="H67" i="8" s="1"/>
  <c r="I58" i="8"/>
  <c r="I67" i="8" s="1"/>
  <c r="J58" i="8"/>
  <c r="J67" i="8" s="1"/>
  <c r="L58" i="8"/>
  <c r="L67" i="8" s="1"/>
  <c r="M58" i="8"/>
  <c r="M67" i="8" s="1"/>
  <c r="N58" i="8"/>
  <c r="N67" i="8" s="1"/>
  <c r="R58" i="8"/>
  <c r="R67" i="8" s="1"/>
  <c r="S58" i="8"/>
  <c r="S67" i="8" s="1"/>
  <c r="T58" i="8"/>
  <c r="T67" i="8" s="1"/>
  <c r="V58" i="8"/>
  <c r="V67" i="8" s="1"/>
  <c r="W60" i="8"/>
  <c r="E86" i="10" s="1"/>
  <c r="W61" i="8"/>
  <c r="AH61" i="8" s="1"/>
  <c r="W63" i="8"/>
  <c r="AH63" i="8" s="1"/>
  <c r="W64" i="8"/>
  <c r="AH64" i="8" s="1"/>
  <c r="W65" i="8"/>
  <c r="AH65" i="8" s="1"/>
  <c r="W66" i="8"/>
  <c r="AH66" i="8" s="1"/>
  <c r="W70" i="8"/>
  <c r="AH70" i="8" s="1"/>
  <c r="W71" i="8"/>
  <c r="AH71" i="8" s="1"/>
  <c r="W73" i="8"/>
  <c r="AH73" i="8" s="1"/>
  <c r="W74" i="8"/>
  <c r="AH74" i="8" s="1"/>
  <c r="W75" i="8"/>
  <c r="W76" i="8"/>
  <c r="AH76" i="8" s="1"/>
  <c r="C77" i="8"/>
  <c r="D77" i="8"/>
  <c r="E77" i="8"/>
  <c r="E85" i="8" s="1"/>
  <c r="F77" i="8"/>
  <c r="G77" i="8"/>
  <c r="H77" i="8"/>
  <c r="I77" i="8"/>
  <c r="J77" i="8"/>
  <c r="L77" i="8"/>
  <c r="M77" i="8"/>
  <c r="N77" i="8"/>
  <c r="N85" i="8" s="1"/>
  <c r="R77" i="8"/>
  <c r="S77" i="8"/>
  <c r="T77" i="8"/>
  <c r="V77" i="8"/>
  <c r="W79" i="8"/>
  <c r="AH79" i="8" s="1"/>
  <c r="W80" i="8"/>
  <c r="AH80" i="8" s="1"/>
  <c r="W81" i="8"/>
  <c r="AH81" i="8" s="1"/>
  <c r="W82" i="8"/>
  <c r="AH82" i="8" s="1"/>
  <c r="C83" i="8"/>
  <c r="D83" i="8"/>
  <c r="E83" i="8"/>
  <c r="F83" i="8"/>
  <c r="AE85" i="8" s="1"/>
  <c r="G83" i="8"/>
  <c r="H83" i="8"/>
  <c r="I83" i="8"/>
  <c r="J83" i="8"/>
  <c r="L83" i="8"/>
  <c r="M83" i="8"/>
  <c r="N83" i="8"/>
  <c r="R83" i="8"/>
  <c r="S83" i="8"/>
  <c r="T83" i="8"/>
  <c r="V83" i="8"/>
  <c r="W84" i="8"/>
  <c r="AH84" i="8" s="1"/>
  <c r="W87" i="8"/>
  <c r="AH87" i="8" s="1"/>
  <c r="W88" i="8"/>
  <c r="C89" i="8"/>
  <c r="D89" i="8"/>
  <c r="E89" i="8"/>
  <c r="F89" i="8"/>
  <c r="G89" i="8"/>
  <c r="H89" i="8"/>
  <c r="I89" i="8"/>
  <c r="J89" i="8"/>
  <c r="L89" i="8"/>
  <c r="M89" i="8"/>
  <c r="N89" i="8"/>
  <c r="R89" i="8"/>
  <c r="S89" i="8"/>
  <c r="T89" i="8"/>
  <c r="V89" i="8"/>
  <c r="W93" i="8"/>
  <c r="AH93" i="8" s="1"/>
  <c r="W94" i="8"/>
  <c r="AH94" i="8" s="1"/>
  <c r="W95" i="8"/>
  <c r="W96" i="8"/>
  <c r="AH96" i="8" s="1"/>
  <c r="C97" i="8"/>
  <c r="D97" i="8"/>
  <c r="E97" i="8"/>
  <c r="F97" i="8"/>
  <c r="G97" i="8"/>
  <c r="H97" i="8"/>
  <c r="I97" i="8"/>
  <c r="J97" i="8"/>
  <c r="L97" i="8"/>
  <c r="M97" i="8"/>
  <c r="N97" i="8"/>
  <c r="R97" i="8"/>
  <c r="S97" i="8"/>
  <c r="T97" i="8"/>
  <c r="V97" i="8"/>
  <c r="V109" i="8" s="1"/>
  <c r="W99" i="8"/>
  <c r="AH99" i="8" s="1"/>
  <c r="W100" i="8"/>
  <c r="AH100" i="8" s="1"/>
  <c r="W101" i="8"/>
  <c r="AH101" i="8" s="1"/>
  <c r="C102" i="8"/>
  <c r="D102" i="8"/>
  <c r="E102" i="8"/>
  <c r="F102" i="8"/>
  <c r="F109" i="8" s="1"/>
  <c r="C38" i="9" s="1"/>
  <c r="G102" i="8"/>
  <c r="H102" i="8"/>
  <c r="I102" i="8"/>
  <c r="J102" i="8"/>
  <c r="L102" i="8"/>
  <c r="M102" i="8"/>
  <c r="N102" i="8"/>
  <c r="R102" i="8"/>
  <c r="S102" i="8"/>
  <c r="T102" i="8"/>
  <c r="V102" i="8"/>
  <c r="W104" i="8"/>
  <c r="AH104" i="8" s="1"/>
  <c r="W105" i="8"/>
  <c r="AH105" i="8" s="1"/>
  <c r="W106" i="8"/>
  <c r="AH106" i="8" s="1"/>
  <c r="W107" i="8"/>
  <c r="AH107" i="8" s="1"/>
  <c r="C108" i="8"/>
  <c r="D108" i="8"/>
  <c r="E108" i="8"/>
  <c r="F108" i="8"/>
  <c r="G108" i="8"/>
  <c r="H108" i="8"/>
  <c r="I108" i="8"/>
  <c r="J108" i="8"/>
  <c r="L108" i="8"/>
  <c r="M108" i="8"/>
  <c r="N108" i="8"/>
  <c r="R108" i="8"/>
  <c r="S108" i="8"/>
  <c r="T108" i="8"/>
  <c r="T109" i="8" s="1"/>
  <c r="AD38" i="9" s="1"/>
  <c r="V108" i="8"/>
  <c r="P111" i="8"/>
  <c r="W111" i="8"/>
  <c r="P112" i="8"/>
  <c r="AD115" i="8" s="1"/>
  <c r="M114" i="8"/>
  <c r="A1" i="7"/>
  <c r="G1" i="7"/>
  <c r="H1" i="7"/>
  <c r="C15" i="7"/>
  <c r="C16" i="7" s="1"/>
  <c r="A27" i="16" s="1"/>
  <c r="D15" i="7"/>
  <c r="D16" i="7" s="1"/>
  <c r="D17" i="7" s="1"/>
  <c r="F15" i="7"/>
  <c r="C33" i="7"/>
  <c r="D33" i="7"/>
  <c r="E33" i="7"/>
  <c r="F33" i="7"/>
  <c r="F49" i="7" s="1"/>
  <c r="C40" i="7"/>
  <c r="C41" i="7" s="1"/>
  <c r="C49" i="7" s="1"/>
  <c r="D40" i="7"/>
  <c r="D41" i="7"/>
  <c r="E40" i="7"/>
  <c r="E41" i="7" s="1"/>
  <c r="F40" i="7"/>
  <c r="F41" i="7" s="1"/>
  <c r="C47" i="7"/>
  <c r="D47" i="7"/>
  <c r="E47" i="7"/>
  <c r="F47" i="7"/>
  <c r="C54" i="7"/>
  <c r="D54" i="7"/>
  <c r="E54" i="7"/>
  <c r="F54" i="7"/>
  <c r="C58" i="7"/>
  <c r="D58" i="7"/>
  <c r="E58" i="7"/>
  <c r="F58" i="7"/>
  <c r="C63" i="7"/>
  <c r="D63" i="7"/>
  <c r="E63" i="7"/>
  <c r="F63" i="7"/>
  <c r="E1" i="4"/>
  <c r="F1" i="4"/>
  <c r="D12" i="4"/>
  <c r="M12" i="4" s="1"/>
  <c r="N12" i="4"/>
  <c r="D17" i="4"/>
  <c r="E15" i="7" s="1"/>
  <c r="E16" i="7" s="1"/>
  <c r="E17" i="7" s="1"/>
  <c r="N17" i="4"/>
  <c r="E18" i="4"/>
  <c r="M19" i="4"/>
  <c r="N19" i="4"/>
  <c r="F31" i="4"/>
  <c r="M57" i="4"/>
  <c r="A3" i="16"/>
  <c r="D68" i="4"/>
  <c r="M68" i="4" s="1"/>
  <c r="N68" i="4"/>
  <c r="N76" i="4"/>
  <c r="M77" i="4"/>
  <c r="N77" i="4"/>
  <c r="N78" i="4"/>
  <c r="M79" i="4"/>
  <c r="N79" i="4"/>
  <c r="M80" i="4"/>
  <c r="A2" i="16"/>
  <c r="N80" i="4"/>
  <c r="D81" i="4"/>
  <c r="E81" i="4"/>
  <c r="K81" i="4" s="1"/>
  <c r="B147" i="15"/>
  <c r="I26" i="12"/>
  <c r="K26" i="12" s="1"/>
  <c r="O50" i="10"/>
  <c r="O59" i="10"/>
  <c r="O67" i="10"/>
  <c r="R109" i="8"/>
  <c r="S85" i="8"/>
  <c r="I43" i="8"/>
  <c r="N11" i="9"/>
  <c r="X11" i="9" s="1"/>
  <c r="T43" i="8"/>
  <c r="X18" i="10"/>
  <c r="E43" i="8"/>
  <c r="N9" i="9"/>
  <c r="X9" i="9" s="1"/>
  <c r="X26" i="10"/>
  <c r="O14" i="10"/>
  <c r="H43" i="8"/>
  <c r="X68" i="10"/>
  <c r="M33" i="9"/>
  <c r="F121" i="15"/>
  <c r="O87" i="10"/>
  <c r="O48" i="10"/>
  <c r="O46" i="10"/>
  <c r="O97" i="10"/>
  <c r="M95" i="10"/>
  <c r="O96" i="10"/>
  <c r="O79" i="10"/>
  <c r="X72" i="10"/>
  <c r="F115" i="15" s="1"/>
  <c r="O64" i="10"/>
  <c r="O63" i="10"/>
  <c r="O60" i="10"/>
  <c r="O45" i="10"/>
  <c r="B26" i="15"/>
  <c r="K34" i="12"/>
  <c r="F64" i="7"/>
  <c r="D49" i="7"/>
  <c r="G30" i="11"/>
  <c r="D30" i="11"/>
  <c r="H26" i="12"/>
  <c r="E44" i="10"/>
  <c r="E95" i="10"/>
  <c r="E102" i="10" s="1"/>
  <c r="E103" i="10" s="1"/>
  <c r="AH60" i="8"/>
  <c r="C82" i="7"/>
  <c r="K16" i="12"/>
  <c r="E69" i="4"/>
  <c r="X58" i="10" l="1"/>
  <c r="X66" i="10" s="1"/>
  <c r="B15" i="15"/>
  <c r="B46" i="15" s="1"/>
  <c r="B10" i="15"/>
  <c r="B41" i="15" s="1"/>
  <c r="B9" i="15"/>
  <c r="B40" i="15" s="1"/>
  <c r="F123" i="15"/>
  <c r="J30" i="11"/>
  <c r="E30" i="11"/>
  <c r="F20" i="11"/>
  <c r="I20" i="11"/>
  <c r="D20" i="12"/>
  <c r="E28" i="12"/>
  <c r="B275" i="14"/>
  <c r="O34" i="11"/>
  <c r="O40" i="10"/>
  <c r="P40" i="10"/>
  <c r="G19" i="12"/>
  <c r="E280" i="14"/>
  <c r="D280" i="14"/>
  <c r="D272" i="14"/>
  <c r="E272" i="14"/>
  <c r="D263" i="14"/>
  <c r="E263" i="14"/>
  <c r="F144" i="15"/>
  <c r="M23" i="10"/>
  <c r="O23" i="10" s="1"/>
  <c r="P23" i="10" s="1"/>
  <c r="G31" i="12"/>
  <c r="X86" i="10"/>
  <c r="F116" i="15" s="1"/>
  <c r="O99" i="10"/>
  <c r="P99" i="10"/>
  <c r="E273" i="14"/>
  <c r="D273" i="14"/>
  <c r="S68" i="8"/>
  <c r="D279" i="14"/>
  <c r="E279" i="14"/>
  <c r="D262" i="14"/>
  <c r="E262" i="14"/>
  <c r="N57" i="11"/>
  <c r="O37" i="10"/>
  <c r="P37" i="10"/>
  <c r="O53" i="10"/>
  <c r="P53" i="10"/>
  <c r="M109" i="8"/>
  <c r="D109" i="8"/>
  <c r="D268" i="14"/>
  <c r="E268" i="14"/>
  <c r="H20" i="11"/>
  <c r="F28" i="12"/>
  <c r="O83" i="10"/>
  <c r="P83" i="10"/>
  <c r="M72" i="10"/>
  <c r="P73" i="10"/>
  <c r="O61" i="10"/>
  <c r="O49" i="10"/>
  <c r="O36" i="10"/>
  <c r="P36" i="10"/>
  <c r="E264" i="14"/>
  <c r="D264" i="14"/>
  <c r="E58" i="10"/>
  <c r="E67" i="10" s="1"/>
  <c r="E71" i="10" s="1"/>
  <c r="W102" i="8"/>
  <c r="E49" i="7"/>
  <c r="V43" i="8"/>
  <c r="E277" i="14"/>
  <c r="D277" i="14"/>
  <c r="N50" i="11"/>
  <c r="H30" i="11"/>
  <c r="O74" i="10"/>
  <c r="O81" i="10"/>
  <c r="P81" i="10"/>
  <c r="O70" i="10"/>
  <c r="P70" i="10"/>
  <c r="M68" i="8"/>
  <c r="E276" i="14"/>
  <c r="D276" i="14"/>
  <c r="D267" i="14"/>
  <c r="E267" i="14"/>
  <c r="N53" i="11"/>
  <c r="O88" i="10"/>
  <c r="D275" i="14"/>
  <c r="E275" i="14"/>
  <c r="D266" i="14"/>
  <c r="E266" i="14"/>
  <c r="F30" i="11"/>
  <c r="O98" i="10"/>
  <c r="E53" i="10"/>
  <c r="E57" i="10" s="1"/>
  <c r="E274" i="14"/>
  <c r="D274" i="14"/>
  <c r="C53" i="11"/>
  <c r="O89" i="10"/>
  <c r="P89" i="10"/>
  <c r="O77" i="10"/>
  <c r="P77" i="10"/>
  <c r="O30" i="10"/>
  <c r="P30" i="10"/>
  <c r="E36" i="12"/>
  <c r="O35" i="10"/>
  <c r="P35" i="10"/>
  <c r="O34" i="10"/>
  <c r="O33" i="10"/>
  <c r="P33" i="10" s="1"/>
  <c r="E278" i="14"/>
  <c r="D278" i="14"/>
  <c r="O95" i="10"/>
  <c r="P95" i="10"/>
  <c r="A70" i="16" s="1"/>
  <c r="O72" i="10"/>
  <c r="P72" i="10"/>
  <c r="A66" i="16" s="1"/>
  <c r="C66" i="16" s="1"/>
  <c r="O51" i="10"/>
  <c r="E33" i="4"/>
  <c r="F12" i="4"/>
  <c r="M17" i="4"/>
  <c r="E24" i="10"/>
  <c r="F43" i="8"/>
  <c r="H85" i="8"/>
  <c r="AE80" i="8" s="1"/>
  <c r="L85" i="8"/>
  <c r="G85" i="8"/>
  <c r="F68" i="8"/>
  <c r="X54" i="10"/>
  <c r="K44" i="9"/>
  <c r="A15" i="16" s="1"/>
  <c r="C15" i="16" s="1"/>
  <c r="M41" i="10"/>
  <c r="P41" i="10" s="1"/>
  <c r="M29" i="10"/>
  <c r="O29" i="10" s="1"/>
  <c r="E72" i="10"/>
  <c r="E81" i="10" s="1"/>
  <c r="E85" i="10" s="1"/>
  <c r="M82" i="10"/>
  <c r="P82" i="10" s="1"/>
  <c r="H109" i="8"/>
  <c r="N38" i="9" s="1"/>
  <c r="X38" i="9" s="1"/>
  <c r="L68" i="8"/>
  <c r="G68" i="8"/>
  <c r="AE84" i="8"/>
  <c r="E20" i="11"/>
  <c r="T85" i="8"/>
  <c r="R68" i="8"/>
  <c r="C43" i="8"/>
  <c r="AE86" i="8"/>
  <c r="W42" i="8"/>
  <c r="AH42" i="8" s="1"/>
  <c r="AE83" i="8"/>
  <c r="G109" i="8"/>
  <c r="E8" i="10"/>
  <c r="W17" i="8"/>
  <c r="AH17" i="8" s="1"/>
  <c r="E16" i="10"/>
  <c r="X35" i="9"/>
  <c r="W108" i="8"/>
  <c r="J109" i="8"/>
  <c r="R85" i="8"/>
  <c r="J85" i="8"/>
  <c r="J68" i="8"/>
  <c r="D68" i="8"/>
  <c r="S43" i="8"/>
  <c r="S90" i="8" s="1"/>
  <c r="L43" i="8"/>
  <c r="D31" i="12"/>
  <c r="O41" i="10"/>
  <c r="T45" i="9"/>
  <c r="A14" i="16" s="1"/>
  <c r="E93" i="10"/>
  <c r="E94" i="10" s="1"/>
  <c r="O54" i="10"/>
  <c r="P54" i="10"/>
  <c r="G20" i="11"/>
  <c r="E31" i="12"/>
  <c r="X22" i="10"/>
  <c r="X23" i="10"/>
  <c r="Q45" i="9"/>
  <c r="A18" i="16" s="1"/>
  <c r="C18" i="16" s="1"/>
  <c r="O82" i="10"/>
  <c r="O68" i="10"/>
  <c r="P68" i="10"/>
  <c r="J20" i="11"/>
  <c r="O26" i="10"/>
  <c r="P26" i="10" s="1"/>
  <c r="O18" i="10"/>
  <c r="P18" i="10" s="1"/>
  <c r="P14" i="10"/>
  <c r="O12" i="10"/>
  <c r="P12" i="10"/>
  <c r="B82" i="15"/>
  <c r="W77" i="8"/>
  <c r="AH77" i="8" s="1"/>
  <c r="O17" i="11"/>
  <c r="B80" i="15"/>
  <c r="O16" i="11"/>
  <c r="B6" i="15"/>
  <c r="B37" i="15" s="1"/>
  <c r="B78" i="15"/>
  <c r="I12" i="17"/>
  <c r="C13" i="17"/>
  <c r="I48" i="17"/>
  <c r="D12" i="17"/>
  <c r="I47" i="17"/>
  <c r="I53" i="17"/>
  <c r="I52" i="17"/>
  <c r="D20" i="11"/>
  <c r="C85" i="8"/>
  <c r="AC43" i="9"/>
  <c r="A43" i="16" s="1"/>
  <c r="C43" i="16" s="1"/>
  <c r="B287" i="14"/>
  <c r="E287" i="14" s="1"/>
  <c r="B176" i="14"/>
  <c r="B182" i="14" s="1"/>
  <c r="B168" i="14"/>
  <c r="F170" i="14" s="1"/>
  <c r="B286" i="14"/>
  <c r="B151" i="14"/>
  <c r="F153" i="14" s="1"/>
  <c r="A95" i="16" s="1"/>
  <c r="B284" i="14"/>
  <c r="B144" i="14"/>
  <c r="F145" i="14" s="1"/>
  <c r="A94" i="16" s="1"/>
  <c r="B283" i="14"/>
  <c r="L56" i="4"/>
  <c r="L57" i="4"/>
  <c r="M72" i="4"/>
  <c r="D69" i="4"/>
  <c r="F17" i="4"/>
  <c r="C23" i="16"/>
  <c r="C14" i="16"/>
  <c r="C16" i="16"/>
  <c r="C36" i="16"/>
  <c r="F16" i="7"/>
  <c r="A30" i="16" s="1"/>
  <c r="C30" i="16" s="1"/>
  <c r="C3" i="16"/>
  <c r="F31" i="12"/>
  <c r="C64" i="7"/>
  <c r="C66" i="7" s="1"/>
  <c r="O65" i="10"/>
  <c r="M27" i="11"/>
  <c r="O27" i="11" s="1"/>
  <c r="M23" i="11"/>
  <c r="O23" i="11" s="1"/>
  <c r="O32" i="11"/>
  <c r="B79" i="15"/>
  <c r="O38" i="10"/>
  <c r="O91" i="10"/>
  <c r="F124" i="15"/>
  <c r="M86" i="10"/>
  <c r="AD111" i="8"/>
  <c r="D24" i="14"/>
  <c r="C21" i="16"/>
  <c r="K14" i="12"/>
  <c r="K13" i="12"/>
  <c r="L41" i="9"/>
  <c r="B269" i="14"/>
  <c r="A29" i="16"/>
  <c r="C29" i="16" s="1"/>
  <c r="M44" i="10"/>
  <c r="X44" i="10"/>
  <c r="X52" i="10" s="1"/>
  <c r="O47" i="10"/>
  <c r="W51" i="8"/>
  <c r="AH51" i="8" s="1"/>
  <c r="M80" i="10"/>
  <c r="O11" i="10"/>
  <c r="P11" i="10" s="1"/>
  <c r="X95" i="10"/>
  <c r="F137" i="15" s="1"/>
  <c r="F136" i="15"/>
  <c r="F139" i="15" s="1"/>
  <c r="F114" i="15"/>
  <c r="B12" i="15"/>
  <c r="B43" i="15" s="1"/>
  <c r="B65" i="15"/>
  <c r="B67" i="15" s="1"/>
  <c r="M22" i="11"/>
  <c r="O22" i="11" s="1"/>
  <c r="B83" i="15"/>
  <c r="B20" i="15"/>
  <c r="B51" i="15" s="1"/>
  <c r="B17" i="15"/>
  <c r="B48" i="15" s="1"/>
  <c r="M24" i="11"/>
  <c r="O24" i="11" s="1"/>
  <c r="B66" i="15"/>
  <c r="B68" i="15" s="1"/>
  <c r="B21" i="15"/>
  <c r="B52" i="15" s="1"/>
  <c r="B64" i="15"/>
  <c r="E265" i="14"/>
  <c r="D265" i="14"/>
  <c r="E68" i="8"/>
  <c r="E90" i="8" s="1"/>
  <c r="W58" i="8"/>
  <c r="W67" i="8" s="1"/>
  <c r="AH67" i="8" s="1"/>
  <c r="E31" i="10"/>
  <c r="E40" i="10" s="1"/>
  <c r="E43" i="10" s="1"/>
  <c r="X31" i="10"/>
  <c r="X39" i="10" s="1"/>
  <c r="B159" i="14"/>
  <c r="B161" i="14" s="1"/>
  <c r="B285" i="14"/>
  <c r="M31" i="10"/>
  <c r="I85" i="8"/>
  <c r="B249" i="14"/>
  <c r="G38" i="11"/>
  <c r="AH75" i="8"/>
  <c r="B230" i="14"/>
  <c r="F85" i="8"/>
  <c r="AE79" i="8" s="1"/>
  <c r="D161" i="14"/>
  <c r="C53" i="16"/>
  <c r="Z42" i="9"/>
  <c r="D53" i="11"/>
  <c r="M22" i="10"/>
  <c r="Q44" i="9"/>
  <c r="A17" i="16" s="1"/>
  <c r="C17" i="16" s="1"/>
  <c r="AA42" i="9"/>
  <c r="X31" i="9"/>
  <c r="X40" i="9" s="1"/>
  <c r="F45" i="9"/>
  <c r="A12" i="16" s="1"/>
  <c r="C12" i="16" s="1"/>
  <c r="F44" i="9"/>
  <c r="A11" i="16" s="1"/>
  <c r="C11" i="16" s="1"/>
  <c r="M21" i="10"/>
  <c r="I30" i="11"/>
  <c r="G27" i="12"/>
  <c r="G28" i="12" s="1"/>
  <c r="O28" i="10"/>
  <c r="G20" i="12"/>
  <c r="O13" i="10"/>
  <c r="P13" i="10" s="1"/>
  <c r="C47" i="16"/>
  <c r="M42" i="9"/>
  <c r="O32" i="10"/>
  <c r="O27" i="10"/>
  <c r="P27" i="10" s="1"/>
  <c r="M81" i="4"/>
  <c r="I117" i="8"/>
  <c r="A28" i="16"/>
  <c r="C28" i="16" s="1"/>
  <c r="C17" i="7"/>
  <c r="N81" i="4"/>
  <c r="D32" i="4"/>
  <c r="M32" i="4" s="1"/>
  <c r="C24" i="16"/>
  <c r="D49" i="14"/>
  <c r="L109" i="8"/>
  <c r="I68" i="8"/>
  <c r="I90" i="8" s="1"/>
  <c r="Y42" i="9"/>
  <c r="J38" i="11"/>
  <c r="H18" i="12"/>
  <c r="I18" i="12" s="1"/>
  <c r="K18" i="12" s="1"/>
  <c r="S109" i="8"/>
  <c r="D85" i="8"/>
  <c r="D90" i="8" s="1"/>
  <c r="D110" i="8" s="1"/>
  <c r="D113" i="8" s="1"/>
  <c r="V68" i="8"/>
  <c r="N68" i="8"/>
  <c r="N90" i="8" s="1"/>
  <c r="W37" i="8"/>
  <c r="AH37" i="8" s="1"/>
  <c r="AH43" i="8" s="1"/>
  <c r="AB42" i="9"/>
  <c r="B81" i="15"/>
  <c r="F122" i="15"/>
  <c r="D36" i="12"/>
  <c r="F106" i="15"/>
  <c r="D18" i="4"/>
  <c r="E64" i="7"/>
  <c r="E66" i="7" s="1"/>
  <c r="E109" i="8"/>
  <c r="V85" i="8"/>
  <c r="T68" i="8"/>
  <c r="T90" i="8" s="1"/>
  <c r="T110" i="8" s="1"/>
  <c r="T113" i="8" s="1"/>
  <c r="B88" i="14" s="1"/>
  <c r="B94" i="14" s="1"/>
  <c r="H68" i="8"/>
  <c r="H90" i="8" s="1"/>
  <c r="H110" i="8" s="1"/>
  <c r="H113" i="8" s="1"/>
  <c r="B56" i="14" s="1"/>
  <c r="C68" i="8"/>
  <c r="R43" i="8"/>
  <c r="R90" i="8" s="1"/>
  <c r="R110" i="8" s="1"/>
  <c r="R113" i="8" s="1"/>
  <c r="B72" i="14" s="1"/>
  <c r="J43" i="8"/>
  <c r="D28" i="12"/>
  <c r="C109" i="8"/>
  <c r="M85" i="8"/>
  <c r="F120" i="15"/>
  <c r="F126" i="15"/>
  <c r="O100" i="10"/>
  <c r="A61" i="16"/>
  <c r="C44" i="16"/>
  <c r="C6" i="16"/>
  <c r="C20" i="16"/>
  <c r="C22" i="16"/>
  <c r="C19" i="16"/>
  <c r="C27" i="16"/>
  <c r="C4" i="16"/>
  <c r="C37" i="16"/>
  <c r="C1" i="16"/>
  <c r="C25" i="16"/>
  <c r="C54" i="16"/>
  <c r="C51" i="16"/>
  <c r="C2" i="16"/>
  <c r="C52" i="16"/>
  <c r="C48" i="16"/>
  <c r="C61" i="16"/>
  <c r="C13" i="16"/>
  <c r="C5" i="16"/>
  <c r="C50" i="16"/>
  <c r="C40" i="16"/>
  <c r="B146" i="15"/>
  <c r="F36" i="12"/>
  <c r="C40" i="9"/>
  <c r="M38" i="9"/>
  <c r="M40" i="9" s="1"/>
  <c r="M41" i="9" s="1"/>
  <c r="F113" i="15"/>
  <c r="F66" i="7"/>
  <c r="N40" i="9"/>
  <c r="D64" i="7"/>
  <c r="D66" i="7" s="1"/>
  <c r="N109" i="8"/>
  <c r="AH88" i="8"/>
  <c r="W89" i="8"/>
  <c r="AH89" i="8" s="1"/>
  <c r="D94" i="14"/>
  <c r="I109" i="8"/>
  <c r="AH95" i="8"/>
  <c r="AH97" i="8" s="1"/>
  <c r="W97" i="8"/>
  <c r="W43" i="8"/>
  <c r="B24" i="15"/>
  <c r="F38" i="11"/>
  <c r="A64" i="16"/>
  <c r="C64" i="16" s="1"/>
  <c r="C57" i="11"/>
  <c r="D57" i="11" s="1"/>
  <c r="E38" i="11"/>
  <c r="W83" i="8"/>
  <c r="H38" i="11"/>
  <c r="D49" i="11"/>
  <c r="AH108" i="8"/>
  <c r="AH102" i="8"/>
  <c r="W30" i="8"/>
  <c r="O76" i="10"/>
  <c r="P76" i="10" s="1"/>
  <c r="O73" i="10"/>
  <c r="O62" i="10"/>
  <c r="P62" i="10" s="1"/>
  <c r="O42" i="10"/>
  <c r="E20" i="12"/>
  <c r="O55" i="10"/>
  <c r="O19" i="10"/>
  <c r="P19" i="10" s="1"/>
  <c r="O90" i="10"/>
  <c r="D114" i="8" l="1"/>
  <c r="M90" i="8"/>
  <c r="M110" i="8" s="1"/>
  <c r="M113" i="8" s="1"/>
  <c r="L90" i="8"/>
  <c r="L110" i="8" s="1"/>
  <c r="G65" i="7"/>
  <c r="I7" i="7"/>
  <c r="I54" i="17"/>
  <c r="E170" i="14"/>
  <c r="A97" i="16"/>
  <c r="G90" i="8"/>
  <c r="G110" i="8" s="1"/>
  <c r="G113" i="8" s="1"/>
  <c r="B39" i="14" s="1"/>
  <c r="B49" i="14" s="1"/>
  <c r="F50" i="14" s="1"/>
  <c r="A83" i="16" s="1"/>
  <c r="C83" i="16" s="1"/>
  <c r="O86" i="10"/>
  <c r="P86" i="10"/>
  <c r="B106" i="15"/>
  <c r="M52" i="10"/>
  <c r="O52" i="10" s="1"/>
  <c r="P44" i="10"/>
  <c r="O31" i="10"/>
  <c r="P31" i="10"/>
  <c r="A58" i="16" s="1"/>
  <c r="E58" i="16" s="1"/>
  <c r="C58" i="16" s="1"/>
  <c r="E17" i="19"/>
  <c r="AA43" i="9"/>
  <c r="A41" i="16" s="1"/>
  <c r="C41" i="16" s="1"/>
  <c r="C16" i="17"/>
  <c r="I49" i="17" s="1"/>
  <c r="I13" i="17"/>
  <c r="P29" i="10"/>
  <c r="E110" i="8"/>
  <c r="E113" i="8" s="1"/>
  <c r="B20" i="14" s="1"/>
  <c r="B24" i="14" s="1"/>
  <c r="F25" i="14" s="1"/>
  <c r="E24" i="14" s="1"/>
  <c r="S110" i="8"/>
  <c r="S113" i="8" s="1"/>
  <c r="B80" i="14" s="1"/>
  <c r="F82" i="14" s="1"/>
  <c r="A87" i="16" s="1"/>
  <c r="C87" i="16" s="1"/>
  <c r="J90" i="8"/>
  <c r="J110" i="8" s="1"/>
  <c r="J113" i="8" s="1"/>
  <c r="AD114" i="8" s="1"/>
  <c r="V90" i="8"/>
  <c r="V110" i="8" s="1"/>
  <c r="F90" i="8"/>
  <c r="F110" i="8" s="1"/>
  <c r="F113" i="8" s="1"/>
  <c r="B31" i="14" s="1"/>
  <c r="F33" i="14" s="1"/>
  <c r="E33" i="14" s="1"/>
  <c r="C90" i="8"/>
  <c r="C110" i="8" s="1"/>
  <c r="C113" i="8" s="1"/>
  <c r="AD113" i="8" s="1"/>
  <c r="N110" i="8"/>
  <c r="N113" i="8" s="1"/>
  <c r="I119" i="8" s="1"/>
  <c r="I120" i="8" s="1"/>
  <c r="W109" i="8"/>
  <c r="AH109" i="8" s="1"/>
  <c r="W68" i="8"/>
  <c r="O20" i="10"/>
  <c r="P20" i="10" s="1"/>
  <c r="O22" i="10"/>
  <c r="P22" i="10" s="1"/>
  <c r="O80" i="10"/>
  <c r="P80" i="10"/>
  <c r="F58" i="14"/>
  <c r="E58" i="14" s="1"/>
  <c r="F74" i="14"/>
  <c r="A86" i="16" s="1"/>
  <c r="C86" i="16" s="1"/>
  <c r="J12" i="17"/>
  <c r="D13" i="17"/>
  <c r="J47" i="17"/>
  <c r="J48" i="17"/>
  <c r="X41" i="9"/>
  <c r="A39" i="16" s="1"/>
  <c r="C39" i="16" s="1"/>
  <c r="D287" i="14"/>
  <c r="E169" i="14"/>
  <c r="AB43" i="9"/>
  <c r="A42" i="16" s="1"/>
  <c r="C42" i="16" s="1"/>
  <c r="Z43" i="9"/>
  <c r="A46" i="16" s="1"/>
  <c r="C46" i="16" s="1"/>
  <c r="Y43" i="9"/>
  <c r="A45" i="16" s="1"/>
  <c r="C45" i="16" s="1"/>
  <c r="D286" i="14"/>
  <c r="E286" i="14"/>
  <c r="E284" i="14"/>
  <c r="D284" i="14"/>
  <c r="E153" i="14"/>
  <c r="E152" i="14"/>
  <c r="D283" i="14"/>
  <c r="E283" i="14"/>
  <c r="E145" i="14"/>
  <c r="E144" i="14"/>
  <c r="F183" i="14"/>
  <c r="A98" i="16" s="1"/>
  <c r="F95" i="14"/>
  <c r="E94" i="14" s="1"/>
  <c r="F162" i="14"/>
  <c r="F17" i="7"/>
  <c r="G66" i="7"/>
  <c r="A31" i="16" s="1"/>
  <c r="C31" i="16" s="1"/>
  <c r="A68" i="16"/>
  <c r="E68" i="16" s="1"/>
  <c r="C68" i="16" s="1"/>
  <c r="M101" i="10"/>
  <c r="O101" i="10" s="1"/>
  <c r="O44" i="10"/>
  <c r="E269" i="14"/>
  <c r="D269" i="14"/>
  <c r="X101" i="10"/>
  <c r="M39" i="10"/>
  <c r="F117" i="15"/>
  <c r="F118" i="15" s="1"/>
  <c r="F119" i="15"/>
  <c r="M66" i="10"/>
  <c r="O58" i="10"/>
  <c r="B32" i="15"/>
  <c r="B61" i="15" s="1"/>
  <c r="F112" i="15"/>
  <c r="AH58" i="8"/>
  <c r="AH68" i="8" s="1"/>
  <c r="D285" i="14"/>
  <c r="E285" i="14"/>
  <c r="D249" i="14"/>
  <c r="E249" i="14"/>
  <c r="E230" i="14"/>
  <c r="D230" i="14"/>
  <c r="O21" i="10"/>
  <c r="P21" i="10" s="1"/>
  <c r="A38" i="16"/>
  <c r="C38" i="16" s="1"/>
  <c r="D33" i="4"/>
  <c r="AH83" i="8"/>
  <c r="AH85" i="8" s="1"/>
  <c r="W85" i="8"/>
  <c r="C93" i="16"/>
  <c r="F140" i="15"/>
  <c r="F138" i="15"/>
  <c r="I110" i="8"/>
  <c r="I113" i="8" s="1"/>
  <c r="B64" i="14" s="1"/>
  <c r="F66" i="14" s="1"/>
  <c r="AH30" i="8"/>
  <c r="D59" i="11"/>
  <c r="A75" i="16" s="1"/>
  <c r="C75" i="16" s="1"/>
  <c r="E70" i="16"/>
  <c r="C70" i="16" s="1"/>
  <c r="F121" i="8" l="1"/>
  <c r="O48" i="8"/>
  <c r="P48" i="8" s="1"/>
  <c r="J118" i="8"/>
  <c r="A35" i="16" s="1"/>
  <c r="C35" i="16" s="1"/>
  <c r="N114" i="8"/>
  <c r="A33" i="16" s="1"/>
  <c r="C33" i="16" s="1"/>
  <c r="L113" i="8"/>
  <c r="P115" i="8" s="1"/>
  <c r="W90" i="8"/>
  <c r="E81" i="14"/>
  <c r="E82" i="14"/>
  <c r="P58" i="10"/>
  <c r="A63" i="16" s="1"/>
  <c r="E63" i="16" s="1"/>
  <c r="C63" i="16" s="1"/>
  <c r="P116" i="8"/>
  <c r="E161" i="14"/>
  <c r="A96" i="16"/>
  <c r="A60" i="16"/>
  <c r="E60" i="16" s="1"/>
  <c r="C60" i="16" s="1"/>
  <c r="P52" i="10"/>
  <c r="B5" i="14"/>
  <c r="B13" i="14" s="1"/>
  <c r="F14" i="14" s="1"/>
  <c r="E13" i="14" s="1"/>
  <c r="A32" i="16"/>
  <c r="C32" i="16" s="1"/>
  <c r="I16" i="17"/>
  <c r="C18" i="17"/>
  <c r="C30" i="17" s="1"/>
  <c r="D16" i="17"/>
  <c r="J16" i="17" s="1"/>
  <c r="J13" i="17"/>
  <c r="A82" i="16"/>
  <c r="C82" i="16" s="1"/>
  <c r="E32" i="14"/>
  <c r="W110" i="8"/>
  <c r="AE92" i="8"/>
  <c r="O39" i="10"/>
  <c r="P39" i="10"/>
  <c r="O66" i="10"/>
  <c r="P66" i="10"/>
  <c r="E73" i="14"/>
  <c r="E74" i="14"/>
  <c r="E57" i="14"/>
  <c r="A84" i="16"/>
  <c r="A81" i="16"/>
  <c r="C81" i="16" s="1"/>
  <c r="E25" i="14"/>
  <c r="C89" i="16"/>
  <c r="E182" i="14"/>
  <c r="E183" i="14"/>
  <c r="C92" i="16"/>
  <c r="E162" i="14"/>
  <c r="AH90" i="8"/>
  <c r="AH110" i="8" s="1"/>
  <c r="E95" i="14"/>
  <c r="A88" i="16"/>
  <c r="C88" i="16" s="1"/>
  <c r="E50" i="14"/>
  <c r="E49" i="14"/>
  <c r="E65" i="14"/>
  <c r="E66" i="14"/>
  <c r="A85" i="16"/>
  <c r="C85" i="16" s="1"/>
  <c r="O82" i="8"/>
  <c r="P82" i="8" s="1"/>
  <c r="O99" i="8"/>
  <c r="O54" i="8"/>
  <c r="D39" i="10" s="1"/>
  <c r="O70" i="8"/>
  <c r="O40" i="8"/>
  <c r="P40" i="8" s="1"/>
  <c r="O28" i="8"/>
  <c r="P28" i="8" s="1"/>
  <c r="O84" i="8"/>
  <c r="P84" i="8" s="1"/>
  <c r="O101" i="8"/>
  <c r="P101" i="8" s="1"/>
  <c r="O19" i="8"/>
  <c r="O64" i="8"/>
  <c r="P64" i="8" s="1"/>
  <c r="O55" i="8"/>
  <c r="O74" i="8"/>
  <c r="P74" i="8" s="1"/>
  <c r="O57" i="8"/>
  <c r="O26" i="8"/>
  <c r="P26" i="8" s="1"/>
  <c r="O81" i="8"/>
  <c r="P81" i="8" s="1"/>
  <c r="O80" i="8"/>
  <c r="P80" i="8" s="1"/>
  <c r="O27" i="8"/>
  <c r="P27" i="8" s="1"/>
  <c r="O21" i="8"/>
  <c r="P21" i="8" s="1"/>
  <c r="O15" i="8"/>
  <c r="P15" i="8" s="1"/>
  <c r="AD15" i="8" s="1"/>
  <c r="O56" i="8"/>
  <c r="O60" i="8"/>
  <c r="O79" i="8"/>
  <c r="P79" i="8" s="1"/>
  <c r="O93" i="8"/>
  <c r="O87" i="8"/>
  <c r="O94" i="8"/>
  <c r="P94" i="8" s="1"/>
  <c r="O47" i="8"/>
  <c r="P47" i="8" s="1"/>
  <c r="C8" i="10" s="1"/>
  <c r="D11" i="10" s="1"/>
  <c r="O71" i="8"/>
  <c r="P71" i="8" s="1"/>
  <c r="AD71" i="8" s="1"/>
  <c r="O65" i="8"/>
  <c r="P65" i="8" s="1"/>
  <c r="O95" i="8"/>
  <c r="P95" i="8" s="1"/>
  <c r="O24" i="8"/>
  <c r="P24" i="8" s="1"/>
  <c r="O29" i="8"/>
  <c r="P29" i="8" s="1"/>
  <c r="O76" i="8"/>
  <c r="P76" i="8" s="1"/>
  <c r="O61" i="8"/>
  <c r="O105" i="8"/>
  <c r="P105" i="8" s="1"/>
  <c r="O50" i="8"/>
  <c r="P50" i="8" s="1"/>
  <c r="O23" i="8"/>
  <c r="P23" i="8" s="1"/>
  <c r="AD23" i="8" s="1"/>
  <c r="O63" i="8"/>
  <c r="P63" i="8" s="1"/>
  <c r="O16" i="8"/>
  <c r="P16" i="8" s="1"/>
  <c r="O39" i="8"/>
  <c r="O49" i="8"/>
  <c r="P49" i="8" s="1"/>
  <c r="O46" i="8"/>
  <c r="O83" i="8"/>
  <c r="O20" i="8"/>
  <c r="P20" i="8" s="1"/>
  <c r="O33" i="8"/>
  <c r="O96" i="8"/>
  <c r="P96" i="8" s="1"/>
  <c r="O36" i="8"/>
  <c r="P36" i="8" s="1"/>
  <c r="O104" i="8"/>
  <c r="O14" i="8"/>
  <c r="P14" i="8" s="1"/>
  <c r="AD14" i="8" s="1"/>
  <c r="O100" i="8"/>
  <c r="P100" i="8" s="1"/>
  <c r="O107" i="8"/>
  <c r="P107" i="8" s="1"/>
  <c r="O13" i="8"/>
  <c r="O41" i="8"/>
  <c r="P41" i="8" s="1"/>
  <c r="O73" i="8"/>
  <c r="O34" i="8"/>
  <c r="P34" i="8" s="1"/>
  <c r="O66" i="8"/>
  <c r="P66" i="8" s="1"/>
  <c r="O35" i="8"/>
  <c r="P35" i="8" s="1"/>
  <c r="O75" i="8"/>
  <c r="O25" i="8"/>
  <c r="P25" i="8" s="1"/>
  <c r="O88" i="8"/>
  <c r="P88" i="8" s="1"/>
  <c r="Z88" i="8" s="1"/>
  <c r="O22" i="8"/>
  <c r="P22" i="8" s="1"/>
  <c r="O106" i="8"/>
  <c r="P106" i="8" s="1"/>
  <c r="O53" i="8"/>
  <c r="V112" i="8"/>
  <c r="Y48" i="8" l="1"/>
  <c r="AF48" i="8"/>
  <c r="AG48" i="8"/>
  <c r="C21" i="11"/>
  <c r="P24" i="11" s="1"/>
  <c r="AD74" i="8"/>
  <c r="P60" i="8"/>
  <c r="AF60" i="8" s="1"/>
  <c r="D92" i="10"/>
  <c r="P57" i="8"/>
  <c r="AF57" i="8" s="1"/>
  <c r="D80" i="10"/>
  <c r="P56" i="8"/>
  <c r="Y56" i="8" s="1"/>
  <c r="D66" i="10"/>
  <c r="P61" i="8"/>
  <c r="AG61" i="8" s="1"/>
  <c r="D101" i="10"/>
  <c r="P55" i="8"/>
  <c r="AG55" i="8" s="1"/>
  <c r="D52" i="10"/>
  <c r="E14" i="14"/>
  <c r="A80" i="16"/>
  <c r="C80" i="16" s="1"/>
  <c r="P54" i="8"/>
  <c r="AG54" i="8" s="1"/>
  <c r="J49" i="17"/>
  <c r="D18" i="17"/>
  <c r="E41" i="4" s="1"/>
  <c r="D41" i="4"/>
  <c r="D43" i="4" s="1"/>
  <c r="I19" i="17"/>
  <c r="I50" i="17"/>
  <c r="C36" i="17"/>
  <c r="C39" i="17" s="1"/>
  <c r="C43" i="17" s="1"/>
  <c r="F99" i="15"/>
  <c r="B99" i="15"/>
  <c r="F101" i="15"/>
  <c r="B101" i="15"/>
  <c r="C84" i="16"/>
  <c r="I30" i="17"/>
  <c r="P75" i="8"/>
  <c r="AA78" i="8" s="1"/>
  <c r="B224" i="14"/>
  <c r="M73" i="4"/>
  <c r="M74" i="4"/>
  <c r="E111" i="14"/>
  <c r="A90" i="16"/>
  <c r="C90" i="16" s="1"/>
  <c r="Y88" i="8"/>
  <c r="AA88" i="8" s="1"/>
  <c r="AD88" i="8" s="1"/>
  <c r="AF88" i="8"/>
  <c r="AG88" i="8"/>
  <c r="AG35" i="8"/>
  <c r="AF35" i="8"/>
  <c r="Y35" i="8"/>
  <c r="AG14" i="8"/>
  <c r="AF14" i="8"/>
  <c r="Y14" i="8"/>
  <c r="AF49" i="8"/>
  <c r="AG49" i="8"/>
  <c r="B103" i="15"/>
  <c r="F103" i="15"/>
  <c r="Y49" i="8"/>
  <c r="Y23" i="8"/>
  <c r="AG23" i="8"/>
  <c r="AF23" i="8"/>
  <c r="B108" i="15"/>
  <c r="F108" i="15"/>
  <c r="AG65" i="8"/>
  <c r="Y65" i="8"/>
  <c r="AF65" i="8"/>
  <c r="P87" i="8"/>
  <c r="Z87" i="8" s="1"/>
  <c r="O89" i="8"/>
  <c r="AF80" i="8"/>
  <c r="Z80" i="8"/>
  <c r="Y80" i="8"/>
  <c r="AA80" i="8" s="1"/>
  <c r="AC80" i="8" s="1"/>
  <c r="AD80" i="8" s="1"/>
  <c r="AG80" i="8"/>
  <c r="C21" i="12"/>
  <c r="P53" i="8"/>
  <c r="O58" i="8"/>
  <c r="O67" i="8" s="1"/>
  <c r="Y66" i="8"/>
  <c r="AF66" i="8"/>
  <c r="AG66" i="8"/>
  <c r="P13" i="8"/>
  <c r="O17" i="8"/>
  <c r="O108" i="8"/>
  <c r="P104" i="8"/>
  <c r="AG20" i="8"/>
  <c r="Y20" i="8"/>
  <c r="AF20" i="8"/>
  <c r="P39" i="8"/>
  <c r="O42" i="8"/>
  <c r="P42" i="8" s="1"/>
  <c r="AF50" i="8"/>
  <c r="Y50" i="8"/>
  <c r="C16" i="10"/>
  <c r="D19" i="10" s="1"/>
  <c r="AG50" i="8"/>
  <c r="AF29" i="8"/>
  <c r="AG29" i="8"/>
  <c r="Y29" i="8"/>
  <c r="AG71" i="8"/>
  <c r="Y71" i="8"/>
  <c r="AF71" i="8"/>
  <c r="O97" i="8"/>
  <c r="P93" i="8"/>
  <c r="AG15" i="8"/>
  <c r="Y15" i="8"/>
  <c r="AF15" i="8"/>
  <c r="AF81" i="8"/>
  <c r="AG81" i="8"/>
  <c r="Y81" i="8"/>
  <c r="AA81" i="8" s="1"/>
  <c r="AD81" i="8" s="1"/>
  <c r="Z81" i="8"/>
  <c r="C29" i="12"/>
  <c r="L29" i="12" s="1"/>
  <c r="AF84" i="8"/>
  <c r="C32" i="12"/>
  <c r="Z84" i="8"/>
  <c r="AG84" i="8"/>
  <c r="Y84" i="8"/>
  <c r="AA84" i="8" s="1"/>
  <c r="AC84" i="8" s="1"/>
  <c r="AD84" i="8" s="1"/>
  <c r="AG25" i="8"/>
  <c r="AF25" i="8"/>
  <c r="Y25" i="8"/>
  <c r="AG107" i="8"/>
  <c r="AF107" i="8"/>
  <c r="Y107" i="8"/>
  <c r="Y16" i="8"/>
  <c r="AG16" i="8"/>
  <c r="AF16" i="8"/>
  <c r="AF24" i="8"/>
  <c r="AG24" i="8"/>
  <c r="Y24" i="8"/>
  <c r="AD24" i="8"/>
  <c r="Z79" i="8"/>
  <c r="Y79" i="8"/>
  <c r="AA79" i="8" s="1"/>
  <c r="AC79" i="8" s="1"/>
  <c r="AD79" i="8" s="1"/>
  <c r="AG79" i="8"/>
  <c r="P83" i="8"/>
  <c r="C12" i="12"/>
  <c r="AF79" i="8"/>
  <c r="AF26" i="8"/>
  <c r="Y26" i="8"/>
  <c r="AG26" i="8"/>
  <c r="AG64" i="8"/>
  <c r="Y64" i="8"/>
  <c r="AF64" i="8"/>
  <c r="AG28" i="8"/>
  <c r="AF28" i="8"/>
  <c r="AD28" i="8"/>
  <c r="Y28" i="8"/>
  <c r="P99" i="8"/>
  <c r="O102" i="8"/>
  <c r="AF106" i="8"/>
  <c r="Y106" i="8"/>
  <c r="AG106" i="8"/>
  <c r="AF34" i="8"/>
  <c r="AG34" i="8"/>
  <c r="Y34" i="8"/>
  <c r="Z36" i="8"/>
  <c r="AG36" i="8"/>
  <c r="AF36" i="8"/>
  <c r="Y36" i="8"/>
  <c r="AA36" i="8" s="1"/>
  <c r="AD36" i="8" s="1"/>
  <c r="AG105" i="8"/>
  <c r="AF105" i="8"/>
  <c r="Y105" i="8"/>
  <c r="AF47" i="8"/>
  <c r="AG47" i="8"/>
  <c r="Y47" i="8"/>
  <c r="AF21" i="8"/>
  <c r="AG21" i="8"/>
  <c r="Y21" i="8"/>
  <c r="Y22" i="8"/>
  <c r="AG22" i="8"/>
  <c r="AF22" i="8"/>
  <c r="P73" i="8"/>
  <c r="O77" i="8"/>
  <c r="O85" i="8" s="1"/>
  <c r="Y100" i="8"/>
  <c r="AG100" i="8"/>
  <c r="AF100" i="8"/>
  <c r="Y96" i="8"/>
  <c r="AG96" i="8"/>
  <c r="AF96" i="8"/>
  <c r="P46" i="8"/>
  <c r="O51" i="8"/>
  <c r="B107" i="15"/>
  <c r="AF63" i="8"/>
  <c r="AG63" i="8"/>
  <c r="Y63" i="8"/>
  <c r="F107" i="15"/>
  <c r="Y95" i="8"/>
  <c r="AF95" i="8"/>
  <c r="AG95" i="8"/>
  <c r="AG94" i="8"/>
  <c r="AF94" i="8"/>
  <c r="Y94" i="8"/>
  <c r="Y27" i="8"/>
  <c r="AF27" i="8"/>
  <c r="AG27" i="8"/>
  <c r="O30" i="8"/>
  <c r="P19" i="8"/>
  <c r="AG40" i="8"/>
  <c r="Y40" i="8"/>
  <c r="AF40" i="8"/>
  <c r="Z82" i="8"/>
  <c r="AF82" i="8"/>
  <c r="Y82" i="8"/>
  <c r="AA82" i="8" s="1"/>
  <c r="AC82" i="8" s="1"/>
  <c r="AD82" i="8" s="1"/>
  <c r="AG82" i="8"/>
  <c r="C30" i="12"/>
  <c r="L30" i="12" s="1"/>
  <c r="W112" i="8"/>
  <c r="W113" i="8" s="1"/>
  <c r="V113" i="8"/>
  <c r="W116" i="8" s="1"/>
  <c r="AG41" i="8"/>
  <c r="AF41" i="8"/>
  <c r="Y41" i="8"/>
  <c r="P33" i="8"/>
  <c r="O37" i="8"/>
  <c r="AF76" i="8"/>
  <c r="Z76" i="8"/>
  <c r="Y76" i="8"/>
  <c r="AA76" i="8" s="1"/>
  <c r="AC76" i="8" s="1"/>
  <c r="AD76" i="8" s="1"/>
  <c r="AG76" i="8"/>
  <c r="AG74" i="8"/>
  <c r="AF74" i="8"/>
  <c r="Y74" i="8"/>
  <c r="AA74" i="8" s="1"/>
  <c r="AC74" i="8" s="1"/>
  <c r="Z74" i="8"/>
  <c r="AG101" i="8"/>
  <c r="Y101" i="8"/>
  <c r="AF101" i="8"/>
  <c r="P70" i="8"/>
  <c r="AD70" i="8" s="1"/>
  <c r="P22" i="11" l="1"/>
  <c r="P23" i="11"/>
  <c r="P27" i="11"/>
  <c r="P26" i="11"/>
  <c r="P25" i="11"/>
  <c r="AF55" i="8"/>
  <c r="AD73" i="8"/>
  <c r="C12" i="11"/>
  <c r="Y60" i="8"/>
  <c r="AG60" i="8"/>
  <c r="C86" i="10"/>
  <c r="D90" i="10" s="1"/>
  <c r="Y55" i="8"/>
  <c r="C44" i="10"/>
  <c r="L25" i="12"/>
  <c r="L24" i="12"/>
  <c r="L22" i="12"/>
  <c r="L23" i="12"/>
  <c r="L17" i="12"/>
  <c r="L15" i="12"/>
  <c r="L14" i="12"/>
  <c r="L13" i="12"/>
  <c r="L16" i="12"/>
  <c r="AG56" i="8"/>
  <c r="AF56" i="8"/>
  <c r="C58" i="10"/>
  <c r="P28" i="11"/>
  <c r="Y54" i="8"/>
  <c r="C31" i="10"/>
  <c r="J50" i="17"/>
  <c r="J19" i="17"/>
  <c r="M43" i="4"/>
  <c r="AG57" i="8"/>
  <c r="C95" i="10"/>
  <c r="D99" i="10" s="1"/>
  <c r="C72" i="10"/>
  <c r="AF61" i="8"/>
  <c r="Y57" i="8"/>
  <c r="Y61" i="8"/>
  <c r="AF54" i="8"/>
  <c r="L18" i="12"/>
  <c r="L34" i="12"/>
  <c r="L33" i="12"/>
  <c r="L32" i="12"/>
  <c r="L26" i="12"/>
  <c r="B225" i="14"/>
  <c r="D225" i="14" s="1"/>
  <c r="I43" i="17"/>
  <c r="I39" i="17"/>
  <c r="AF75" i="8"/>
  <c r="AC88" i="8"/>
  <c r="AG75" i="8"/>
  <c r="Y75" i="8"/>
  <c r="AA75" i="8" s="1"/>
  <c r="C31" i="11"/>
  <c r="Z75" i="8"/>
  <c r="D224" i="14"/>
  <c r="E224" i="14"/>
  <c r="O43" i="8"/>
  <c r="O68" i="8"/>
  <c r="H30" i="12"/>
  <c r="I30" i="12" s="1"/>
  <c r="K30" i="12" s="1"/>
  <c r="AF19" i="8"/>
  <c r="AG19" i="8"/>
  <c r="Y19" i="8"/>
  <c r="P30" i="8"/>
  <c r="AF46" i="8"/>
  <c r="P51" i="8"/>
  <c r="F102" i="15"/>
  <c r="Y46" i="8"/>
  <c r="B102" i="15"/>
  <c r="AG46" i="8"/>
  <c r="AG73" i="8"/>
  <c r="Z73" i="8"/>
  <c r="AF73" i="8"/>
  <c r="Y73" i="8"/>
  <c r="AA73" i="8" s="1"/>
  <c r="P77" i="8"/>
  <c r="P85" i="8" s="1"/>
  <c r="AC36" i="8"/>
  <c r="H29" i="12"/>
  <c r="I29" i="12" s="1"/>
  <c r="K29" i="12" s="1"/>
  <c r="AG93" i="8"/>
  <c r="AF93" i="8"/>
  <c r="Y93" i="8"/>
  <c r="Y97" i="8" s="1"/>
  <c r="P97" i="8"/>
  <c r="AF87" i="8"/>
  <c r="AG87" i="8"/>
  <c r="Y87" i="8"/>
  <c r="AA87" i="8" s="1"/>
  <c r="AD87" i="8" s="1"/>
  <c r="P89" i="8"/>
  <c r="Y33" i="8"/>
  <c r="P37" i="8"/>
  <c r="AF33" i="8"/>
  <c r="AG33" i="8"/>
  <c r="P102" i="8"/>
  <c r="AG99" i="8"/>
  <c r="AF99" i="8"/>
  <c r="Y99" i="8"/>
  <c r="Y102" i="8" s="1"/>
  <c r="C20" i="12"/>
  <c r="L20" i="12" s="1"/>
  <c r="A76" i="16" s="1"/>
  <c r="C76" i="16" s="1"/>
  <c r="C31" i="12"/>
  <c r="H12" i="12"/>
  <c r="I12" i="12" s="1"/>
  <c r="K12" i="12" s="1"/>
  <c r="O109" i="8"/>
  <c r="Z42" i="8"/>
  <c r="Y42" i="8"/>
  <c r="AA42" i="8" s="1"/>
  <c r="AD42" i="8" s="1"/>
  <c r="AF42" i="8"/>
  <c r="AG42" i="8"/>
  <c r="AF13" i="8"/>
  <c r="AD13" i="8"/>
  <c r="AG13" i="8"/>
  <c r="P17" i="8"/>
  <c r="Y13" i="8"/>
  <c r="Y53" i="8"/>
  <c r="P58" i="8"/>
  <c r="AG53" i="8"/>
  <c r="AF53" i="8"/>
  <c r="C24" i="10"/>
  <c r="D27" i="10" s="1"/>
  <c r="AF70" i="8"/>
  <c r="AG70" i="8"/>
  <c r="Y70" i="8"/>
  <c r="K21" i="11"/>
  <c r="C30" i="11"/>
  <c r="P30" i="11" s="1"/>
  <c r="A73" i="16" s="1"/>
  <c r="C73" i="16" s="1"/>
  <c r="L21" i="11"/>
  <c r="W121" i="8"/>
  <c r="W123" i="8" s="1"/>
  <c r="A9" i="16" s="1"/>
  <c r="C9" i="16" s="1"/>
  <c r="C9" i="10"/>
  <c r="X8" i="10"/>
  <c r="M8" i="10"/>
  <c r="AF83" i="8"/>
  <c r="Y83" i="8"/>
  <c r="AA83" i="8" s="1"/>
  <c r="AC83" i="8" s="1"/>
  <c r="AD83" i="8" s="1"/>
  <c r="AG83" i="8"/>
  <c r="Z83" i="8"/>
  <c r="H32" i="12"/>
  <c r="I32" i="12" s="1"/>
  <c r="C36" i="12"/>
  <c r="L36" i="12" s="1"/>
  <c r="A79" i="16" s="1"/>
  <c r="C79" i="16" s="1"/>
  <c r="AC81" i="8"/>
  <c r="C17" i="10"/>
  <c r="M16" i="10"/>
  <c r="P16" i="10" s="1"/>
  <c r="X16" i="10"/>
  <c r="AF39" i="8"/>
  <c r="Y39" i="8"/>
  <c r="AG39" i="8"/>
  <c r="AG104" i="8"/>
  <c r="Y104" i="8"/>
  <c r="Y108" i="8" s="1"/>
  <c r="P108" i="8"/>
  <c r="AF104" i="8"/>
  <c r="C28" i="12"/>
  <c r="L28" i="12" s="1"/>
  <c r="A77" i="16" s="1"/>
  <c r="C77" i="16" s="1"/>
  <c r="H21" i="12"/>
  <c r="I21" i="12" s="1"/>
  <c r="K21" i="12" s="1"/>
  <c r="P17" i="11" l="1"/>
  <c r="P16" i="11"/>
  <c r="D50" i="10"/>
  <c r="D48" i="10"/>
  <c r="D35" i="10"/>
  <c r="D37" i="10"/>
  <c r="M31" i="11"/>
  <c r="P35" i="11"/>
  <c r="P34" i="11"/>
  <c r="D78" i="10"/>
  <c r="D76" i="10"/>
  <c r="D62" i="10"/>
  <c r="D64" i="10"/>
  <c r="C93" i="10"/>
  <c r="C94" i="10" s="1"/>
  <c r="P93" i="10" s="1"/>
  <c r="A69" i="16" s="1"/>
  <c r="C69" i="16" s="1"/>
  <c r="P13" i="11"/>
  <c r="C53" i="10"/>
  <c r="C57" i="10" s="1"/>
  <c r="P57" i="10" s="1"/>
  <c r="A62" i="16" s="1"/>
  <c r="C62" i="16" s="1"/>
  <c r="P33" i="11"/>
  <c r="P14" i="11"/>
  <c r="P32" i="11"/>
  <c r="C81" i="10"/>
  <c r="C85" i="10" s="1"/>
  <c r="P85" i="10" s="1"/>
  <c r="A67" i="16" s="1"/>
  <c r="C67" i="16" s="1"/>
  <c r="C67" i="10"/>
  <c r="C71" i="10" s="1"/>
  <c r="P71" i="10" s="1"/>
  <c r="A65" i="16" s="1"/>
  <c r="C65" i="16" s="1"/>
  <c r="C102" i="10"/>
  <c r="C103" i="10" s="1"/>
  <c r="P102" i="10" s="1"/>
  <c r="A71" i="16" s="1"/>
  <c r="C71" i="16" s="1"/>
  <c r="C40" i="10"/>
  <c r="C43" i="10" s="1"/>
  <c r="P43" i="10" s="1"/>
  <c r="A59" i="16" s="1"/>
  <c r="C59" i="16" s="1"/>
  <c r="M15" i="10"/>
  <c r="M10" i="10"/>
  <c r="O10" i="10" s="1"/>
  <c r="P10" i="10" s="1"/>
  <c r="X10" i="10"/>
  <c r="H42" i="11"/>
  <c r="H41" i="11"/>
  <c r="P36" i="11"/>
  <c r="E225" i="14"/>
  <c r="AC78" i="8"/>
  <c r="P18" i="11"/>
  <c r="AD75" i="8"/>
  <c r="B92" i="15"/>
  <c r="B91" i="15"/>
  <c r="M21" i="11"/>
  <c r="AC75" i="8"/>
  <c r="K32" i="12"/>
  <c r="A78" i="16"/>
  <c r="C78" i="16" s="1"/>
  <c r="L31" i="11"/>
  <c r="C38" i="11"/>
  <c r="P38" i="11" s="1"/>
  <c r="A74" i="16" s="1"/>
  <c r="C74" i="16" s="1"/>
  <c r="AC87" i="8"/>
  <c r="K31" i="11"/>
  <c r="O90" i="8"/>
  <c r="O110" i="8" s="1"/>
  <c r="O113" i="8" s="1"/>
  <c r="P117" i="8" s="1"/>
  <c r="E43" i="4"/>
  <c r="F43" i="4" s="1"/>
  <c r="F141" i="15"/>
  <c r="X17" i="10"/>
  <c r="M17" i="10"/>
  <c r="P17" i="10" s="1"/>
  <c r="AF102" i="8"/>
  <c r="AG102" i="8"/>
  <c r="Z89" i="8"/>
  <c r="AG89" i="8"/>
  <c r="AF89" i="8"/>
  <c r="Y89" i="8"/>
  <c r="AA89" i="8" s="1"/>
  <c r="X9" i="10"/>
  <c r="M9" i="10"/>
  <c r="X15" i="10"/>
  <c r="M24" i="10"/>
  <c r="P24" i="10" s="1"/>
  <c r="X24" i="10"/>
  <c r="C25" i="10"/>
  <c r="K12" i="11"/>
  <c r="M12" i="11" s="1"/>
  <c r="C20" i="11"/>
  <c r="P20" i="11" s="1"/>
  <c r="A72" i="16" s="1"/>
  <c r="C72" i="16" s="1"/>
  <c r="L12" i="11"/>
  <c r="AC42" i="8"/>
  <c r="Z37" i="8"/>
  <c r="Y37" i="8"/>
  <c r="AG37" i="8"/>
  <c r="P43" i="8"/>
  <c r="AF37" i="8"/>
  <c r="AG97" i="8"/>
  <c r="P109" i="8"/>
  <c r="AF97" i="8"/>
  <c r="AG77" i="8"/>
  <c r="Y77" i="8"/>
  <c r="Z77" i="8"/>
  <c r="AF77" i="8"/>
  <c r="AF30" i="8"/>
  <c r="Z30" i="8"/>
  <c r="AG30" i="8"/>
  <c r="Y30" i="8"/>
  <c r="AA30" i="8" s="1"/>
  <c r="O16" i="10"/>
  <c r="O8" i="10"/>
  <c r="P8" i="10" s="1"/>
  <c r="B14" i="15"/>
  <c r="B45" i="15" s="1"/>
  <c r="Z17" i="8"/>
  <c r="AF17" i="8"/>
  <c r="Y17" i="8"/>
  <c r="AG17" i="8"/>
  <c r="H31" i="12"/>
  <c r="I31" i="12" s="1"/>
  <c r="K31" i="12" s="1"/>
  <c r="AE72" i="8"/>
  <c r="AC73" i="8"/>
  <c r="AF108" i="8"/>
  <c r="AG108" i="8"/>
  <c r="AF85" i="8"/>
  <c r="AG85" i="8"/>
  <c r="AF58" i="8"/>
  <c r="P67" i="8"/>
  <c r="P68" i="8" s="1"/>
  <c r="AG58" i="8"/>
  <c r="Y58" i="8"/>
  <c r="AF51" i="8"/>
  <c r="AG51" i="8"/>
  <c r="Y51" i="8"/>
  <c r="Z51" i="8"/>
  <c r="O31" i="11" l="1"/>
  <c r="X116" i="8"/>
  <c r="A34" i="16" s="1"/>
  <c r="C34" i="16" s="1"/>
  <c r="E70" i="4"/>
  <c r="B5" i="15"/>
  <c r="B36" i="15" s="1"/>
  <c r="B90" i="15"/>
  <c r="B89" i="15"/>
  <c r="B31" i="15"/>
  <c r="B69" i="15"/>
  <c r="N74" i="4"/>
  <c r="N73" i="4"/>
  <c r="B71" i="15"/>
  <c r="B23" i="15"/>
  <c r="B54" i="15" s="1"/>
  <c r="B70" i="15"/>
  <c r="N43" i="4"/>
  <c r="C91" i="16"/>
  <c r="AA37" i="8"/>
  <c r="Y43" i="8"/>
  <c r="AA77" i="8"/>
  <c r="AE74" i="8"/>
  <c r="Y85" i="8"/>
  <c r="F109" i="15"/>
  <c r="F142" i="15"/>
  <c r="F110" i="15"/>
  <c r="AF68" i="8"/>
  <c r="AG68" i="8"/>
  <c r="AG67" i="8"/>
  <c r="Z67" i="8"/>
  <c r="AF67" i="8"/>
  <c r="Y67" i="8"/>
  <c r="AA67" i="8" s="1"/>
  <c r="AA17" i="8"/>
  <c r="AD17" i="8" s="1"/>
  <c r="M25" i="10"/>
  <c r="P25" i="10" s="1"/>
  <c r="X25" i="10"/>
  <c r="F111" i="15" s="1"/>
  <c r="AC89" i="8"/>
  <c r="AF43" i="8"/>
  <c r="AG43" i="8"/>
  <c r="AE30" i="8"/>
  <c r="AE31" i="8"/>
  <c r="AC30" i="8"/>
  <c r="AD30" i="8"/>
  <c r="O9" i="10"/>
  <c r="AA51" i="8"/>
  <c r="Y68" i="8"/>
  <c r="P90" i="8"/>
  <c r="Y109" i="8"/>
  <c r="AA109" i="8" s="1"/>
  <c r="AD109" i="8" s="1"/>
  <c r="Z109" i="8"/>
  <c r="AG109" i="8"/>
  <c r="AF109" i="8"/>
  <c r="O24" i="10"/>
  <c r="O15" i="10"/>
  <c r="P15" i="10" s="1"/>
  <c r="O17" i="10"/>
  <c r="A56" i="16" s="1"/>
  <c r="B104" i="15" l="1"/>
  <c r="P9" i="10"/>
  <c r="A55" i="16" s="1"/>
  <c r="E55" i="16" s="1"/>
  <c r="C55" i="16" s="1"/>
  <c r="B33" i="15"/>
  <c r="AC37" i="8"/>
  <c r="AD37" i="8" s="1"/>
  <c r="F105" i="15"/>
  <c r="Y90" i="8"/>
  <c r="Y110" i="8" s="1"/>
  <c r="E56" i="16"/>
  <c r="C56" i="16" s="1"/>
  <c r="P110" i="8"/>
  <c r="AG90" i="8"/>
  <c r="AG110" i="8" s="1"/>
  <c r="AF90" i="8"/>
  <c r="AF110" i="8" s="1"/>
  <c r="Z90" i="8"/>
  <c r="Z110" i="8" s="1"/>
  <c r="AC17" i="8"/>
  <c r="AA90" i="8"/>
  <c r="AC77" i="8"/>
  <c r="AD77" i="8" s="1"/>
  <c r="AE78" i="8"/>
  <c r="AE77" i="8"/>
  <c r="AC67" i="8"/>
  <c r="AD67" i="8" s="1"/>
  <c r="AE67" i="8"/>
  <c r="AE68" i="8"/>
  <c r="AE51" i="8"/>
  <c r="AE52" i="8"/>
  <c r="AC51" i="8"/>
  <c r="AD51" i="8" s="1"/>
  <c r="O25" i="10"/>
  <c r="B105" i="15"/>
  <c r="AE109" i="8"/>
  <c r="AE110" i="8"/>
  <c r="AC109" i="8"/>
  <c r="F104" i="15"/>
  <c r="P114" i="8" l="1"/>
  <c r="P113" i="8"/>
  <c r="A57" i="16"/>
  <c r="E57" i="16" s="1"/>
  <c r="C57" i="16" s="1"/>
  <c r="P124" i="8"/>
  <c r="AC90" i="8"/>
  <c r="AD90" i="8"/>
  <c r="AE90" i="8"/>
  <c r="AE91" i="8"/>
  <c r="AA110" i="8"/>
  <c r="AE93" i="8"/>
  <c r="P126" i="8" l="1"/>
  <c r="A10" i="16" s="1"/>
  <c r="C10" i="16" s="1"/>
  <c r="P303" i="8"/>
  <c r="D7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scbelin</author>
    <author>Siegrist Elisabeth DFO/OU-Ö</author>
  </authors>
  <commentList>
    <comment ref="C3" authorId="0" shapeId="0" xr:uid="{00000000-0006-0000-0100-000001000000}">
      <text>
        <r>
          <rPr>
            <sz val="8"/>
            <color indexed="81"/>
            <rFont val="Tahoma"/>
            <family val="2"/>
          </rPr>
          <t xml:space="preserve">
</t>
        </r>
      </text>
    </comment>
    <comment ref="B17" authorId="1" shapeId="0" xr:uid="{00000000-0006-0000-0100-000002000000}">
      <text>
        <r>
          <rPr>
            <b/>
            <sz val="9"/>
            <color indexed="81"/>
            <rFont val="Tahoma"/>
            <family val="2"/>
          </rPr>
          <t>SCB:</t>
        </r>
        <r>
          <rPr>
            <sz val="9"/>
            <color indexed="81"/>
            <rFont val="Tahoma"/>
            <family val="2"/>
          </rPr>
          <t xml:space="preserve">
Extraordinära kostnader anges som minusbelopp</t>
        </r>
      </text>
    </comment>
    <comment ref="E17" authorId="0" shapeId="0" xr:uid="{00000000-0006-0000-0100-000003000000}">
      <text>
        <r>
          <rPr>
            <b/>
            <sz val="8"/>
            <color indexed="81"/>
            <rFont val="Tahoma"/>
            <family val="2"/>
          </rPr>
          <t xml:space="preserve">SCB: </t>
        </r>
        <r>
          <rPr>
            <sz val="8"/>
            <color indexed="81"/>
            <rFont val="Tahoma"/>
            <family val="2"/>
          </rPr>
          <t xml:space="preserve">Kommentera vad de extraordinära poster avser. Ingår flera delposter kommentera dessa och ange beloppen.
</t>
        </r>
      </text>
    </comment>
    <comment ref="B41" authorId="1" shapeId="0" xr:uid="{00000000-0006-0000-0100-000004000000}">
      <text>
        <r>
          <rPr>
            <b/>
            <sz val="8"/>
            <color indexed="81"/>
            <rFont val="Tahoma"/>
            <family val="2"/>
          </rPr>
          <t>SCB:</t>
        </r>
        <r>
          <rPr>
            <sz val="8"/>
            <color indexed="81"/>
            <rFont val="Tahoma"/>
            <family val="2"/>
          </rPr>
          <t xml:space="preserve">
Med detta avses t.ex. avsättningar till sociala investeringar, medel till pensionsreserver samt egna lokala öronmärkningar</t>
        </r>
      </text>
    </comment>
    <comment ref="B42" authorId="1" shapeId="0" xr:uid="{00000000-0006-0000-0100-000005000000}">
      <text>
        <r>
          <rPr>
            <b/>
            <sz val="8"/>
            <color indexed="81"/>
            <rFont val="Tahoma"/>
            <family val="2"/>
          </rPr>
          <t xml:space="preserve">SCB:
</t>
        </r>
        <r>
          <rPr>
            <sz val="8"/>
            <color indexed="81"/>
            <rFont val="Tahoma"/>
            <family val="2"/>
          </rPr>
          <t>Med detta avses t.ex. ianspråkstagande av sociala investeringar, samt från egna lokala öronmärkningar</t>
        </r>
        <r>
          <rPr>
            <sz val="9"/>
            <color indexed="81"/>
            <rFont val="Tahoma"/>
            <family val="2"/>
          </rPr>
          <t xml:space="preserve">
</t>
        </r>
      </text>
    </comment>
    <comment ref="B44" authorId="1" shapeId="0" xr:uid="{00000000-0006-0000-0100-000006000000}">
      <text>
        <r>
          <rPr>
            <b/>
            <sz val="9"/>
            <color indexed="81"/>
            <rFont val="Tahoma"/>
            <family val="2"/>
          </rPr>
          <t xml:space="preserve">SCB: </t>
        </r>
        <r>
          <rPr>
            <sz val="9"/>
            <color indexed="81"/>
            <rFont val="Tahoma"/>
            <family val="2"/>
          </rPr>
          <t xml:space="preserve">
</t>
        </r>
        <r>
          <rPr>
            <sz val="8"/>
            <color indexed="81"/>
            <rFont val="Tahoma"/>
            <family val="2"/>
          </rPr>
          <t>Om det finns synnerliga skäl men inget belopp kan detta kommenteras i kommentarrutan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scbelin</author>
    <author>scbelie</author>
    <author>Siegrist Elisabeth DFO/OU-Ö</author>
    <author>annelie hallberg</author>
  </authors>
  <commentList>
    <comment ref="O7" authorId="0" shapeId="0" xr:uid="{00000000-0006-0000-0A00-000001000000}">
      <text>
        <r>
          <rPr>
            <sz val="8"/>
            <color indexed="81"/>
            <rFont val="Tahoma"/>
            <family val="2"/>
          </rPr>
          <t xml:space="preserve">
</t>
        </r>
      </text>
    </comment>
    <comment ref="L11" authorId="1" shapeId="0" xr:uid="{00000000-0006-0000-0A00-000002000000}">
      <text>
        <r>
          <rPr>
            <b/>
            <sz val="8"/>
            <color indexed="81"/>
            <rFont val="Tahoma"/>
            <family val="2"/>
          </rPr>
          <t>SCB:</t>
        </r>
        <r>
          <rPr>
            <sz val="8"/>
            <color indexed="81"/>
            <rFont val="Tahoma"/>
            <family val="2"/>
          </rPr>
          <t xml:space="preserve">
</t>
        </r>
        <r>
          <rPr>
            <b/>
            <sz val="8"/>
            <color indexed="81"/>
            <rFont val="Tahoma"/>
            <family val="2"/>
          </rPr>
          <t xml:space="preserve">Kommentera avvikelsen: </t>
        </r>
        <r>
          <rPr>
            <sz val="8"/>
            <color indexed="81"/>
            <rFont val="Tahoma"/>
            <family val="2"/>
          </rPr>
          <t xml:space="preserve">
Nyckeltalet avviker stort från riksgenomsnittet. Kontrollera om det stämmer och skriv i så fall vad avvikelsen beror på.
</t>
        </r>
      </text>
    </comment>
    <comment ref="L12" authorId="2" shapeId="0" xr:uid="{00000000-0006-0000-0A00-000003000000}">
      <text>
        <r>
          <rPr>
            <b/>
            <sz val="9"/>
            <color indexed="81"/>
            <rFont val="Tahoma"/>
            <family val="2"/>
          </rPr>
          <t>SCB:</t>
        </r>
        <r>
          <rPr>
            <sz val="9"/>
            <color indexed="81"/>
            <rFont val="Tahoma"/>
            <family val="2"/>
          </rPr>
          <t xml:space="preserve">
</t>
        </r>
        <r>
          <rPr>
            <sz val="8"/>
            <color indexed="81"/>
            <rFont val="Tahoma"/>
            <family val="2"/>
          </rPr>
          <t xml:space="preserve">Summan av beloppen i därav-kolumnerna D och E ska inte vara större än beloppet i huvudkolumn C. </t>
        </r>
      </text>
    </comment>
    <comment ref="L13" authorId="2" shapeId="0" xr:uid="{00000000-0006-0000-0A00-000004000000}">
      <text>
        <r>
          <rPr>
            <b/>
            <sz val="9"/>
            <color indexed="81"/>
            <rFont val="Tahoma"/>
            <family val="2"/>
          </rPr>
          <t>SCB:</t>
        </r>
        <r>
          <rPr>
            <sz val="9"/>
            <color indexed="81"/>
            <rFont val="Tahoma"/>
            <family val="2"/>
          </rPr>
          <t xml:space="preserve">
Riksgenomsnittet för nyckeltalet på rad 552 är mellan 0 - 1484 kr/inv.
</t>
        </r>
      </text>
    </comment>
    <comment ref="L14" authorId="2" shapeId="0" xr:uid="{00000000-0006-0000-0A00-000005000000}">
      <text>
        <r>
          <rPr>
            <b/>
            <sz val="9"/>
            <color indexed="81"/>
            <rFont val="Tahoma"/>
            <family val="2"/>
          </rPr>
          <t>SCB:</t>
        </r>
        <r>
          <rPr>
            <sz val="9"/>
            <color indexed="81"/>
            <rFont val="Tahoma"/>
            <family val="2"/>
          </rPr>
          <t xml:space="preserve">
Riksgenomsnittet för nyckeltalet på rad 556 är mellan 0 - 413 kr/inv.
</t>
        </r>
      </text>
    </comment>
    <comment ref="L15" authorId="2" shapeId="0" xr:uid="{00000000-0006-0000-0A00-000006000000}">
      <text>
        <r>
          <rPr>
            <b/>
            <sz val="9"/>
            <color indexed="81"/>
            <rFont val="Tahoma"/>
            <family val="2"/>
          </rPr>
          <t>SCB:</t>
        </r>
        <r>
          <rPr>
            <sz val="9"/>
            <color indexed="81"/>
            <rFont val="Tahoma"/>
            <family val="2"/>
          </rPr>
          <t xml:space="preserve">
Riksgenomsnittet för nyckeltalet på rad 5581 är mellan 0 - 1247 kr/inv.
</t>
        </r>
      </text>
    </comment>
    <comment ref="L16" authorId="2" shapeId="0" xr:uid="{00000000-0006-0000-0A00-000007000000}">
      <text>
        <r>
          <rPr>
            <b/>
            <sz val="9"/>
            <color indexed="81"/>
            <rFont val="Tahoma"/>
            <family val="2"/>
          </rPr>
          <t>SCB:</t>
        </r>
        <r>
          <rPr>
            <sz val="9"/>
            <color indexed="81"/>
            <rFont val="Tahoma"/>
            <family val="2"/>
          </rPr>
          <t xml:space="preserve">
Riksgenomsnittet för nyckeltalet på rad 5582 är mellan 0 - 966 kr/inv.
</t>
        </r>
      </text>
    </comment>
    <comment ref="L17" authorId="2" shapeId="0" xr:uid="{00000000-0006-0000-0A00-000008000000}">
      <text>
        <r>
          <rPr>
            <b/>
            <sz val="9"/>
            <color indexed="81"/>
            <rFont val="Tahoma"/>
            <family val="2"/>
          </rPr>
          <t>SCB:</t>
        </r>
        <r>
          <rPr>
            <sz val="9"/>
            <color indexed="81"/>
            <rFont val="Tahoma"/>
            <family val="2"/>
          </rPr>
          <t xml:space="preserve">
Riksgenomsnittet för nyckeltalet på rad 5583 är mellan 0 - 692 kr/inv.
</t>
        </r>
      </text>
    </comment>
    <comment ref="L18" authorId="2" shapeId="0" xr:uid="{00000000-0006-0000-0A00-000009000000}">
      <text>
        <r>
          <rPr>
            <b/>
            <sz val="9"/>
            <color indexed="81"/>
            <rFont val="Tahoma"/>
            <family val="2"/>
          </rPr>
          <t>SCB:</t>
        </r>
        <r>
          <rPr>
            <sz val="9"/>
            <color indexed="81"/>
            <rFont val="Tahoma"/>
            <family val="2"/>
          </rPr>
          <t xml:space="preserve">
Riksgenomsnittet för nyckeltalet på rad 558 är mellan 0 - 1773 kr/inv.
</t>
        </r>
      </text>
    </comment>
    <comment ref="L20" authorId="1" shapeId="0" xr:uid="{00000000-0006-0000-0A00-00000A000000}">
      <text>
        <r>
          <rPr>
            <b/>
            <sz val="8"/>
            <color indexed="81"/>
            <rFont val="Tahoma"/>
            <family val="2"/>
          </rPr>
          <t xml:space="preserve">SCB: </t>
        </r>
        <r>
          <rPr>
            <sz val="8"/>
            <color indexed="81"/>
            <rFont val="Tahoma"/>
            <family val="2"/>
          </rPr>
          <t xml:space="preserve">
Det finns en differens mellan summeringsrad 55999 (som summerar rad 552 + rad 556 + rad 5581 + rad 5582 + rad 5583) och beloppet som länkas från avdelning Drift i respektive kolumn.</t>
        </r>
      </text>
    </comment>
    <comment ref="L21" authorId="2" shapeId="0" xr:uid="{00000000-0006-0000-0A00-00000B000000}">
      <text>
        <r>
          <rPr>
            <b/>
            <sz val="9"/>
            <color indexed="81"/>
            <rFont val="Tahoma"/>
            <family val="2"/>
          </rPr>
          <t>SCB:</t>
        </r>
        <r>
          <rPr>
            <sz val="9"/>
            <color indexed="81"/>
            <rFont val="Tahoma"/>
            <family val="2"/>
          </rPr>
          <t xml:space="preserve">
</t>
        </r>
        <r>
          <rPr>
            <sz val="8"/>
            <color indexed="81"/>
            <rFont val="Tahoma"/>
            <family val="2"/>
          </rPr>
          <t xml:space="preserve">Summan av beloppen i därav-kolumnerna D och E ska inte vara större än beloppet i huvudkolumn C. </t>
        </r>
      </text>
    </comment>
    <comment ref="L22" authorId="2" shapeId="0" xr:uid="{00000000-0006-0000-0A00-00000C000000}">
      <text>
        <r>
          <rPr>
            <b/>
            <sz val="9"/>
            <color indexed="81"/>
            <rFont val="Tahoma"/>
            <family val="2"/>
          </rPr>
          <t>SCB:</t>
        </r>
        <r>
          <rPr>
            <sz val="9"/>
            <color indexed="81"/>
            <rFont val="Tahoma"/>
            <family val="2"/>
          </rPr>
          <t xml:space="preserve">
Riksgenomsnittet för nyckeltalet på rad 554 är mellan 88 - 6668 kr/inv.
</t>
        </r>
      </text>
    </comment>
    <comment ref="L23" authorId="2" shapeId="0" xr:uid="{00000000-0006-0000-0A00-00000D000000}">
      <text>
        <r>
          <rPr>
            <b/>
            <sz val="9"/>
            <color indexed="81"/>
            <rFont val="Tahoma"/>
            <family val="2"/>
          </rPr>
          <t>SCB:</t>
        </r>
        <r>
          <rPr>
            <sz val="9"/>
            <color indexed="81"/>
            <rFont val="Tahoma"/>
            <family val="2"/>
          </rPr>
          <t xml:space="preserve">
Riksgenomsnittet för nyckeltalet på rad 557 är mellan 286 - 8421 kr/inv.
</t>
        </r>
      </text>
    </comment>
    <comment ref="L24" authorId="2" shapeId="0" xr:uid="{00000000-0006-0000-0A00-00000E000000}">
      <text>
        <r>
          <rPr>
            <b/>
            <sz val="9"/>
            <color indexed="81"/>
            <rFont val="Tahoma"/>
            <family val="2"/>
          </rPr>
          <t>SCB:</t>
        </r>
        <r>
          <rPr>
            <sz val="9"/>
            <color indexed="81"/>
            <rFont val="Tahoma"/>
            <family val="2"/>
          </rPr>
          <t xml:space="preserve">
Riksgenomsnittet för nyckeltalet på rad 5681 är mellan 0 - 3258 kr/inv.
</t>
        </r>
      </text>
    </comment>
    <comment ref="L25" authorId="2" shapeId="0" xr:uid="{00000000-0006-0000-0A00-00000F000000}">
      <text>
        <r>
          <rPr>
            <b/>
            <sz val="9"/>
            <color indexed="81"/>
            <rFont val="Tahoma"/>
            <family val="2"/>
          </rPr>
          <t>SCB:</t>
        </r>
        <r>
          <rPr>
            <sz val="9"/>
            <color indexed="81"/>
            <rFont val="Tahoma"/>
            <family val="2"/>
          </rPr>
          <t xml:space="preserve">
Riksgenomsnittet för nyckeltalet på rad 5682 är mellan 0 - 3031 kr/inv.
</t>
        </r>
      </text>
    </comment>
    <comment ref="L26" authorId="2" shapeId="0" xr:uid="{00000000-0006-0000-0A00-000010000000}">
      <text>
        <r>
          <rPr>
            <b/>
            <sz val="9"/>
            <color indexed="81"/>
            <rFont val="Tahoma"/>
            <family val="2"/>
          </rPr>
          <t>SCB:</t>
        </r>
        <r>
          <rPr>
            <sz val="9"/>
            <color indexed="81"/>
            <rFont val="Tahoma"/>
            <family val="2"/>
          </rPr>
          <t xml:space="preserve">
Riksgenomsnittet för nyckeltalet på rad 568 är mellan 239 - 4034 kr/inv.
</t>
        </r>
      </text>
    </comment>
    <comment ref="L28" authorId="1" shapeId="0" xr:uid="{00000000-0006-0000-0A00-000011000000}">
      <text>
        <r>
          <rPr>
            <b/>
            <sz val="8"/>
            <color indexed="81"/>
            <rFont val="Tahoma"/>
            <family val="2"/>
          </rPr>
          <t>SCB:</t>
        </r>
        <r>
          <rPr>
            <sz val="8"/>
            <color indexed="81"/>
            <rFont val="Tahoma"/>
            <family val="2"/>
          </rPr>
          <t xml:space="preserve"> 
Det finns en differens mellan summeringsrad 56999 (som summerar rad 554 + rad 557 + rad 5681 + rad 5682) och beloppet som länkas från avdelning Drift i respektive kolumn.
</t>
        </r>
      </text>
    </comment>
    <comment ref="L30" authorId="2" shapeId="0" xr:uid="{00000000-0006-0000-0A00-000012000000}">
      <text>
        <r>
          <rPr>
            <b/>
            <sz val="9"/>
            <color indexed="81"/>
            <rFont val="Tahoma"/>
            <family val="2"/>
          </rPr>
          <t>SCB:</t>
        </r>
        <r>
          <rPr>
            <sz val="9"/>
            <color indexed="81"/>
            <rFont val="Tahoma"/>
            <family val="2"/>
          </rPr>
          <t xml:space="preserve">
Riksgenomsnittet för nyckeltalet på rad 575 är mellan 366 - 2242 kr/inv.
</t>
        </r>
      </text>
    </comment>
    <comment ref="L32" authorId="2" shapeId="0" xr:uid="{00000000-0006-0000-0A00-000013000000}">
      <text>
        <r>
          <rPr>
            <b/>
            <sz val="9"/>
            <color indexed="81"/>
            <rFont val="Tahoma"/>
            <family val="2"/>
          </rPr>
          <t>SCB:</t>
        </r>
        <r>
          <rPr>
            <sz val="9"/>
            <color indexed="81"/>
            <rFont val="Tahoma"/>
            <family val="2"/>
          </rPr>
          <t xml:space="preserve">
Riksgenomsnittet för nyckeltalet på rad 585 är mellan 57 - 1082 kr/inv.
</t>
        </r>
      </text>
    </comment>
    <comment ref="L33" authorId="2" shapeId="0" xr:uid="{00000000-0006-0000-0A00-000014000000}">
      <text>
        <r>
          <rPr>
            <b/>
            <sz val="9"/>
            <color indexed="81"/>
            <rFont val="Tahoma"/>
            <family val="2"/>
          </rPr>
          <t>SCB:</t>
        </r>
        <r>
          <rPr>
            <sz val="9"/>
            <color indexed="81"/>
            <rFont val="Tahoma"/>
            <family val="2"/>
          </rPr>
          <t xml:space="preserve">
Riksgenomsnittet för nyckeltalet på rad 5851 är mellan 0 - 701 kr/inv.
</t>
        </r>
      </text>
    </comment>
    <comment ref="L34" authorId="2" shapeId="0" xr:uid="{00000000-0006-0000-0A00-000015000000}">
      <text>
        <r>
          <rPr>
            <b/>
            <sz val="9"/>
            <color indexed="81"/>
            <rFont val="Tahoma"/>
            <family val="2"/>
          </rPr>
          <t>SCB:</t>
        </r>
        <r>
          <rPr>
            <sz val="9"/>
            <color indexed="81"/>
            <rFont val="Tahoma"/>
            <family val="2"/>
          </rPr>
          <t xml:space="preserve">
Riksgenomsnittet för nyckeltalet på rad 5855 är mellan 0 - 220 kr/inv.
</t>
        </r>
      </text>
    </comment>
    <comment ref="L35" authorId="2" shapeId="0" xr:uid="{00000000-0006-0000-0A00-000016000000}">
      <text>
        <r>
          <rPr>
            <b/>
            <sz val="9"/>
            <color indexed="81"/>
            <rFont val="Tahoma"/>
            <family val="2"/>
          </rPr>
          <t>SCB:</t>
        </r>
        <r>
          <rPr>
            <sz val="9"/>
            <color indexed="81"/>
            <rFont val="Tahoma"/>
            <family val="2"/>
          </rPr>
          <t xml:space="preserve">
</t>
        </r>
        <r>
          <rPr>
            <sz val="8"/>
            <color indexed="81"/>
            <rFont val="Tahoma"/>
            <family val="2"/>
          </rPr>
          <t xml:space="preserve">Summan av beloppen i därav-kolumnerna D och E ska inte vara större än beloppet i huvudkolumn C. </t>
        </r>
      </text>
    </comment>
    <comment ref="L36" authorId="1" shapeId="0" xr:uid="{00000000-0006-0000-0A00-000017000000}">
      <text>
        <r>
          <rPr>
            <b/>
            <sz val="8"/>
            <color indexed="81"/>
            <rFont val="Tahoma"/>
            <family val="2"/>
          </rPr>
          <t xml:space="preserve">SCB: </t>
        </r>
        <r>
          <rPr>
            <sz val="8"/>
            <color indexed="81"/>
            <rFont val="Tahoma"/>
            <family val="2"/>
          </rPr>
          <t xml:space="preserve">
Det finns en differens mellan summeringsrad 58599 (som summerar rad 5851 + rad 5855) och beloppet som länkas från avdelning Drift i respektive kolumn.
</t>
        </r>
      </text>
    </comment>
    <comment ref="G37" authorId="3" shapeId="0" xr:uid="{00000000-0006-0000-0A00-000018000000}">
      <text>
        <r>
          <rPr>
            <b/>
            <sz val="8"/>
            <color indexed="81"/>
            <rFont val="Tahoma"/>
            <family val="2"/>
          </rPr>
          <t xml:space="preserve">SCB: 
</t>
        </r>
        <r>
          <rPr>
            <sz val="8"/>
            <color indexed="81"/>
            <rFont val="Tahoma"/>
            <family val="2"/>
          </rPr>
          <t xml:space="preserve">Summan av beloppen i kolumn G, Försäljning av verksamhet till andra kommuner och landsting på raderna 571+575+585 kan inte vara större/mindre än det som redovisas i avdelning Motpart på rad 580.  Kontrollera och rätta till antingen här eller i avdelningen Motpart (OBS! justeringar i avdelning Motpart  kan medföra andra fel och borde därför göras i överenskommelse med huvudkontaktpersonen för RS.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scbelin</author>
    <author>scbingj</author>
    <author>Siegrist Elisabeth DFO/OU-Ö</author>
    <author>Henrik Mundt</author>
    <author>Engblom Linnea D/INS/OFS-Ö</author>
    <author>SCB</author>
  </authors>
  <commentList>
    <comment ref="D2" authorId="0" shapeId="0" xr:uid="{00000000-0006-0000-0200-000001000000}">
      <text>
        <r>
          <rPr>
            <sz val="8"/>
            <color indexed="81"/>
            <rFont val="Tahoma"/>
            <family val="2"/>
          </rPr>
          <t xml:space="preserve">
</t>
        </r>
      </text>
    </comment>
    <comment ref="F9" authorId="1" shapeId="0" xr:uid="{00000000-0006-0000-0200-000002000000}">
      <text>
        <r>
          <rPr>
            <b/>
            <sz val="8"/>
            <color indexed="81"/>
            <rFont val="Tahoma"/>
            <family val="2"/>
          </rPr>
          <t>SCB:</t>
        </r>
        <r>
          <rPr>
            <sz val="8"/>
            <color indexed="81"/>
            <rFont val="Tahoma"/>
            <family val="2"/>
          </rPr>
          <t xml:space="preserve">
</t>
        </r>
        <r>
          <rPr>
            <b/>
            <sz val="8"/>
            <color indexed="81"/>
            <rFont val="Tahoma"/>
            <family val="2"/>
          </rPr>
          <t>"Skriv belopp eller 0"</t>
        </r>
        <r>
          <rPr>
            <sz val="8"/>
            <color indexed="81"/>
            <rFont val="Tahoma"/>
            <family val="2"/>
          </rPr>
          <t xml:space="preserve">: 
Om det inte förekommer något belopp att redovisa ska cellen besvaras med en nolla (0). 
</t>
        </r>
      </text>
    </comment>
    <comment ref="F12" authorId="1" shapeId="0" xr:uid="{00000000-0006-0000-0200-000003000000}">
      <text>
        <r>
          <rPr>
            <b/>
            <sz val="8"/>
            <color indexed="81"/>
            <rFont val="Tahoma"/>
            <family val="2"/>
          </rPr>
          <t>SCB:</t>
        </r>
        <r>
          <rPr>
            <sz val="8"/>
            <color indexed="81"/>
            <rFont val="Tahoma"/>
            <family val="2"/>
          </rPr>
          <t xml:space="preserve">
"</t>
        </r>
        <r>
          <rPr>
            <b/>
            <sz val="8"/>
            <color indexed="81"/>
            <rFont val="Tahoma"/>
            <family val="2"/>
          </rPr>
          <t>Belopp saknas":</t>
        </r>
        <r>
          <rPr>
            <sz val="8"/>
            <color indexed="81"/>
            <rFont val="Tahoma"/>
            <family val="2"/>
          </rPr>
          <t xml:space="preserve"> Belopp saknas för kommunen eller koncernen.
"</t>
        </r>
        <r>
          <rPr>
            <b/>
            <sz val="8"/>
            <color indexed="81"/>
            <rFont val="Tahoma"/>
            <family val="2"/>
          </rPr>
          <t>Konc.&lt;komm."</t>
        </r>
        <r>
          <rPr>
            <sz val="8"/>
            <color indexed="81"/>
            <rFont val="Tahoma"/>
            <family val="2"/>
          </rPr>
          <t xml:space="preserve">: Beloppet för koncernen ska inte vara mindre än för kommunen avseende summan av materiella anläggningstillgångar.
</t>
        </r>
      </text>
    </comment>
    <comment ref="C13" authorId="2" shapeId="0" xr:uid="{00000000-0006-0000-0200-000004000000}">
      <text>
        <r>
          <rPr>
            <b/>
            <sz val="8"/>
            <color indexed="81"/>
            <rFont val="Tahoma"/>
            <family val="2"/>
          </rPr>
          <t xml:space="preserve">SCB: </t>
        </r>
        <r>
          <rPr>
            <sz val="8"/>
            <color indexed="81"/>
            <rFont val="Tahoma"/>
            <family val="2"/>
          </rPr>
          <t xml:space="preserve">Här ingår </t>
        </r>
        <r>
          <rPr>
            <b/>
            <sz val="8"/>
            <color indexed="81"/>
            <rFont val="Tahoma"/>
            <family val="2"/>
          </rPr>
          <t>fondandelar</t>
        </r>
        <r>
          <rPr>
            <sz val="8"/>
            <color indexed="81"/>
            <rFont val="Tahoma"/>
            <family val="2"/>
          </rPr>
          <t>, oavsett vilken sorts fond det är (ränte-,bland-eller aktiefond)</t>
        </r>
        <r>
          <rPr>
            <sz val="9"/>
            <color indexed="81"/>
            <rFont val="Tahoma"/>
            <family val="2"/>
          </rPr>
          <t xml:space="preserve">
</t>
        </r>
      </text>
    </comment>
    <comment ref="C14" authorId="2" shapeId="0" xr:uid="{00000000-0006-0000-0200-000005000000}">
      <text>
        <r>
          <rPr>
            <b/>
            <sz val="8"/>
            <color indexed="81"/>
            <rFont val="Tahoma"/>
            <family val="2"/>
          </rPr>
          <t xml:space="preserve">SCB: Obs! </t>
        </r>
        <r>
          <rPr>
            <sz val="8"/>
            <color indexed="81"/>
            <rFont val="Tahoma"/>
            <family val="2"/>
          </rPr>
          <t>Fondandelar ska redovisas under "Aktier och andelar", rad 036, oavsett vilken sorts fond det är (ränte-,bland-eller aktiefond)</t>
        </r>
        <r>
          <rPr>
            <sz val="9"/>
            <color indexed="81"/>
            <rFont val="Tahoma"/>
            <family val="2"/>
          </rPr>
          <t xml:space="preserve">
</t>
        </r>
      </text>
    </comment>
    <comment ref="J14" authorId="0" shapeId="0" xr:uid="{00000000-0006-0000-0200-000006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 031 är därav-rad och kan inte vara större än huvud-raden 036.
</t>
        </r>
        <r>
          <rPr>
            <b/>
            <sz val="8"/>
            <color indexed="81"/>
            <rFont val="Tahoma"/>
            <family val="2"/>
          </rPr>
          <t xml:space="preserve">
"Skriv belopp eller 0"</t>
        </r>
        <r>
          <rPr>
            <sz val="8"/>
            <color indexed="81"/>
            <rFont val="Tahoma"/>
            <family val="2"/>
          </rPr>
          <t xml:space="preserve">: Om det inte förekommer något belopp att redovisa ska cellen besvaras med en nolla (0). </t>
        </r>
      </text>
    </comment>
    <comment ref="J16" authorId="0" shapeId="0" xr:uid="{00000000-0006-0000-0200-000007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 034 är därav-rad och kan inte vara större än huvud-raden 033.
</t>
        </r>
        <r>
          <rPr>
            <b/>
            <sz val="8"/>
            <color indexed="81"/>
            <rFont val="Tahoma"/>
            <family val="2"/>
          </rPr>
          <t xml:space="preserve">
"Skriv belopp eller 0"</t>
        </r>
        <r>
          <rPr>
            <sz val="8"/>
            <color indexed="81"/>
            <rFont val="Tahoma"/>
            <family val="2"/>
          </rPr>
          <t xml:space="preserve">: Om det inte förekommer något belopp att redovisa ska cellen besvaras med en nolla (0). </t>
        </r>
      </text>
    </comment>
    <comment ref="F17" authorId="1" shapeId="0" xr:uid="{00000000-0006-0000-0200-000008000000}">
      <text>
        <r>
          <rPr>
            <b/>
            <sz val="8"/>
            <color indexed="81"/>
            <rFont val="Tahoma"/>
            <family val="2"/>
          </rPr>
          <t>SCB:</t>
        </r>
        <r>
          <rPr>
            <sz val="8"/>
            <color indexed="81"/>
            <rFont val="Tahoma"/>
            <family val="2"/>
          </rPr>
          <t xml:space="preserve">
Belopp saknas för kommunen eller koncernen.
</t>
        </r>
      </text>
    </comment>
    <comment ref="F19" authorId="2" shapeId="0" xr:uid="{00000000-0006-0000-0200-000009000000}">
      <text>
        <r>
          <rPr>
            <b/>
            <sz val="9"/>
            <color indexed="81"/>
            <rFont val="Tahoma"/>
            <family val="2"/>
          </rPr>
          <t xml:space="preserve">SCB: 
</t>
        </r>
        <r>
          <rPr>
            <sz val="8"/>
            <color indexed="81"/>
            <rFont val="Tahoma"/>
            <family val="2"/>
          </rPr>
          <t xml:space="preserve">Kontrollen visas då beloppet i avdelning Verksamhetens intäkter och kostnader på därav-rad 652, Upplösning av aktiverat bidrag infrastruktur är högre än beloppet här. </t>
        </r>
        <r>
          <rPr>
            <b/>
            <sz val="9"/>
            <color indexed="81"/>
            <rFont val="Tahoma"/>
            <family val="2"/>
          </rPr>
          <t xml:space="preserve">
</t>
        </r>
        <r>
          <rPr>
            <sz val="9"/>
            <color indexed="81"/>
            <rFont val="Tahoma"/>
            <family val="2"/>
          </rPr>
          <t xml:space="preserve">
</t>
        </r>
        <r>
          <rPr>
            <sz val="8"/>
            <color indexed="81"/>
            <rFont val="Tahoma"/>
            <family val="2"/>
          </rPr>
          <t>Bidrag till infrastruktur borde inte vara negativt.</t>
        </r>
      </text>
    </comment>
    <comment ref="F21" authorId="1" shapeId="0" xr:uid="{00000000-0006-0000-0200-00000A000000}">
      <text>
        <r>
          <rPr>
            <b/>
            <sz val="8"/>
            <color indexed="81"/>
            <rFont val="Tahoma"/>
            <family val="2"/>
          </rPr>
          <t>SCB:</t>
        </r>
        <r>
          <rPr>
            <sz val="8"/>
            <color indexed="81"/>
            <rFont val="Tahoma"/>
            <family val="2"/>
          </rPr>
          <t xml:space="preserve">
</t>
        </r>
        <r>
          <rPr>
            <b/>
            <sz val="8"/>
            <color indexed="81"/>
            <rFont val="Tahoma"/>
            <family val="2"/>
          </rPr>
          <t xml:space="preserve">"Kommentera minusbelopp": </t>
        </r>
        <r>
          <rPr>
            <sz val="8"/>
            <color indexed="81"/>
            <rFont val="Tahoma"/>
            <family val="2"/>
          </rPr>
          <t>Kontrollera att denna tillgång verkligen är negativ. SCB behöver veta orsaken till minusbeloppet!
"</t>
        </r>
        <r>
          <rPr>
            <b/>
            <sz val="8"/>
            <color indexed="81"/>
            <rFont val="Tahoma"/>
            <family val="2"/>
          </rPr>
          <t xml:space="preserve">Belopp saknas": </t>
        </r>
        <r>
          <rPr>
            <sz val="8"/>
            <color indexed="81"/>
            <rFont val="Tahoma"/>
            <family val="2"/>
          </rPr>
          <t>Belopp saknas för kommunen eller koncernen.
"</t>
        </r>
        <r>
          <rPr>
            <b/>
            <sz val="8"/>
            <color indexed="81"/>
            <rFont val="Tahoma"/>
            <family val="2"/>
          </rPr>
          <t>Konc.&lt;komm."</t>
        </r>
        <r>
          <rPr>
            <sz val="8"/>
            <color indexed="81"/>
            <rFont val="Tahoma"/>
            <family val="2"/>
          </rPr>
          <t xml:space="preserve">: Beloppet för koncernen ska inte vara mindre än för kommunen avseende förråd, lager, exploateringsfastigheter.
</t>
        </r>
      </text>
    </comment>
    <comment ref="J21" authorId="0" shapeId="0" xr:uid="{00000000-0006-0000-0200-00000B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 042 är därav-rad och kan inte vara större än huvud-raden 040.
</t>
        </r>
        <r>
          <rPr>
            <b/>
            <sz val="8"/>
            <color indexed="81"/>
            <rFont val="Tahoma"/>
            <family val="2"/>
          </rPr>
          <t xml:space="preserve">
"Skriv belopp eller 0"</t>
        </r>
        <r>
          <rPr>
            <sz val="8"/>
            <color indexed="81"/>
            <rFont val="Tahoma"/>
            <family val="2"/>
          </rPr>
          <t xml:space="preserve">: Om det inte förekommer något belopp att redovisa ska cellen besvaras med en nolla (0). 
</t>
        </r>
      </text>
    </comment>
    <comment ref="J23" authorId="0" shapeId="0" xr:uid="{00000000-0006-0000-0200-00000C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 046 är därav-rad och kan inte vara större än huvud-raden 045.
</t>
        </r>
        <r>
          <rPr>
            <b/>
            <sz val="8"/>
            <color indexed="81"/>
            <rFont val="Tahoma"/>
            <family val="2"/>
          </rPr>
          <t xml:space="preserve">
"Skriv belopp eller 0"</t>
        </r>
        <r>
          <rPr>
            <sz val="8"/>
            <color indexed="81"/>
            <rFont val="Tahoma"/>
            <family val="2"/>
          </rPr>
          <t xml:space="preserve">: Om det inte förekommer något belopp att redovisa ska cellen besvaras med en nolla (0). </t>
        </r>
      </text>
    </comment>
    <comment ref="I25" authorId="2" shapeId="0" xr:uid="{00000000-0006-0000-0200-00000D000000}">
      <text>
        <r>
          <rPr>
            <b/>
            <sz val="9"/>
            <color indexed="81"/>
            <rFont val="Tahoma"/>
            <family val="2"/>
          </rPr>
          <t xml:space="preserve">SCB:
</t>
        </r>
        <r>
          <rPr>
            <sz val="8"/>
            <color indexed="81"/>
            <rFont val="Tahoma"/>
            <family val="2"/>
          </rPr>
          <t>Rad 052 avser den delen av diverse kortfristiga fordringar som kommunen har hos kommunens koncernföretag.</t>
        </r>
        <r>
          <rPr>
            <sz val="9"/>
            <color indexed="81"/>
            <rFont val="Tahoma"/>
            <family val="2"/>
          </rPr>
          <t xml:space="preserve">
</t>
        </r>
      </text>
    </comment>
    <comment ref="J26" authorId="2" shapeId="0" xr:uid="{00000000-0006-0000-0200-00000E000000}">
      <text>
        <r>
          <rPr>
            <b/>
            <sz val="9"/>
            <color indexed="81"/>
            <rFont val="Tahoma"/>
            <family val="2"/>
          </rPr>
          <t xml:space="preserve">SCB: 
</t>
        </r>
        <r>
          <rPr>
            <sz val="8"/>
            <color indexed="81"/>
            <rFont val="Tahoma"/>
            <family val="2"/>
          </rPr>
          <t xml:space="preserve">"Därav &gt;": Raderna 051- 052 är därav-rader och kan inte vara större än huvud-raden 050.
"Skriv belopp eller 0": Om det inte förekommer något belopp att redovisa ska cellerna besvaras med en nolla (0). </t>
        </r>
        <r>
          <rPr>
            <sz val="9"/>
            <color indexed="81"/>
            <rFont val="Tahoma"/>
            <family val="2"/>
          </rPr>
          <t xml:space="preserve">
</t>
        </r>
      </text>
    </comment>
    <comment ref="F30" authorId="2" shapeId="0" xr:uid="{00000000-0006-0000-0200-000011000000}">
      <text>
        <r>
          <rPr>
            <b/>
            <sz val="9"/>
            <color indexed="81"/>
            <rFont val="Tahoma"/>
            <family val="2"/>
          </rPr>
          <t>SCB:</t>
        </r>
        <r>
          <rPr>
            <sz val="9"/>
            <color indexed="81"/>
            <rFont val="Tahoma"/>
            <family val="2"/>
          </rPr>
          <t xml:space="preserve">
Kontrollera att det inte finns några kortfristiga placeringar och skriv det i kommentarrutan nedan.
</t>
        </r>
      </text>
    </comment>
    <comment ref="F31" authorId="1" shapeId="0" xr:uid="{00000000-0006-0000-0200-000012000000}">
      <text>
        <r>
          <rPr>
            <b/>
            <sz val="8"/>
            <color indexed="81"/>
            <rFont val="Tahoma"/>
            <family val="2"/>
          </rPr>
          <t>SCB:</t>
        </r>
        <r>
          <rPr>
            <sz val="8"/>
            <color indexed="81"/>
            <rFont val="Tahoma"/>
            <family val="2"/>
          </rPr>
          <t xml:space="preserve">
"</t>
        </r>
        <r>
          <rPr>
            <b/>
            <sz val="8"/>
            <color indexed="81"/>
            <rFont val="Tahoma"/>
            <family val="2"/>
          </rPr>
          <t xml:space="preserve">Belopp saknas": </t>
        </r>
        <r>
          <rPr>
            <sz val="8"/>
            <color indexed="81"/>
            <rFont val="Tahoma"/>
            <family val="2"/>
          </rPr>
          <t>Belopp saknas för kommunen eller koncernen.
"</t>
        </r>
        <r>
          <rPr>
            <b/>
            <sz val="8"/>
            <color indexed="81"/>
            <rFont val="Tahoma"/>
            <family val="2"/>
          </rPr>
          <t>Konc.&lt;komm."</t>
        </r>
        <r>
          <rPr>
            <sz val="8"/>
            <color indexed="81"/>
            <rFont val="Tahoma"/>
            <family val="2"/>
          </rPr>
          <t xml:space="preserve">: Beloppet för koncernen ska inte vara mindre än för kommunen avseende kassa och bank (likvida medel).
</t>
        </r>
      </text>
    </comment>
    <comment ref="C39" authorId="2" shapeId="0" xr:uid="{00000000-0006-0000-0200-000013000000}">
      <text>
        <r>
          <rPr>
            <b/>
            <sz val="8"/>
            <color indexed="81"/>
            <rFont val="Tahoma"/>
            <family val="2"/>
          </rPr>
          <t>SCB:</t>
        </r>
        <r>
          <rPr>
            <sz val="8"/>
            <color indexed="81"/>
            <rFont val="Tahoma"/>
            <family val="2"/>
          </rPr>
          <t xml:space="preserve">
Beloppen förtrycks enligt  utgående värde på EK i förra årets RS.</t>
        </r>
        <r>
          <rPr>
            <sz val="9"/>
            <color indexed="81"/>
            <rFont val="Tahoma"/>
            <family val="2"/>
          </rPr>
          <t xml:space="preserve">
</t>
        </r>
      </text>
    </comment>
    <comment ref="C41" authorId="2" shapeId="0" xr:uid="{00000000-0006-0000-0200-000014000000}">
      <text>
        <r>
          <rPr>
            <b/>
            <sz val="9"/>
            <color indexed="81"/>
            <rFont val="Tahoma"/>
            <family val="2"/>
          </rPr>
          <t xml:space="preserve">SCB:
</t>
        </r>
        <r>
          <rPr>
            <sz val="9"/>
            <color indexed="81"/>
            <rFont val="Tahoma"/>
            <family val="2"/>
          </rPr>
          <t xml:space="preserve">Årets resultat länkas från resultaträkningen
</t>
        </r>
      </text>
    </comment>
    <comment ref="F43" authorId="0" shapeId="0" xr:uid="{00000000-0006-0000-0200-000015000000}">
      <text>
        <r>
          <rPr>
            <b/>
            <sz val="8"/>
            <color indexed="81"/>
            <rFont val="Tahoma"/>
            <family val="2"/>
          </rPr>
          <t xml:space="preserve">SCB:
</t>
        </r>
        <r>
          <rPr>
            <sz val="8"/>
            <color indexed="81"/>
            <rFont val="Tahoma"/>
            <family val="2"/>
          </rPr>
          <t xml:space="preserve">Eget kapital, utgående värde (rad 075) beräknat som Eget kapital ingående värde (rad 073) + Justering av EK, ingående värde (rad 0731) + Årets resultat(rad 074) + Justeringar i Eget kapital (rad 064) ska överensstämma med Summa tillgångar (rad 070) - summa avsättningar (rad 079) - summa skulder (rad 099) .
</t>
        </r>
      </text>
    </comment>
    <comment ref="F44" authorId="2" shapeId="0" xr:uid="{00000000-0006-0000-0200-000016000000}">
      <text>
        <r>
          <rPr>
            <b/>
            <sz val="9"/>
            <color indexed="81"/>
            <rFont val="Tahoma"/>
            <family val="2"/>
          </rPr>
          <t>SCB:</t>
        </r>
        <r>
          <rPr>
            <sz val="9"/>
            <color indexed="81"/>
            <rFont val="Tahoma"/>
            <family val="2"/>
          </rPr>
          <t xml:space="preserve">
</t>
        </r>
        <r>
          <rPr>
            <sz val="9"/>
            <color indexed="81"/>
            <rFont val="Tahoma"/>
            <family val="2"/>
          </rPr>
          <t>Beloppet som efterfrågas på därav-rad 062 avser den</t>
        </r>
        <r>
          <rPr>
            <b/>
            <sz val="9"/>
            <color indexed="81"/>
            <rFont val="Tahoma"/>
            <family val="2"/>
          </rPr>
          <t xml:space="preserve"> totala resultatutjämningsreserven</t>
        </r>
        <r>
          <rPr>
            <sz val="9"/>
            <color indexed="81"/>
            <rFont val="Tahoma"/>
            <family val="2"/>
          </rPr>
          <t xml:space="preserve"> efter årets förändring (reservering till eller användning av medel från RUR). 
Det behöver därmed inte vara saldot per 31 december.</t>
        </r>
      </text>
    </comment>
    <comment ref="F49" authorId="3" shapeId="0" xr:uid="{00000000-0006-0000-0200-000017000000}">
      <text>
        <r>
          <rPr>
            <b/>
            <sz val="9"/>
            <color indexed="81"/>
            <rFont val="Tahoma"/>
            <family val="2"/>
          </rPr>
          <t>SCB:</t>
        </r>
        <r>
          <rPr>
            <sz val="9"/>
            <color indexed="81"/>
            <rFont val="Tahoma"/>
            <family val="2"/>
          </rPr>
          <t xml:space="preserve">
"Belopp saknas": Belopp saknas för kommunen eller koncernen.
"Konc.&lt;komm".: Beloppet för koncernen ska inte vara mindre än för kommunen avseende summan av avsättningar.</t>
        </r>
      </text>
    </comment>
    <comment ref="J51" authorId="0" shapeId="0" xr:uid="{00000000-0006-0000-0200-000018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Raderna 080 och 131 är därav-rader och kan inte vara större än huvud-raden 078.
</t>
        </r>
        <r>
          <rPr>
            <b/>
            <sz val="8"/>
            <color indexed="81"/>
            <rFont val="Tahoma"/>
            <family val="2"/>
          </rPr>
          <t xml:space="preserve">
"Skriv belopp eller 0"</t>
        </r>
        <r>
          <rPr>
            <sz val="8"/>
            <color indexed="81"/>
            <rFont val="Tahoma"/>
            <family val="2"/>
          </rPr>
          <t xml:space="preserve">: Om det inte förekommer något belopp att redovisa ska cellerna besvaras med en nolla (0). </t>
        </r>
      </text>
    </comment>
    <comment ref="H54" authorId="3" shapeId="0" xr:uid="{00000000-0006-0000-0200-000019000000}">
      <text>
        <r>
          <rPr>
            <b/>
            <sz val="9"/>
            <color indexed="81"/>
            <rFont val="Tahoma"/>
            <family val="2"/>
          </rPr>
          <t>SCB:</t>
        </r>
        <r>
          <rPr>
            <sz val="9"/>
            <color indexed="81"/>
            <rFont val="Tahoma"/>
            <family val="2"/>
          </rPr>
          <t xml:space="preserve">
Nettot av konto 2388 och 2389.
</t>
        </r>
      </text>
    </comment>
    <comment ref="I56" authorId="2" shapeId="0" xr:uid="{00000000-0006-0000-0200-00001A000000}">
      <text>
        <r>
          <rPr>
            <b/>
            <sz val="9"/>
            <color indexed="81"/>
            <rFont val="Tahoma"/>
            <family val="2"/>
          </rPr>
          <t xml:space="preserve">SCB:
</t>
        </r>
        <r>
          <rPr>
            <sz val="9"/>
            <color indexed="81"/>
            <rFont val="Tahoma"/>
            <family val="2"/>
          </rPr>
          <t>Avser den delen av långfristiga skulder som är nyupptagna lån, dvs. lån som tagits under det aktuella året.</t>
        </r>
        <r>
          <rPr>
            <b/>
            <sz val="9"/>
            <color indexed="81"/>
            <rFont val="Tahoma"/>
            <family val="2"/>
          </rPr>
          <t xml:space="preserve">
</t>
        </r>
      </text>
    </comment>
    <comment ref="C78" authorId="4" shapeId="0" xr:uid="{2E4127F8-574F-4193-812B-9DAF7D3E7C72}">
      <text>
        <r>
          <rPr>
            <b/>
            <sz val="9"/>
            <color indexed="81"/>
            <rFont val="Tahoma"/>
            <family val="2"/>
          </rPr>
          <t xml:space="preserve">SCB: </t>
        </r>
        <r>
          <rPr>
            <sz val="8"/>
            <color indexed="81"/>
            <rFont val="Tahoma"/>
            <family val="2"/>
          </rPr>
          <t>Här ingår även stiftelser</t>
        </r>
        <r>
          <rPr>
            <sz val="9"/>
            <color indexed="81"/>
            <rFont val="Tahoma"/>
            <family val="2"/>
          </rPr>
          <t xml:space="preserve">
</t>
        </r>
      </text>
    </comment>
    <comment ref="F80" authorId="5" shapeId="0" xr:uid="{00000000-0006-0000-0200-00001D000000}">
      <text>
        <r>
          <rPr>
            <b/>
            <sz val="8"/>
            <color indexed="81"/>
            <rFont val="Tahoma"/>
            <family val="2"/>
          </rPr>
          <t>SCB:</t>
        </r>
        <r>
          <rPr>
            <sz val="8"/>
            <color indexed="81"/>
            <rFont val="Tahoma"/>
            <family val="2"/>
          </rPr>
          <t xml:space="preserve">
Pensionerna redovisas i RS enligt den blandade modellen. Därför ska det finnas uppgifter avseende pensionsförpliktelser redovisade här.</t>
        </r>
      </text>
    </comment>
    <comment ref="I81" authorId="2" shapeId="0" xr:uid="{00000000-0006-0000-0200-00001E000000}">
      <text>
        <r>
          <rPr>
            <b/>
            <sz val="9"/>
            <color indexed="81"/>
            <rFont val="Tahoma"/>
            <family val="2"/>
          </rPr>
          <t xml:space="preserve">SCB:
</t>
        </r>
        <r>
          <rPr>
            <sz val="8"/>
            <color indexed="81"/>
            <rFont val="Tahoma"/>
            <family val="2"/>
          </rPr>
          <t>Rad 161 är en därav-rad till summan av ansvarsförbindelser och avser borgensåtaganden för tagna lån i kreditinstitut och banker.</t>
        </r>
        <r>
          <rPr>
            <sz val="9"/>
            <color indexed="81"/>
            <rFont val="Tahoma"/>
            <family val="2"/>
          </rPr>
          <t xml:space="preserve">
</t>
        </r>
      </text>
    </comment>
    <comment ref="K81" authorId="0" shapeId="0" xr:uid="{00000000-0006-0000-0200-00001F000000}">
      <text>
        <r>
          <rPr>
            <b/>
            <sz val="8"/>
            <color indexed="81"/>
            <rFont val="Tahoma"/>
            <family val="2"/>
          </rPr>
          <t>SCB:</t>
        </r>
        <r>
          <rPr>
            <sz val="8"/>
            <color indexed="81"/>
            <rFont val="Tahoma"/>
            <family val="2"/>
          </rPr>
          <t xml:space="preserve">  
"</t>
        </r>
        <r>
          <rPr>
            <b/>
            <sz val="8"/>
            <color indexed="81"/>
            <rFont val="Tahoma"/>
            <family val="2"/>
          </rPr>
          <t>Därav &gt;"</t>
        </r>
        <r>
          <rPr>
            <sz val="8"/>
            <color indexed="81"/>
            <rFont val="Tahoma"/>
            <family val="2"/>
          </rPr>
          <t xml:space="preserve">: Rad 161 är därav-rad och kan inte vara större än huvud-raden 160.
</t>
        </r>
        <r>
          <rPr>
            <b/>
            <sz val="8"/>
            <color indexed="81"/>
            <rFont val="Tahoma"/>
            <family val="2"/>
          </rPr>
          <t xml:space="preserve">
"Skriv belopp eller 0"</t>
        </r>
        <r>
          <rPr>
            <sz val="8"/>
            <color indexed="81"/>
            <rFont val="Tahoma"/>
            <family val="2"/>
          </rPr>
          <t xml:space="preserve">: Om det inte förekommer något belopp att redovisa ska cellen besvaras med en nolla (0). 
</t>
        </r>
        <r>
          <rPr>
            <b/>
            <sz val="8"/>
            <color indexed="81"/>
            <rFont val="Tahoma"/>
            <family val="2"/>
          </rPr>
          <t xml:space="preserve">"Kommentera…":  </t>
        </r>
        <r>
          <rPr>
            <sz val="8"/>
            <color indexed="81"/>
            <rFont val="Tahoma"/>
            <family val="2"/>
          </rPr>
          <t>Om summan av beloppen på raderna 121, 122, 130 och 140 innehåller annat än borgensåtaganden för lån behöver SCB veta vad det rör sig om.</t>
        </r>
      </text>
    </comment>
    <comment ref="I82" authorId="2" shapeId="0" xr:uid="{00000000-0006-0000-0200-000020000000}">
      <text>
        <r>
          <rPr>
            <b/>
            <sz val="9"/>
            <color indexed="81"/>
            <rFont val="Tahoma"/>
            <family val="2"/>
          </rPr>
          <t>SCB:</t>
        </r>
        <r>
          <rPr>
            <sz val="9"/>
            <color indexed="81"/>
            <rFont val="Tahoma"/>
            <family val="2"/>
          </rPr>
          <t xml:space="preserve">
</t>
        </r>
        <r>
          <rPr>
            <sz val="8"/>
            <color indexed="81"/>
            <rFont val="Tahoma"/>
            <family val="2"/>
          </rPr>
          <t xml:space="preserve">Rad 162 är varav-rad till rad 161. Avser borgensåtaganden för bostadsstiftelser och andra icke-finansiella företag där kommunen ensam eller tillsammans med annan kommun, landsting eller staten (eller en kombination av dessa) äger minst 50 % av aktie- eller andelskapitalet. Avser även dotterbolag till kommunägda företag.  </t>
        </r>
      </text>
    </comment>
    <comment ref="K82" authorId="2" shapeId="0" xr:uid="{00000000-0006-0000-0200-000021000000}">
      <text>
        <r>
          <rPr>
            <b/>
            <sz val="9"/>
            <color indexed="81"/>
            <rFont val="Tahoma"/>
            <family val="2"/>
          </rPr>
          <t xml:space="preserve">SCB:
</t>
        </r>
        <r>
          <rPr>
            <sz val="8"/>
            <color indexed="81"/>
            <rFont val="Tahoma"/>
            <family val="2"/>
          </rPr>
          <t>Rad 162 är en varavrad till rad 161 och kan därmed inte vara större än denne.</t>
        </r>
        <r>
          <rPr>
            <sz val="9"/>
            <color indexed="81"/>
            <rFont val="Tahoma"/>
            <family val="2"/>
          </rPr>
          <t xml:space="preserve">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scbelin</author>
    <author>Siegrist Elisabeth DFO/OU-Ö</author>
    <author>Mundt Henrik D/INS/OFS-Ö</author>
    <author>Engblom Linnea D/INS/OFS-Ö</author>
    <author>scbingj</author>
    <author>Henrik Mundt</author>
    <author>SCB</author>
  </authors>
  <commentList>
    <comment ref="D4" authorId="0" shapeId="0" xr:uid="{00000000-0006-0000-0300-000001000000}">
      <text>
        <r>
          <rPr>
            <sz val="8"/>
            <color indexed="81"/>
            <rFont val="Tahoma"/>
            <family val="2"/>
          </rPr>
          <t xml:space="preserve">
</t>
        </r>
      </text>
    </comment>
    <comment ref="O7" authorId="0" shapeId="0" xr:uid="{00000000-0006-0000-0300-000002000000}">
      <text>
        <r>
          <rPr>
            <b/>
            <sz val="8"/>
            <color indexed="81"/>
            <rFont val="Tahoma"/>
            <family val="2"/>
          </rPr>
          <t xml:space="preserve">SCB:
</t>
        </r>
        <r>
          <rPr>
            <sz val="8"/>
            <color indexed="81"/>
            <rFont val="Tahoma"/>
            <family val="2"/>
          </rPr>
          <t xml:space="preserve">Förändring mot förra året kontrolleras för vissa poster. Om kontrollen "kommentera" visas behöver uppgiften kontrolleras och förändringen kommenteras. Om däremot kontrollen "kontrollera" visas behöver uppgiften endast kontrolleras.
 </t>
        </r>
      </text>
    </comment>
    <comment ref="A10" authorId="1" shapeId="0" xr:uid="{00000000-0006-0000-0300-000003000000}">
      <text>
        <r>
          <rPr>
            <b/>
            <sz val="9"/>
            <color indexed="81"/>
            <rFont val="Tahoma"/>
            <family val="2"/>
          </rPr>
          <t xml:space="preserve">SCB: 
</t>
        </r>
        <r>
          <rPr>
            <sz val="9"/>
            <color indexed="81"/>
            <rFont val="Tahoma"/>
            <family val="2"/>
          </rPr>
          <t xml:space="preserve">Ändringen avser konsekvensen av den nya rekommendationen RKR R2.
</t>
        </r>
      </text>
    </comment>
    <comment ref="C17" authorId="2" shapeId="0" xr:uid="{0A0DAEDD-2BE3-4FF9-811F-6096F23C991B}">
      <text>
        <r>
          <rPr>
            <b/>
            <sz val="9"/>
            <color indexed="81"/>
            <rFont val="Tahoma"/>
            <family val="2"/>
          </rPr>
          <t>SCB:</t>
        </r>
        <r>
          <rPr>
            <sz val="9"/>
            <color indexed="81"/>
            <rFont val="Tahoma"/>
            <family val="2"/>
          </rPr>
          <t xml:space="preserve">
Här ska även vidareförmedlade statsbidrag från SKR eller annan kommun redovisas.</t>
        </r>
      </text>
    </comment>
    <comment ref="E19" authorId="2" shapeId="0" xr:uid="{B433F457-6B11-4D8B-B726-E4A21DC77487}">
      <text>
        <r>
          <rPr>
            <b/>
            <sz val="9"/>
            <color indexed="81"/>
            <rFont val="Tahoma"/>
            <family val="2"/>
          </rPr>
          <t>SCB:</t>
        </r>
        <r>
          <rPr>
            <sz val="9"/>
            <color indexed="81"/>
            <rFont val="Tahoma"/>
            <family val="2"/>
          </rPr>
          <t xml:space="preserve">
På rad 520 ska inte statsbidrag som vidareförmedlats av SKR eller annan kommun redovisas. Den typen av intäkter ska redovisas på rad 500. Beskriv vad som ingår i de redovisade intäkterna på rad 520.</t>
        </r>
      </text>
    </comment>
    <comment ref="C20" authorId="3" shapeId="0" xr:uid="{8FF8350F-D9F0-47CB-A13E-57B5E6864C76}">
      <text>
        <r>
          <rPr>
            <b/>
            <sz val="8"/>
            <color indexed="81"/>
            <rFont val="Tahoma"/>
            <family val="2"/>
          </rPr>
          <t>SCB:</t>
        </r>
        <r>
          <rPr>
            <sz val="8"/>
            <color indexed="81"/>
            <rFont val="Tahoma"/>
            <family val="2"/>
          </rPr>
          <t xml:space="preserve"> Här redovisas ersättningar avseende omställningsfonden. </t>
        </r>
      </text>
    </comment>
    <comment ref="C21" authorId="4" shapeId="0" xr:uid="{00000000-0006-0000-0300-000005000000}">
      <text>
        <r>
          <rPr>
            <b/>
            <sz val="8"/>
            <color indexed="81"/>
            <rFont val="Tahoma"/>
            <family val="2"/>
          </rPr>
          <t xml:space="preserve">SCB:
</t>
        </r>
        <r>
          <rPr>
            <sz val="8"/>
            <color indexed="81"/>
            <rFont val="Tahoma"/>
            <family val="2"/>
          </rPr>
          <t>Grönt fält används för beräkning av utjämning av LSS-kostnader mellan kommuner.
Beloppet är även länkad till avdelning Äldre och personer med funktionsnedsättning.
Ersättning från Försäkringskassan ska innehålla alla inbetalningar som kommunen erhållit under året, även sk. slutavräkning från tidigare år ska ingå.</t>
        </r>
      </text>
    </comment>
    <comment ref="D21" authorId="1" shapeId="0" xr:uid="{00000000-0006-0000-0300-000006000000}">
      <text>
        <r>
          <rPr>
            <b/>
            <sz val="9"/>
            <color indexed="81"/>
            <rFont val="Tahoma"/>
            <family val="2"/>
          </rPr>
          <t xml:space="preserve">SCB:
</t>
        </r>
        <r>
          <rPr>
            <b/>
            <sz val="8"/>
            <color indexed="10"/>
            <rFont val="Tahoma"/>
            <family val="2"/>
          </rPr>
          <t>OBS! Ang. ersättning från FK via privat utförare:</t>
        </r>
        <r>
          <rPr>
            <b/>
            <sz val="9"/>
            <color indexed="81"/>
            <rFont val="Tahoma"/>
            <family val="2"/>
          </rPr>
          <t xml:space="preserve">
</t>
        </r>
        <r>
          <rPr>
            <sz val="8"/>
            <color indexed="81"/>
            <rFont val="Tahoma"/>
            <family val="2"/>
          </rPr>
          <t>Rättsläget har förändrats för ersättningar avseende retroaktiva beslut som Försäkringskassan (FK) fattar när det gäller personlig assistans. Det innebär att om det är en alternativ utförare som utfört tjänsten betalas de retroaktiva ersättningarna från FK ut till utföraren. Ersättningen gick tidigare direkt från FK till kommunen. Nu går denna ersättning från FK via företagen till kommunen. I tidigare RS har ersättningarna för personlig assistans från FK redovisats på konto 354 i Verksamhetens intäkter. Från och med RS 2019 vill SCB att dessa ersättningar fortfarande redovisas på konto 354 trots att en del av dem erhålls från företagen.</t>
        </r>
        <r>
          <rPr>
            <sz val="9"/>
            <color indexed="81"/>
            <rFont val="Tahoma"/>
            <family val="2"/>
          </rPr>
          <t xml:space="preserve">
</t>
        </r>
      </text>
    </comment>
    <comment ref="E21" authorId="4" shapeId="0" xr:uid="{00000000-0006-0000-0300-000007000000}">
      <text>
        <r>
          <rPr>
            <b/>
            <sz val="8"/>
            <color indexed="81"/>
            <rFont val="Tahoma"/>
            <family val="2"/>
          </rPr>
          <t>SCB:</t>
        </r>
        <r>
          <rPr>
            <sz val="8"/>
            <color indexed="81"/>
            <rFont val="Tahoma"/>
            <family val="2"/>
          </rPr>
          <t xml:space="preserve"> 
Belopp saknas för Ersättning från  FK som ska bruttoredovisas på rad 525.</t>
        </r>
      </text>
    </comment>
    <comment ref="E22" authorId="4" shapeId="0" xr:uid="{00000000-0006-0000-0300-000008000000}">
      <text>
        <r>
          <rPr>
            <b/>
            <sz val="8"/>
            <color indexed="81"/>
            <rFont val="Tahoma"/>
            <family val="2"/>
          </rPr>
          <t xml:space="preserve">SCB: </t>
        </r>
        <r>
          <rPr>
            <sz val="8"/>
            <color indexed="81"/>
            <rFont val="Tahoma"/>
            <family val="2"/>
          </rPr>
          <t xml:space="preserve">Redovisning av köp av ej skattepliktig verksamhet måste vara brutto. Därför ska det finnas belopp här.
</t>
        </r>
      </text>
    </comment>
    <comment ref="E25" authorId="1" shapeId="0" xr:uid="{00000000-0006-0000-0300-000009000000}">
      <text>
        <r>
          <rPr>
            <b/>
            <sz val="9"/>
            <color indexed="81"/>
            <rFont val="Tahoma"/>
            <family val="2"/>
          </rPr>
          <t xml:space="preserve">SCB:
</t>
        </r>
        <r>
          <rPr>
            <sz val="8"/>
            <color indexed="81"/>
            <rFont val="Tahoma"/>
            <family val="2"/>
          </rPr>
          <t>Kommentera vad som redovisas på rad 570. Består bidraget av flera delar skriv vad de större delarna avser och vem som är bidragsgivare.</t>
        </r>
        <r>
          <rPr>
            <sz val="9"/>
            <color indexed="81"/>
            <rFont val="Tahoma"/>
            <family val="2"/>
          </rPr>
          <t xml:space="preserve">
Ersättningar och bidrag från staten och statliga myndigheter redovisas på rad 500. Bidrag från företag redovisas även på rad 577.
</t>
        </r>
      </text>
    </comment>
    <comment ref="E32" authorId="5" shapeId="0" xr:uid="{00000000-0006-0000-0300-00000A000000}">
      <text>
        <r>
          <rPr>
            <b/>
            <sz val="9"/>
            <color indexed="81"/>
            <rFont val="Tahoma"/>
            <family val="2"/>
          </rPr>
          <t>SCB:</t>
        </r>
        <r>
          <rPr>
            <sz val="9"/>
            <color indexed="81"/>
            <rFont val="Tahoma"/>
            <family val="2"/>
          </rPr>
          <t xml:space="preserve">
Kontrollen faller ut vid differens mot beloppet på rad 982, kol. W i Driften - rätta eller kommentera.
</t>
        </r>
      </text>
    </comment>
    <comment ref="E33" authorId="1" shapeId="0" xr:uid="{00000000-0006-0000-0300-00000C000000}">
      <text>
        <r>
          <rPr>
            <b/>
            <sz val="8"/>
            <color indexed="81"/>
            <rFont val="Tahoma"/>
            <family val="2"/>
          </rPr>
          <t>SCB:</t>
        </r>
        <r>
          <rPr>
            <sz val="8"/>
            <color indexed="81"/>
            <rFont val="Tahoma"/>
            <family val="2"/>
          </rPr>
          <t xml:space="preserve">
Reavinst vid försäljning av anl.tillg. på rad 892 borde stämma överens med reavinsten i Driften, rad 985 samt även med reavinsten i Investeringar, rad 989, kol C+D</t>
        </r>
        <r>
          <rPr>
            <sz val="9"/>
            <color indexed="81"/>
            <rFont val="Tahoma"/>
            <family val="2"/>
          </rPr>
          <t xml:space="preserve">
</t>
        </r>
      </text>
    </comment>
    <comment ref="B34" authorId="1" shapeId="0" xr:uid="{00000000-0006-0000-0300-00000D000000}">
      <text>
        <r>
          <rPr>
            <b/>
            <sz val="9"/>
            <color indexed="81"/>
            <rFont val="Tahoma"/>
            <family val="2"/>
          </rPr>
          <t xml:space="preserve">SCB: </t>
        </r>
        <r>
          <rPr>
            <sz val="8"/>
            <color indexed="81"/>
            <rFont val="Tahoma"/>
            <family val="2"/>
          </rPr>
          <t>Fr.o.m. Bas13 finns inte längre något konto för övriga periodiseringar. 
Dessa borde ingå på något av kontona på rad 892.</t>
        </r>
      </text>
    </comment>
    <comment ref="E34" authorId="6" shapeId="0" xr:uid="{00000000-0006-0000-0300-00000E000000}">
      <text>
        <r>
          <rPr>
            <b/>
            <sz val="8"/>
            <color indexed="81"/>
            <rFont val="Tahoma"/>
            <family val="2"/>
          </rPr>
          <t>SCB:</t>
        </r>
        <r>
          <rPr>
            <sz val="8"/>
            <color indexed="81"/>
            <rFont val="Tahoma"/>
            <family val="2"/>
          </rPr>
          <t xml:space="preserve">
Kommentera vad Övriga periodiseringar består av, ingår det olika poster i beloppet så uppge såväl posternas storlek som vad de avser.
 </t>
        </r>
      </text>
    </comment>
    <comment ref="D37" authorId="4" shapeId="0" xr:uid="{00000000-0006-0000-0300-00000F000000}">
      <text>
        <r>
          <rPr>
            <b/>
            <sz val="8"/>
            <color indexed="81"/>
            <rFont val="Tahoma"/>
            <family val="2"/>
          </rPr>
          <t xml:space="preserve">SCB: 
</t>
        </r>
        <r>
          <rPr>
            <sz val="8"/>
            <color indexed="81"/>
            <rFont val="Tahoma"/>
            <family val="2"/>
          </rPr>
          <t xml:space="preserve">Summeringen av raderna 130-894 stämmer inte överens med Verksamhetens intäkter i avdelning RR, rad 010.Observera att jämförelsestörande intäkter som länkas från RR till rad 989 i avdelning Drift här ska redovisas på raden som innehåller kontot som den jämförelsestörande posten avser. Detta kan samtidigt leda till att det uppstår differenser i Kontrollbladet vilket är ok, men kommentera kontrollerna där.
</t>
        </r>
      </text>
    </comment>
    <comment ref="H41" authorId="4" shapeId="0" xr:uid="{00000000-0006-0000-0300-000011000000}">
      <text>
        <r>
          <rPr>
            <b/>
            <sz val="8"/>
            <color indexed="81"/>
            <rFont val="Tahoma"/>
            <family val="2"/>
          </rPr>
          <t xml:space="preserve">SCB:
</t>
        </r>
        <r>
          <rPr>
            <sz val="8"/>
            <color indexed="81"/>
            <rFont val="Tahoma"/>
            <family val="2"/>
          </rPr>
          <t xml:space="preserve">Grönt fält används för beräkning av utjämning av LSS-kostnader mellan kommuner.
Beloppet är även länkad till avdelning Äldre och personer med funktionsnedsättning.
Ersättning till Försäkringskassan ska innehålla alla </t>
        </r>
        <r>
          <rPr>
            <b/>
            <sz val="8"/>
            <color indexed="81"/>
            <rFont val="Tahoma"/>
            <family val="2"/>
          </rPr>
          <t>kostnader</t>
        </r>
        <r>
          <rPr>
            <sz val="8"/>
            <color indexed="81"/>
            <rFont val="Tahoma"/>
            <family val="2"/>
          </rPr>
          <t xml:space="preserve"> som kommunen</t>
        </r>
        <r>
          <rPr>
            <b/>
            <sz val="8"/>
            <color indexed="81"/>
            <rFont val="Tahoma"/>
            <family val="2"/>
          </rPr>
          <t xml:space="preserve"> bokat upp för året</t>
        </r>
        <r>
          <rPr>
            <sz val="8"/>
            <color indexed="81"/>
            <rFont val="Tahoma"/>
            <family val="2"/>
          </rPr>
          <t xml:space="preserve"> avseende ersättningen för personliga assistenter</t>
        </r>
      </text>
    </comment>
    <comment ref="J41" authorId="4" shapeId="0" xr:uid="{00000000-0006-0000-0300-000012000000}">
      <text>
        <r>
          <rPr>
            <b/>
            <sz val="8"/>
            <color indexed="81"/>
            <rFont val="Tahoma"/>
            <family val="2"/>
          </rPr>
          <t>SCB:</t>
        </r>
        <r>
          <rPr>
            <sz val="8"/>
            <color indexed="81"/>
            <rFont val="Tahoma"/>
            <family val="2"/>
          </rPr>
          <t xml:space="preserve"> 
</t>
        </r>
        <r>
          <rPr>
            <b/>
            <sz val="8"/>
            <color indexed="81"/>
            <rFont val="Tahoma"/>
            <family val="2"/>
          </rPr>
          <t>"Belopp saknas"</t>
        </r>
        <r>
          <rPr>
            <sz val="8"/>
            <color indexed="81"/>
            <rFont val="Tahoma"/>
            <family val="2"/>
          </rPr>
          <t xml:space="preserve">: Ersättning till Försäkringskassan ska ingå i Bidrag på rad 620 och särredovisas här på rad 630.
</t>
        </r>
        <r>
          <rPr>
            <b/>
            <sz val="8"/>
            <color indexed="81"/>
            <rFont val="Tahoma"/>
            <family val="2"/>
          </rPr>
          <t>"Därav &gt;"</t>
        </r>
        <r>
          <rPr>
            <sz val="8"/>
            <color indexed="81"/>
            <rFont val="Tahoma"/>
            <family val="2"/>
          </rPr>
          <t xml:space="preserve">: Rad 630 är en därav-rad och kan inte vara större än huvud-raden 620.
</t>
        </r>
        <r>
          <rPr>
            <b/>
            <sz val="8"/>
            <color indexed="81"/>
            <rFont val="Tahoma"/>
            <family val="2"/>
          </rPr>
          <t>"Kontrollera mot bidrag i avd. Drift"</t>
        </r>
        <r>
          <rPr>
            <sz val="8"/>
            <color indexed="81"/>
            <rFont val="Tahoma"/>
            <family val="2"/>
          </rPr>
          <t xml:space="preserve"> Beloppet på rad 630 ska ingå i beloppet på rad 513 i kolumn Bidrag och transfereringar i avd. Drift och kan därmed inte vara större än beloppet där.
</t>
        </r>
      </text>
    </comment>
    <comment ref="B42" authorId="1" shapeId="0" xr:uid="{00000000-0006-0000-0300-000013000000}">
      <text>
        <r>
          <rPr>
            <b/>
            <sz val="9"/>
            <color indexed="81"/>
            <rFont val="Tahoma"/>
            <family val="2"/>
          </rPr>
          <t xml:space="preserve">SCB:
</t>
        </r>
        <r>
          <rPr>
            <sz val="8"/>
            <color indexed="81"/>
            <rFont val="Tahoma"/>
            <family val="2"/>
          </rPr>
          <t>Här ingår även bidrag till staten och statliga myndigheter men i</t>
        </r>
        <r>
          <rPr>
            <u/>
            <sz val="8"/>
            <color indexed="81"/>
            <rFont val="Tahoma"/>
            <family val="2"/>
          </rPr>
          <t>nte</t>
        </r>
        <r>
          <rPr>
            <sz val="8"/>
            <color indexed="81"/>
            <rFont val="Tahoma"/>
            <family val="2"/>
          </rPr>
          <t xml:space="preserve"> bidrag till statlig infrastruktur som ingår på rad 650 istället.</t>
        </r>
        <r>
          <rPr>
            <sz val="9"/>
            <color indexed="81"/>
            <rFont val="Tahoma"/>
            <family val="2"/>
          </rPr>
          <t xml:space="preserve">
</t>
        </r>
      </text>
    </comment>
    <comment ref="G42" authorId="1" shapeId="0" xr:uid="{00000000-0006-0000-0300-000015000000}">
      <text>
        <r>
          <rPr>
            <b/>
            <sz val="9"/>
            <color indexed="81"/>
            <rFont val="Tahoma"/>
            <family val="2"/>
          </rPr>
          <t xml:space="preserve">SCB:
</t>
        </r>
        <r>
          <rPr>
            <sz val="8"/>
            <color indexed="81"/>
            <rFont val="Tahoma"/>
            <family val="2"/>
          </rPr>
          <t xml:space="preserve">Här ingår den delen av konto 453 som går till staten och statliga myndigheter, dvs. motpart 81, men </t>
        </r>
        <r>
          <rPr>
            <u/>
            <sz val="8"/>
            <color indexed="81"/>
            <rFont val="Tahoma"/>
            <family val="2"/>
          </rPr>
          <t>inte</t>
        </r>
        <r>
          <rPr>
            <sz val="8"/>
            <color indexed="81"/>
            <rFont val="Tahoma"/>
            <family val="2"/>
          </rPr>
          <t>, Kostnader avseende ersättning för personliga assistenter, konto 4538 som redovisas på rad 630 istället.</t>
        </r>
        <r>
          <rPr>
            <sz val="9"/>
            <color indexed="81"/>
            <rFont val="Tahoma"/>
            <family val="2"/>
          </rPr>
          <t xml:space="preserve">
</t>
        </r>
      </text>
    </comment>
    <comment ref="J42" authorId="0" shapeId="0" xr:uid="{00000000-0006-0000-0300-000016000000}">
      <text>
        <r>
          <rPr>
            <b/>
            <sz val="8"/>
            <color indexed="81"/>
            <rFont val="Tahoma"/>
            <family val="2"/>
          </rPr>
          <t xml:space="preserve">SCB: 
"Däravraderna 630+631 &gt; rad 620"
</t>
        </r>
        <r>
          <rPr>
            <sz val="8"/>
            <color indexed="81"/>
            <rFont val="Tahoma"/>
            <family val="2"/>
          </rPr>
          <t xml:space="preserve">Rad 630-631 är därav-rader och kan inte vara större än huvud-raden 620.
</t>
        </r>
        <r>
          <rPr>
            <b/>
            <sz val="8"/>
            <color indexed="81"/>
            <rFont val="Tahoma"/>
            <family val="2"/>
          </rPr>
          <t xml:space="preserve">
"Kontrollera mot rad 950, kol U i Motpart":
</t>
        </r>
        <r>
          <rPr>
            <sz val="8"/>
            <color indexed="81"/>
            <rFont val="Tahoma"/>
            <family val="2"/>
          </rPr>
          <t xml:space="preserve">Om Bidrag til staten och statliga myndiheter ingår i kolumn H i driften ska den även ingå i Motparten och där i kolumn U, Staten, statliga myndigheter.
</t>
        </r>
        <r>
          <rPr>
            <b/>
            <sz val="8"/>
            <color indexed="81"/>
            <rFont val="Tahoma"/>
            <family val="2"/>
          </rPr>
          <t>"Inte ersättn.pers.assistent":</t>
        </r>
        <r>
          <rPr>
            <sz val="8"/>
            <color indexed="81"/>
            <rFont val="Tahoma"/>
            <family val="2"/>
          </rPr>
          <t xml:space="preserve"> På rad 631 redovisas bara de bidrag till staten/statliga myndigheter som inte är ersättning för personlig assistent.
</t>
        </r>
        <r>
          <rPr>
            <b/>
            <sz val="8"/>
            <color indexed="81"/>
            <rFont val="Tahoma"/>
            <family val="2"/>
          </rPr>
          <t xml:space="preserve">
"Kontrollera mot kol U Motpart":</t>
        </r>
        <r>
          <rPr>
            <sz val="8"/>
            <color indexed="81"/>
            <rFont val="Tahoma"/>
            <family val="2"/>
          </rPr>
          <t xml:space="preserve"> Beloppet på rad 631 är större än totalsumman kol U i Motpart minus cell U10 (som till största del borde vara bidrag till infrastruktur) minus cell U29 (som till huvuddel borde vara ersättning för personlig assistenter). Kommentera vad det avser.</t>
        </r>
      </text>
    </comment>
    <comment ref="J45" authorId="0" shapeId="0" xr:uid="{00000000-0006-0000-0300-000018000000}">
      <text>
        <r>
          <rPr>
            <b/>
            <sz val="8"/>
            <color indexed="81"/>
            <rFont val="Tahoma"/>
            <family val="2"/>
          </rPr>
          <t>SCB: 
"Belopp saknas":</t>
        </r>
        <r>
          <rPr>
            <sz val="8"/>
            <color indexed="81"/>
            <rFont val="Tahoma"/>
            <family val="2"/>
          </rPr>
          <t xml:space="preserve"> Sjuklön ska ingå i Löner m.m. på rad 100 och särredovisas här på rad 102.</t>
        </r>
        <r>
          <rPr>
            <b/>
            <sz val="8"/>
            <color indexed="81"/>
            <rFont val="Tahoma"/>
            <family val="2"/>
          </rPr>
          <t xml:space="preserve">
"Därav&gt; "</t>
        </r>
        <r>
          <rPr>
            <sz val="8"/>
            <color indexed="81"/>
            <rFont val="Tahoma"/>
            <family val="2"/>
          </rPr>
          <t xml:space="preserve">.: Rad 102 är därav-rad och kan inte vara större än huvud-raden 100.
</t>
        </r>
      </text>
    </comment>
    <comment ref="J48" authorId="0" shapeId="0" xr:uid="{00000000-0006-0000-0300-000019000000}">
      <text>
        <r>
          <rPr>
            <b/>
            <sz val="8"/>
            <color indexed="81"/>
            <rFont val="Tahoma"/>
            <family val="2"/>
          </rPr>
          <t xml:space="preserve">SCB: 
"Belopp saknas": </t>
        </r>
        <r>
          <rPr>
            <sz val="8"/>
            <color indexed="81"/>
            <rFont val="Tahoma"/>
            <family val="2"/>
          </rPr>
          <t xml:space="preserve">Löneskatt ska ingå i "Sociala avg.enl.lag o.avtal.." på rad 110 och särredovisas här på rad111.
</t>
        </r>
        <r>
          <rPr>
            <b/>
            <sz val="8"/>
            <color indexed="81"/>
            <rFont val="Tahoma"/>
            <family val="2"/>
          </rPr>
          <t xml:space="preserve">
"Därav&gt; "</t>
        </r>
        <r>
          <rPr>
            <sz val="8"/>
            <color indexed="81"/>
            <rFont val="Tahoma"/>
            <family val="2"/>
          </rPr>
          <t>: Rad 111 är därav-rad och kan inte vara större än huvud-raden 110
"</t>
        </r>
        <r>
          <rPr>
            <b/>
            <sz val="8"/>
            <color indexed="81"/>
            <rFont val="Tahoma"/>
            <family val="2"/>
          </rPr>
          <t xml:space="preserve">Låg löneskatt eller hög löneskatt": </t>
        </r>
        <r>
          <rPr>
            <sz val="8"/>
            <color indexed="81"/>
            <rFont val="Tahoma"/>
            <family val="2"/>
          </rPr>
          <t>Den redovisade löneskatten ligger utanför intervallet. Kontrollera och kommentera varför den avviker från intervallet.</t>
        </r>
      </text>
    </comment>
    <comment ref="J49" authorId="1" shapeId="0" xr:uid="{00000000-0006-0000-0300-00001A000000}">
      <text>
        <r>
          <rPr>
            <b/>
            <sz val="9"/>
            <color indexed="81"/>
            <rFont val="Tahoma"/>
            <family val="2"/>
          </rPr>
          <t xml:space="preserve">SCB:
</t>
        </r>
        <r>
          <rPr>
            <sz val="8"/>
            <color indexed="81"/>
            <rFont val="Tahoma"/>
            <family val="2"/>
          </rPr>
          <t>Pens.utbet intjänade före 98 borde inte vara mindre än pens.utbet intjänade fr.o.m. 98</t>
        </r>
        <r>
          <rPr>
            <sz val="9"/>
            <color indexed="81"/>
            <rFont val="Tahoma"/>
            <family val="2"/>
          </rPr>
          <t xml:space="preserve">
OBS! Tanken är att kostnaderna för pensionerna intjänade efter 98 resultatfördes tidigare år i form av ökning av pensionsavsättning. När utbetalningen sker så borde pensionsavsättningen minskas (redovisa med minusbelopp på rad 115) och motsvarande belopp redovisas på rad 120 och 121 i form av pensionsutbetalning. Nettot blir då 0, dvs. årets verksamhetskostnad påverkas inte.
</t>
        </r>
      </text>
    </comment>
    <comment ref="J50" authorId="1" shapeId="0" xr:uid="{00000000-0006-0000-0300-00001B000000}">
      <text>
        <r>
          <rPr>
            <b/>
            <sz val="8"/>
            <color indexed="81"/>
            <rFont val="Tahoma"/>
            <family val="2"/>
          </rPr>
          <t xml:space="preserve">SCB:
</t>
        </r>
        <r>
          <rPr>
            <sz val="8"/>
            <color indexed="81"/>
            <rFont val="Tahoma"/>
            <family val="2"/>
          </rPr>
          <t>På därav-raderna 121, 122 och 123 borde samtliga pensionsutbetalningar som redovisas på rad 120 ingå.</t>
        </r>
        <r>
          <rPr>
            <sz val="9"/>
            <color indexed="81"/>
            <rFont val="Tahoma"/>
            <family val="2"/>
          </rPr>
          <t xml:space="preserve">
</t>
        </r>
      </text>
    </comment>
    <comment ref="J51" authorId="0" shapeId="0" xr:uid="{00000000-0006-0000-0300-00001C000000}">
      <text>
        <r>
          <rPr>
            <b/>
            <sz val="8"/>
            <color indexed="81"/>
            <rFont val="Tahoma"/>
            <family val="2"/>
          </rPr>
          <t xml:space="preserve">SCB: 
</t>
        </r>
        <r>
          <rPr>
            <sz val="8"/>
            <color indexed="81"/>
            <rFont val="Tahoma"/>
            <family val="2"/>
          </rPr>
          <t>Raderna 121-123 är därav-rader och kan inte vara större än huvud-raden 120.</t>
        </r>
      </text>
    </comment>
    <comment ref="E52" authorId="0" shapeId="0" xr:uid="{00000000-0006-0000-0300-00001D000000}">
      <text>
        <r>
          <rPr>
            <b/>
            <sz val="8"/>
            <color indexed="81"/>
            <rFont val="Tahoma"/>
            <family val="2"/>
          </rPr>
          <t xml:space="preserve">SCB:
</t>
        </r>
        <r>
          <rPr>
            <sz val="8"/>
            <color indexed="81"/>
            <rFont val="Tahoma"/>
            <family val="2"/>
          </rPr>
          <t xml:space="preserve">Pensionskostnad avgiftsbestämd del ligger utanför intervallet. Kontrollera och kommentera varför den avviker från intervallet.
</t>
        </r>
      </text>
    </comment>
    <comment ref="J54" authorId="0" shapeId="0" xr:uid="{00000000-0006-0000-0300-00001E000000}">
      <text>
        <r>
          <rPr>
            <b/>
            <sz val="8"/>
            <color indexed="81"/>
            <rFont val="Tahoma"/>
            <family val="2"/>
          </rPr>
          <t xml:space="preserve">SCB: 
"Belopp saknas": </t>
        </r>
        <r>
          <rPr>
            <sz val="8"/>
            <color indexed="81"/>
            <rFont val="Tahoma"/>
            <family val="2"/>
          </rPr>
          <t>Vatten och avlopp ska ingå i Bränsle, energi och vatten på rad 300 och särredovisas här på rad 318.</t>
        </r>
        <r>
          <rPr>
            <b/>
            <sz val="8"/>
            <color indexed="81"/>
            <rFont val="Tahoma"/>
            <family val="2"/>
          </rPr>
          <t xml:space="preserve">
"Därav&gt; "</t>
        </r>
        <r>
          <rPr>
            <sz val="8"/>
            <color indexed="81"/>
            <rFont val="Tahoma"/>
            <family val="2"/>
          </rPr>
          <t xml:space="preserve">: Rad 318 är därav-rad och kan inte vara större än huvud-raden 300.
</t>
        </r>
      </text>
    </comment>
    <comment ref="J57" authorId="0" shapeId="0" xr:uid="{00000000-0006-0000-0300-00001F000000}">
      <text>
        <r>
          <rPr>
            <b/>
            <sz val="8"/>
            <color indexed="81"/>
            <rFont val="Tahoma"/>
            <family val="2"/>
          </rPr>
          <t xml:space="preserve">SCB: 
"Högt belopp för förbrukningsinvent.": </t>
        </r>
        <r>
          <rPr>
            <sz val="8"/>
            <color indexed="81"/>
            <rFont val="Tahoma"/>
            <family val="2"/>
          </rPr>
          <t>Beloppet på rad 341 är relativt stort i relation till "Material, övrigt" på rad 340.</t>
        </r>
        <r>
          <rPr>
            <b/>
            <sz val="8"/>
            <color indexed="81"/>
            <rFont val="Tahoma"/>
            <family val="2"/>
          </rPr>
          <t xml:space="preserve"> Rad 341 avser enbart Förbrukningsinventarier</t>
        </r>
        <r>
          <rPr>
            <sz val="8"/>
            <color indexed="81"/>
            <rFont val="Tahoma"/>
            <family val="2"/>
          </rPr>
          <t xml:space="preserve"> enligt KommunBas definitionen för konto 641. Rad 340 däremot innehåller bl.a. Förbrukningsmaterial, konto 646, Arbets-, skyddskläder.. konto 648, IT-material, konto 654, Trycksaker, konto 655.....
 </t>
        </r>
        <r>
          <rPr>
            <b/>
            <sz val="8"/>
            <color indexed="81"/>
            <rFont val="Tahoma"/>
            <family val="2"/>
          </rPr>
          <t xml:space="preserve">
"Belopp saknas": </t>
        </r>
        <r>
          <rPr>
            <sz val="8"/>
            <color indexed="81"/>
            <rFont val="Tahoma"/>
            <family val="2"/>
          </rPr>
          <t>Förbrukningsinventarier ska ingå i Material, övrigt på rad 340 och särredovisas här på rad 341.</t>
        </r>
        <r>
          <rPr>
            <b/>
            <sz val="8"/>
            <color indexed="81"/>
            <rFont val="Tahoma"/>
            <family val="2"/>
          </rPr>
          <t xml:space="preserve">
"Därav&gt; "</t>
        </r>
        <r>
          <rPr>
            <sz val="8"/>
            <color indexed="81"/>
            <rFont val="Tahoma"/>
            <family val="2"/>
          </rPr>
          <t xml:space="preserve">: Rad 341+342 är därav-rader och kan inte vara större än huvud-raden 340.
</t>
        </r>
      </text>
    </comment>
    <comment ref="E72" authorId="1" shapeId="0" xr:uid="{00000000-0006-0000-0300-000021000000}">
      <text>
        <r>
          <rPr>
            <b/>
            <sz val="9"/>
            <color indexed="81"/>
            <rFont val="Tahoma"/>
            <family val="2"/>
          </rPr>
          <t xml:space="preserve">SCB:
</t>
        </r>
        <r>
          <rPr>
            <sz val="8"/>
            <color indexed="81"/>
            <rFont val="Tahoma"/>
            <family val="2"/>
          </rPr>
          <t>Summan av beloppen på rad 897 och 900 borde överensstämma med beloppet i Driften på rad 985, Reaförsluster och div.periodiseringar, kontogrupp 78 (exklusive konto 787)
Beloppet på rad 897 borde även överensstämma med förlusten kol. C+D rad 990
 i Investeringar.</t>
        </r>
        <r>
          <rPr>
            <sz val="9"/>
            <color indexed="81"/>
            <rFont val="Tahoma"/>
            <family val="2"/>
          </rPr>
          <t xml:space="preserve">
</t>
        </r>
      </text>
    </comment>
    <comment ref="E74" authorId="6" shapeId="0" xr:uid="{00000000-0006-0000-0300-000022000000}">
      <text>
        <r>
          <rPr>
            <b/>
            <sz val="8"/>
            <color indexed="81"/>
            <rFont val="Tahoma"/>
            <family val="2"/>
          </rPr>
          <t>SCB:</t>
        </r>
        <r>
          <rPr>
            <sz val="8"/>
            <color indexed="81"/>
            <rFont val="Tahoma"/>
            <family val="2"/>
          </rPr>
          <t xml:space="preserve">
Kommentera vad Övriga periodiseringar består av, ingår det olika poster i beloppet så uppge såväl posternas storlek som vad de avser.
 </t>
        </r>
      </text>
    </comment>
    <comment ref="J75" authorId="0" shapeId="0" xr:uid="{00000000-0006-0000-0300-000023000000}">
      <text>
        <r>
          <rPr>
            <b/>
            <sz val="8"/>
            <color indexed="81"/>
            <rFont val="Tahoma"/>
            <family val="2"/>
          </rPr>
          <t xml:space="preserve">SCB: 
</t>
        </r>
        <r>
          <rPr>
            <sz val="8"/>
            <color indexed="81"/>
            <rFont val="Tahoma"/>
            <family val="2"/>
          </rPr>
          <t>Raderna 469, 472, 474, 476, 477, 478 och 473 är därav-rader och kan inte vara större än huvud-raden 470.</t>
        </r>
      </text>
    </comment>
    <comment ref="I76" authorId="6" shapeId="0" xr:uid="{00000000-0006-0000-0300-000024000000}">
      <text>
        <r>
          <rPr>
            <b/>
            <sz val="8"/>
            <color indexed="81"/>
            <rFont val="Tahoma"/>
            <family val="2"/>
          </rPr>
          <t>SCB:</t>
        </r>
        <r>
          <rPr>
            <sz val="8"/>
            <color indexed="81"/>
            <rFont val="Tahoma"/>
            <family val="2"/>
          </rPr>
          <t xml:space="preserve">
Vad ingår på rad 470 utöver posterna som specificeras på däravraderna 469-478?</t>
        </r>
      </text>
    </comment>
    <comment ref="A77" authorId="4" shapeId="0" xr:uid="{00000000-0006-0000-0300-000025000000}">
      <text>
        <r>
          <rPr>
            <b/>
            <sz val="8"/>
            <color indexed="81"/>
            <rFont val="Tahoma"/>
            <family val="2"/>
          </rPr>
          <t xml:space="preserve">SCB: 
</t>
        </r>
        <r>
          <rPr>
            <sz val="8"/>
            <color indexed="81"/>
            <rFont val="Tahoma"/>
            <family val="2"/>
          </rPr>
          <t xml:space="preserve">Konto 402,403 redovisas här om inköpen inte är klassade som investeringar.
</t>
        </r>
      </text>
    </comment>
    <comment ref="D77" authorId="4" shapeId="0" xr:uid="{00000000-0006-0000-0300-000026000000}">
      <text>
        <r>
          <rPr>
            <b/>
            <sz val="8"/>
            <color indexed="81"/>
            <rFont val="Tahoma"/>
            <family val="2"/>
          </rPr>
          <t xml:space="preserve">SCB: 
</t>
        </r>
        <r>
          <rPr>
            <sz val="8"/>
            <color indexed="81"/>
            <rFont val="Tahoma"/>
            <family val="2"/>
          </rPr>
          <t xml:space="preserve">Summeringen av raderna 600-900 stämmer inte överens med Verksamhetens kostnader i avdelning RR, rad 020.Observera att jämförelsestörande kostnader som länkas från RR till rad 989 i avdelning Drift här ska redovisas på raden som innehåller kontot som den jämförelsestörande posten avser. Detta kan samtidigt leda till att det uppstår differenser i Kontrollbladet vilket är ok men kommentera kontrollerna där.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scbelin</author>
    <author>scbingj</author>
    <author>SCB</author>
    <author>Siegrist Elisabeth DFO/OU-Ö</author>
    <author>Engblom Linnea D/INS/OFS-Ö</author>
    <author>Mundt Henrik D/INS/OFS-Ö</author>
  </authors>
  <commentList>
    <comment ref="K3" authorId="0" shapeId="0" xr:uid="{00000000-0006-0000-0400-000001000000}">
      <text>
        <r>
          <rPr>
            <sz val="8"/>
            <color indexed="81"/>
            <rFont val="Tahoma"/>
            <family val="2"/>
          </rPr>
          <t xml:space="preserve">
</t>
        </r>
      </text>
    </comment>
    <comment ref="D11" authorId="1" shapeId="0" xr:uid="{00000000-0006-0000-0400-000002000000}">
      <text>
        <r>
          <rPr>
            <b/>
            <sz val="8"/>
            <color indexed="81"/>
            <rFont val="Tahoma"/>
            <family val="2"/>
          </rPr>
          <t>SCB:</t>
        </r>
        <r>
          <rPr>
            <sz val="8"/>
            <color indexed="81"/>
            <rFont val="Tahoma"/>
            <family val="2"/>
          </rPr>
          <t xml:space="preserve">
Raden används när kommunens redovisning avviker från den rekommenderade December prognosen, (se RKR 4.2). Kommunerna kan då redovisa ett resultat som överensstämmer med det egna bokslutet.</t>
        </r>
      </text>
    </comment>
    <comment ref="E11" authorId="2" shapeId="0" xr:uid="{00000000-0006-0000-0400-000003000000}">
      <text>
        <r>
          <rPr>
            <b/>
            <sz val="8"/>
            <color indexed="81"/>
            <rFont val="Tahoma"/>
            <family val="2"/>
          </rPr>
          <t>SCB:</t>
        </r>
        <r>
          <rPr>
            <sz val="8"/>
            <color indexed="81"/>
            <rFont val="Tahoma"/>
            <family val="2"/>
          </rPr>
          <t xml:space="preserve">
Kommentera vilken prognos kommunen istället valt.</t>
        </r>
      </text>
    </comment>
    <comment ref="E12" authorId="3" shapeId="0" xr:uid="{00000000-0006-0000-0400-000004000000}">
      <text>
        <r>
          <rPr>
            <b/>
            <sz val="9"/>
            <color indexed="81"/>
            <rFont val="Tahoma"/>
            <family val="2"/>
          </rPr>
          <t xml:space="preserve">SCB:
</t>
        </r>
        <r>
          <rPr>
            <sz val="8"/>
            <color indexed="81"/>
            <rFont val="Tahoma"/>
            <family val="2"/>
          </rPr>
          <t xml:space="preserve">Kommentera vad beloppet avser. 
</t>
        </r>
      </text>
    </comment>
    <comment ref="L17" authorId="1" shapeId="0" xr:uid="{00000000-0006-0000-0400-000005000000}">
      <text>
        <r>
          <rPr>
            <b/>
            <sz val="8"/>
            <color indexed="81"/>
            <rFont val="Tahoma"/>
            <family val="2"/>
          </rPr>
          <t xml:space="preserve">SCB: </t>
        </r>
        <r>
          <rPr>
            <sz val="8"/>
            <color indexed="81"/>
            <rFont val="Tahoma"/>
            <family val="2"/>
          </rPr>
          <t xml:space="preserve">Summeringen av raderna 800-888 överensstämmer inte med Finansiella intäkter i avd. RR, rad 060.
</t>
        </r>
      </text>
    </comment>
    <comment ref="I24" authorId="4" shapeId="0" xr:uid="{5FD742B6-39DC-4F9D-8588-9569F9D5F47F}">
      <text>
        <r>
          <rPr>
            <b/>
            <sz val="9"/>
            <color indexed="81"/>
            <rFont val="Tahoma"/>
            <family val="2"/>
          </rPr>
          <t xml:space="preserve">SCB: </t>
        </r>
        <r>
          <rPr>
            <sz val="9"/>
            <color indexed="81"/>
            <rFont val="Tahoma"/>
            <family val="2"/>
          </rPr>
          <t>Nytt för RS 2023, efterfrågar endast konto 855, tidigare även konto 857.</t>
        </r>
        <r>
          <rPr>
            <sz val="9"/>
            <color indexed="81"/>
            <rFont val="Tahoma"/>
            <family val="2"/>
          </rPr>
          <t xml:space="preserve">
</t>
        </r>
      </text>
    </comment>
    <comment ref="J24" authorId="4" shapeId="0" xr:uid="{F931A4F3-205B-4DB6-A3C8-0A5AC4F58CF5}">
      <text>
        <r>
          <rPr>
            <b/>
            <sz val="9"/>
            <color indexed="81"/>
            <rFont val="Tahoma"/>
            <family val="2"/>
          </rPr>
          <t xml:space="preserve">SCB: </t>
        </r>
        <r>
          <rPr>
            <sz val="9"/>
            <color indexed="81"/>
            <rFont val="Tahoma"/>
            <family val="2"/>
          </rPr>
          <t xml:space="preserve">Ändrad benämning på rad. Ska endast innehålla konto 855. Tidigare ingick även 857. 
</t>
        </r>
      </text>
    </comment>
    <comment ref="B27" authorId="3" shapeId="0" xr:uid="{00000000-0006-0000-0400-000006000000}">
      <text>
        <r>
          <rPr>
            <b/>
            <sz val="9"/>
            <color indexed="81"/>
            <rFont val="Tahoma"/>
            <family val="2"/>
          </rPr>
          <t xml:space="preserve">SCB:
</t>
        </r>
        <r>
          <rPr>
            <b/>
            <sz val="8"/>
            <color indexed="81"/>
            <rFont val="Tahoma"/>
            <family val="2"/>
          </rPr>
          <t>RS2021:</t>
        </r>
        <r>
          <rPr>
            <b/>
            <sz val="9"/>
            <color indexed="81"/>
            <rFont val="Tahoma"/>
            <family val="2"/>
          </rPr>
          <t xml:space="preserve"> </t>
        </r>
        <r>
          <rPr>
            <sz val="8"/>
            <color indexed="81"/>
            <rFont val="Tahoma"/>
            <family val="2"/>
          </rPr>
          <t>Här redovisas skolmiljarden och statsbidraget för att säkerställa en god vård och omsorg av äldre personer.</t>
        </r>
        <r>
          <rPr>
            <b/>
            <sz val="9"/>
            <color indexed="81"/>
            <rFont val="Tahoma"/>
            <family val="2"/>
          </rPr>
          <t xml:space="preserve">
</t>
        </r>
        <r>
          <rPr>
            <sz val="8"/>
            <color indexed="81"/>
            <rFont val="Tahoma"/>
            <family val="2"/>
          </rPr>
          <t>Mellankommunal kostnadsutjämning och skatteväxlingsposter ingår inte här utan på rad 640 under skatteintäkter</t>
        </r>
        <r>
          <rPr>
            <b/>
            <sz val="8"/>
            <color indexed="81"/>
            <rFont val="Tahoma"/>
            <family val="2"/>
          </rPr>
          <t xml:space="preserve">
</t>
        </r>
        <r>
          <rPr>
            <sz val="8"/>
            <color indexed="81"/>
            <rFont val="Tahoma"/>
            <family val="2"/>
          </rPr>
          <t xml:space="preserve">
</t>
        </r>
      </text>
    </comment>
    <comment ref="L31" authorId="1" shapeId="0" xr:uid="{00000000-0006-0000-0400-000007000000}">
      <text>
        <r>
          <rPr>
            <b/>
            <sz val="8"/>
            <color indexed="81"/>
            <rFont val="Tahoma"/>
            <family val="2"/>
          </rPr>
          <t xml:space="preserve">SCB: </t>
        </r>
        <r>
          <rPr>
            <sz val="8"/>
            <color indexed="81"/>
            <rFont val="Tahoma"/>
            <family val="2"/>
          </rPr>
          <t xml:space="preserve">Summeringen av raderna 900-998 överensstämmer inte med Finansiella kostnader i avd. RR, rad 070.
</t>
        </r>
      </text>
    </comment>
    <comment ref="D41" authorId="2" shapeId="0" xr:uid="{00000000-0006-0000-0400-000008000000}">
      <text>
        <r>
          <rPr>
            <b/>
            <sz val="8"/>
            <color indexed="81"/>
            <rFont val="Tahoma"/>
            <family val="2"/>
          </rPr>
          <t>SCB:</t>
        </r>
        <r>
          <rPr>
            <sz val="8"/>
            <color indexed="81"/>
            <rFont val="Tahoma"/>
            <family val="2"/>
          </rPr>
          <t xml:space="preserve">
Beloppet avseende fastighetsavgift förprintas men kan ändras ifall att kommunen i sin egen redovisning har ett annat belopp. Kommentera ifall att en ändring görs.</t>
        </r>
      </text>
    </comment>
    <comment ref="E41" authorId="5" shapeId="0" xr:uid="{F271B79A-AA71-453C-8E46-F1BC1732A364}">
      <text>
        <r>
          <rPr>
            <b/>
            <sz val="9"/>
            <color indexed="81"/>
            <rFont val="Tahoma"/>
            <family val="2"/>
          </rPr>
          <t>SCB:</t>
        </r>
        <r>
          <rPr>
            <sz val="9"/>
            <color indexed="81"/>
            <rFont val="Tahoma"/>
            <family val="2"/>
          </rPr>
          <t xml:space="preserve">
Alla kommuner bör ha ett belopp här.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scbelin</author>
    <author>Siegrist Elisabeth DFO/OU-Ö</author>
    <author>SCB</author>
    <author>Henrik Mundt</author>
    <author>scbingj</author>
    <author>Engblom Linnea D/INS/OFS-Ö</author>
  </authors>
  <commentList>
    <comment ref="H3" authorId="0" shapeId="0" xr:uid="{00000000-0006-0000-0500-000001000000}">
      <text>
        <r>
          <rPr>
            <sz val="8"/>
            <color indexed="81"/>
            <rFont val="Tahoma"/>
            <family val="2"/>
          </rPr>
          <t xml:space="preserve">
</t>
        </r>
      </text>
    </comment>
    <comment ref="B7" authorId="1" shapeId="0" xr:uid="{00000000-0006-0000-0500-000002000000}">
      <text>
        <r>
          <rPr>
            <b/>
            <sz val="9"/>
            <color indexed="81"/>
            <rFont val="Tahoma"/>
            <family val="2"/>
          </rPr>
          <t xml:space="preserve">SCB:
</t>
        </r>
        <r>
          <rPr>
            <sz val="8"/>
            <color indexed="81"/>
            <rFont val="Tahoma"/>
            <family val="2"/>
          </rPr>
          <t>Här ingår bara nyanskaffade anläggningstillgångar!
Eget arbete ingår i nyanskaffning.
Nyupptagna lån för vidareutlånging (internbanken) ska inte redovisas här utan på rad 994, Övriga förändringar
Beloppen ska</t>
        </r>
        <r>
          <rPr>
            <u/>
            <sz val="8"/>
            <color indexed="81"/>
            <rFont val="Tahoma"/>
            <family val="2"/>
          </rPr>
          <t xml:space="preserve"> bruttoredovisas</t>
        </r>
        <r>
          <rPr>
            <sz val="8"/>
            <color indexed="81"/>
            <rFont val="Tahoma"/>
            <family val="2"/>
          </rPr>
          <t>, dvs. inte minskas med eventuella investeringsinkomster.
Nytillkommen finansiell leasing under året redovisas här och fördelas på verksamheterna nedan.</t>
        </r>
      </text>
    </comment>
    <comment ref="I7" authorId="1" shapeId="0" xr:uid="{00000000-0006-0000-0500-000003000000}">
      <text>
        <r>
          <rPr>
            <b/>
            <sz val="9"/>
            <color indexed="81"/>
            <rFont val="Tahoma"/>
            <family val="2"/>
          </rPr>
          <t xml:space="preserve">SCB: </t>
        </r>
        <r>
          <rPr>
            <sz val="8"/>
            <color indexed="81"/>
            <rFont val="Tahoma"/>
            <family val="2"/>
          </rPr>
          <t>Summan av beloppen avseende inköp/nyanskaffning inkl.pågående arbeten på rad 987 är ska vara lika stor som investeringsutgifterna totalt, rad 950, kol C. Tänk på att även redovisa nytillkommen finansiell leasing.
Rätta till differensen.</t>
        </r>
        <r>
          <rPr>
            <sz val="9"/>
            <color indexed="81"/>
            <rFont val="Tahoma"/>
            <family val="2"/>
          </rPr>
          <t xml:space="preserve">
</t>
        </r>
        <r>
          <rPr>
            <sz val="8"/>
            <color indexed="81"/>
            <rFont val="Tahoma"/>
            <family val="2"/>
          </rPr>
          <t xml:space="preserve">
</t>
        </r>
        <r>
          <rPr>
            <b/>
            <sz val="8"/>
            <color indexed="81"/>
            <rFont val="Tahoma"/>
            <family val="2"/>
          </rPr>
          <t xml:space="preserve">OBS! </t>
        </r>
        <r>
          <rPr>
            <sz val="8"/>
            <color indexed="81"/>
            <rFont val="Tahoma"/>
            <family val="2"/>
          </rPr>
          <t xml:space="preserve">Om kommunen redovisar investeringar i </t>
        </r>
        <r>
          <rPr>
            <b/>
            <sz val="8"/>
            <color indexed="81"/>
            <rFont val="Tahoma"/>
            <family val="2"/>
          </rPr>
          <t xml:space="preserve">immateriella anläggningstillgångar </t>
        </r>
        <r>
          <rPr>
            <sz val="8"/>
            <color indexed="81"/>
            <rFont val="Tahoma"/>
            <family val="2"/>
          </rPr>
          <t>nedan så uppkommer en differens här. Kommentera och ange beloppet för denna investering.</t>
        </r>
        <r>
          <rPr>
            <sz val="9"/>
            <color indexed="81"/>
            <rFont val="Tahoma"/>
            <family val="2"/>
          </rPr>
          <t xml:space="preserve">
</t>
        </r>
      </text>
    </comment>
    <comment ref="B8" authorId="2" shapeId="0" xr:uid="{00000000-0006-0000-0500-000004000000}">
      <text>
        <r>
          <rPr>
            <b/>
            <sz val="8"/>
            <color indexed="81"/>
            <rFont val="Tahoma"/>
            <family val="2"/>
          </rPr>
          <t>SCB:</t>
        </r>
        <r>
          <rPr>
            <sz val="8"/>
            <color indexed="81"/>
            <rFont val="Tahoma"/>
            <family val="2"/>
          </rPr>
          <t xml:space="preserve">
Beloppet för försäljningspriset anges med minustecken.
 </t>
        </r>
      </text>
    </comment>
    <comment ref="B9" authorId="1" shapeId="0" xr:uid="{00000000-0006-0000-0500-000005000000}">
      <text>
        <r>
          <rPr>
            <b/>
            <sz val="9"/>
            <color indexed="81"/>
            <rFont val="Tahoma"/>
            <family val="2"/>
          </rPr>
          <t xml:space="preserve">SCB:
</t>
        </r>
        <r>
          <rPr>
            <sz val="8"/>
            <color indexed="81"/>
            <rFont val="Tahoma"/>
            <family val="2"/>
          </rPr>
          <t xml:space="preserve">Reavinster och reaförluster ska bruttoredovisas och får inte kvittas mot varandra. </t>
        </r>
        <r>
          <rPr>
            <sz val="9"/>
            <color indexed="81"/>
            <rFont val="Tahoma"/>
            <family val="2"/>
          </rPr>
          <t xml:space="preserve">
</t>
        </r>
      </text>
    </comment>
    <comment ref="I9" authorId="1" shapeId="0" xr:uid="{00000000-0006-0000-0500-000006000000}">
      <text>
        <r>
          <rPr>
            <b/>
            <sz val="9"/>
            <color indexed="81"/>
            <rFont val="Tahoma"/>
            <family val="2"/>
          </rPr>
          <t xml:space="preserve">SCB:
</t>
        </r>
        <r>
          <rPr>
            <sz val="8"/>
            <color indexed="81"/>
            <rFont val="Tahoma"/>
            <family val="2"/>
          </rPr>
          <t xml:space="preserve">Gäller kommunen:
Reavinsten vid försäljning av materiella anläggningstillgångar ska stämma överens med beloppet i Verksamhetens intäkter och kostnader, rad 892. 
</t>
        </r>
        <r>
          <rPr>
            <b/>
            <sz val="8"/>
            <color indexed="81"/>
            <rFont val="Tahoma"/>
            <family val="2"/>
          </rPr>
          <t>Reavinster och reaförluster ska bruttoredovisas i RS.</t>
        </r>
        <r>
          <rPr>
            <sz val="9"/>
            <color indexed="81"/>
            <rFont val="Tahoma"/>
            <family val="2"/>
          </rPr>
          <t xml:space="preserve">
</t>
        </r>
      </text>
    </comment>
    <comment ref="B10" authorId="2" shapeId="0" xr:uid="{00000000-0006-0000-0500-000007000000}">
      <text>
        <r>
          <rPr>
            <b/>
            <sz val="8"/>
            <color indexed="81"/>
            <rFont val="Tahoma"/>
            <family val="2"/>
          </rPr>
          <t>SCB:</t>
        </r>
        <r>
          <rPr>
            <sz val="8"/>
            <color indexed="81"/>
            <rFont val="Tahoma"/>
            <family val="2"/>
          </rPr>
          <t xml:space="preserve">
Beloppet för reaförlust anges med minustecken. 
Reavinster och reaförluster ska bruttoredovisas och får inte kvittas mot varandra.</t>
        </r>
      </text>
    </comment>
    <comment ref="I10" authorId="1" shapeId="0" xr:uid="{00000000-0006-0000-0500-000008000000}">
      <text>
        <r>
          <rPr>
            <b/>
            <sz val="9"/>
            <color indexed="81"/>
            <rFont val="Tahoma"/>
            <family val="2"/>
          </rPr>
          <t xml:space="preserve">SCB:
</t>
        </r>
        <r>
          <rPr>
            <sz val="8"/>
            <color indexed="81"/>
            <rFont val="Tahoma"/>
            <family val="2"/>
          </rPr>
          <t>Gäller kommunen:</t>
        </r>
        <r>
          <rPr>
            <b/>
            <sz val="9"/>
            <color indexed="81"/>
            <rFont val="Tahoma"/>
            <family val="2"/>
          </rPr>
          <t xml:space="preserve">
</t>
        </r>
        <r>
          <rPr>
            <sz val="8"/>
            <color indexed="81"/>
            <rFont val="Tahoma"/>
            <family val="2"/>
          </rPr>
          <t xml:space="preserve">Reaförlust vid försäljning av materiella anläggningstillgångar ska stämma överens med beloppet i Verksamhetens intäkter och kostnader, rad 897.
</t>
        </r>
        <r>
          <rPr>
            <b/>
            <sz val="8"/>
            <color indexed="81"/>
            <rFont val="Tahoma"/>
            <family val="2"/>
          </rPr>
          <t>Reavinster och reaförluster ska bruttoredovisas i RS.</t>
        </r>
        <r>
          <rPr>
            <sz val="9"/>
            <color indexed="81"/>
            <rFont val="Tahoma"/>
            <family val="2"/>
          </rPr>
          <t xml:space="preserve">
</t>
        </r>
      </text>
    </comment>
    <comment ref="B11" authorId="2" shapeId="0" xr:uid="{00000000-0006-0000-0500-000009000000}">
      <text>
        <r>
          <rPr>
            <b/>
            <sz val="8"/>
            <color indexed="81"/>
            <rFont val="Tahoma"/>
            <family val="2"/>
          </rPr>
          <t>SCB:</t>
        </r>
        <r>
          <rPr>
            <sz val="8"/>
            <color indexed="81"/>
            <rFont val="Tahoma"/>
            <family val="2"/>
          </rPr>
          <t xml:space="preserve">
Beloppet för avskrivningar anges med minustecken. </t>
        </r>
      </text>
    </comment>
    <comment ref="E11" authorId="3" shapeId="0" xr:uid="{00000000-0006-0000-0500-00000A000000}">
      <text>
        <r>
          <rPr>
            <b/>
            <sz val="9"/>
            <color indexed="81"/>
            <rFont val="Tahoma"/>
            <family val="2"/>
          </rPr>
          <t>SCB:</t>
        </r>
        <r>
          <rPr>
            <sz val="9"/>
            <color indexed="81"/>
            <rFont val="Tahoma"/>
            <family val="2"/>
          </rPr>
          <t xml:space="preserve">
Avskrivningar av finansiella anläggningstillgångar borde inte förekomma.</t>
        </r>
      </text>
    </comment>
    <comment ref="I13" authorId="1" shapeId="0" xr:uid="{00000000-0006-0000-0500-00000B000000}">
      <text>
        <r>
          <rPr>
            <b/>
            <sz val="9"/>
            <color indexed="81"/>
            <rFont val="Tahoma"/>
            <family val="2"/>
          </rPr>
          <t xml:space="preserve">SCB: 
</t>
        </r>
        <r>
          <rPr>
            <sz val="8"/>
            <color indexed="81"/>
            <rFont val="Tahoma"/>
            <family val="2"/>
          </rPr>
          <t xml:space="preserve">SCB behöver information om vad omklassificeringarna på rad 993 avser. Kommentera beloppen.
</t>
        </r>
      </text>
    </comment>
    <comment ref="E14" authorId="1" shapeId="0" xr:uid="{00000000-0006-0000-0500-00000C000000}">
      <text>
        <r>
          <rPr>
            <b/>
            <sz val="9"/>
            <color indexed="81"/>
            <rFont val="Tahoma"/>
            <family val="2"/>
          </rPr>
          <t xml:space="preserve">SCB: 
</t>
        </r>
        <r>
          <rPr>
            <sz val="8"/>
            <color indexed="81"/>
            <rFont val="Tahoma"/>
            <family val="2"/>
          </rPr>
          <t>Här redovisas t.ex. erhållna amorteringar och ökning av långfristiga fordringar som beror på att kommunens internbank lånar upp pengar som vidareutlånas till ett kommunägt bolag. 
Beloppet ska kommenteras detaljerat.</t>
        </r>
        <r>
          <rPr>
            <sz val="9"/>
            <color indexed="81"/>
            <rFont val="Tahoma"/>
            <family val="2"/>
          </rPr>
          <t xml:space="preserve">
</t>
        </r>
      </text>
    </comment>
    <comment ref="I14" authorId="1" shapeId="0" xr:uid="{00000000-0006-0000-0500-00000D000000}">
      <text>
        <r>
          <rPr>
            <b/>
            <sz val="9"/>
            <color indexed="81"/>
            <rFont val="Tahoma"/>
            <family val="2"/>
          </rPr>
          <t xml:space="preserve">SCB: 
</t>
        </r>
        <r>
          <rPr>
            <sz val="8"/>
            <color indexed="81"/>
            <rFont val="Tahoma"/>
            <family val="2"/>
          </rPr>
          <t xml:space="preserve">SCB behöver information om vad som ingår på rad 994. Kommentera beloppen.
</t>
        </r>
      </text>
    </comment>
    <comment ref="C16" authorId="4" shapeId="0" xr:uid="{00000000-0006-0000-0500-00000E000000}">
      <text>
        <r>
          <rPr>
            <b/>
            <sz val="8"/>
            <color indexed="81"/>
            <rFont val="Tahoma"/>
            <family val="2"/>
          </rPr>
          <t xml:space="preserve">SCB: </t>
        </r>
        <r>
          <rPr>
            <sz val="8"/>
            <color indexed="81"/>
            <rFont val="Tahoma"/>
            <family val="2"/>
          </rPr>
          <t xml:space="preserve">Summeringen av raderna 986-994 överensstämmer inte med Mark, byggn.och tekn.anläggningar i avd. BR rad 021.
</t>
        </r>
      </text>
    </comment>
    <comment ref="D16" authorId="4" shapeId="0" xr:uid="{00000000-0006-0000-0500-00000F000000}">
      <text>
        <r>
          <rPr>
            <b/>
            <sz val="8"/>
            <color indexed="81"/>
            <rFont val="Tahoma"/>
            <family val="2"/>
          </rPr>
          <t xml:space="preserve">SCB:
</t>
        </r>
        <r>
          <rPr>
            <sz val="8"/>
            <color indexed="81"/>
            <rFont val="Tahoma"/>
            <family val="2"/>
          </rPr>
          <t xml:space="preserve">Summeringen av raderna 986-994 överensstämmer inte med Maskiner och inventarier i avd. BR, rad 023.
</t>
        </r>
      </text>
    </comment>
    <comment ref="E16" authorId="4" shapeId="0" xr:uid="{00000000-0006-0000-0500-000010000000}">
      <text>
        <r>
          <rPr>
            <b/>
            <sz val="8"/>
            <color indexed="81"/>
            <rFont val="Tahoma"/>
            <family val="2"/>
          </rPr>
          <t xml:space="preserve">SCB: 
</t>
        </r>
        <r>
          <rPr>
            <sz val="8"/>
            <color indexed="81"/>
            <rFont val="Tahoma"/>
            <family val="2"/>
          </rPr>
          <t xml:space="preserve">Summeringen av raderna 986-994 överensstämmer inte med Finansiella anläggningstillg.i avd. BR, rad 035.
</t>
        </r>
      </text>
    </comment>
    <comment ref="F16" authorId="4" shapeId="0" xr:uid="{00000000-0006-0000-0500-000011000000}">
      <text>
        <r>
          <rPr>
            <b/>
            <sz val="8"/>
            <color indexed="81"/>
            <rFont val="Tahoma"/>
            <family val="2"/>
          </rPr>
          <t xml:space="preserve">SCB:
</t>
        </r>
        <r>
          <rPr>
            <sz val="8"/>
            <color indexed="81"/>
            <rFont val="Tahoma"/>
            <family val="2"/>
          </rPr>
          <t xml:space="preserve">Summeringen av raderna 986-994 överensstämmer inte med Aktier, andelar och bostadsrätter i avd.BR, rad 036.
</t>
        </r>
      </text>
    </comment>
    <comment ref="G16" authorId="4" shapeId="0" xr:uid="{00000000-0006-0000-0500-000012000000}">
      <text>
        <r>
          <rPr>
            <b/>
            <sz val="8"/>
            <color indexed="81"/>
            <rFont val="Tahoma"/>
            <family val="2"/>
          </rPr>
          <t xml:space="preserve">SCB: </t>
        </r>
        <r>
          <rPr>
            <sz val="8"/>
            <color indexed="81"/>
            <rFont val="Tahoma"/>
            <family val="2"/>
          </rPr>
          <t xml:space="preserve">Summeringen av raderna 986-994 överensstämmer inte med Materiella anläggningstillgångar i avd. BR rad 025.
</t>
        </r>
      </text>
    </comment>
    <comment ref="H16" authorId="4" shapeId="0" xr:uid="{00000000-0006-0000-0500-000013000000}">
      <text>
        <r>
          <rPr>
            <b/>
            <sz val="8"/>
            <color indexed="81"/>
            <rFont val="Tahoma"/>
            <family val="2"/>
          </rPr>
          <t xml:space="preserve">SCB: 
</t>
        </r>
        <r>
          <rPr>
            <sz val="8"/>
            <color indexed="81"/>
            <rFont val="Tahoma"/>
            <family val="2"/>
          </rPr>
          <t xml:space="preserve">Summeringen av raderna 986-994 äverensstämmer inte med Finansiella anläggningstillg.i avd. BR, rad 035.
</t>
        </r>
      </text>
    </comment>
    <comment ref="D21" authorId="1" shapeId="0" xr:uid="{00000000-0006-0000-0500-000014000000}">
      <text>
        <r>
          <rPr>
            <b/>
            <sz val="9"/>
            <color indexed="81"/>
            <rFont val="Tahoma"/>
            <family val="2"/>
          </rPr>
          <t>SCB:</t>
        </r>
        <r>
          <rPr>
            <b/>
            <sz val="8"/>
            <color indexed="81"/>
            <rFont val="Tahoma"/>
            <family val="2"/>
          </rPr>
          <t xml:space="preserve"> Samtliga externa entreprenader och konsulter</t>
        </r>
        <r>
          <rPr>
            <sz val="8"/>
            <color indexed="81"/>
            <rFont val="Tahoma"/>
            <family val="2"/>
          </rPr>
          <t xml:space="preserve"> (dvs. externa utförare av investeringsverksamheten, även om de utför hela investeringsarbetet) som ingår i investeringsutgifterna ska redovisas i denna kolumn.</t>
        </r>
        <r>
          <rPr>
            <sz val="9"/>
            <color indexed="81"/>
            <rFont val="Tahoma"/>
            <family val="2"/>
          </rPr>
          <t xml:space="preserve">
</t>
        </r>
      </text>
    </comment>
    <comment ref="G25" authorId="0" shapeId="0" xr:uid="{00000000-0006-0000-0500-000015000000}">
      <text>
        <r>
          <rPr>
            <b/>
            <sz val="8"/>
            <color indexed="81"/>
            <rFont val="Tahoma"/>
            <family val="2"/>
          </rPr>
          <t xml:space="preserve">SCB: 
</t>
        </r>
        <r>
          <rPr>
            <sz val="8"/>
            <color indexed="81"/>
            <rFont val="Tahoma"/>
            <family val="2"/>
          </rPr>
          <t xml:space="preserve">Summan av beloppen i därav-kolumnerna D,E och F ska inte vara större än beloppet i total-kolumnen C.
</t>
        </r>
      </text>
    </comment>
    <comment ref="B37" authorId="5" shapeId="0" xr:uid="{820EF438-94EA-4E33-9398-368E9670BD49}">
      <text>
        <r>
          <rPr>
            <b/>
            <sz val="9"/>
            <color indexed="81"/>
            <rFont val="Tahoma"/>
            <family val="2"/>
          </rPr>
          <t>SCB:</t>
        </r>
        <r>
          <rPr>
            <sz val="9"/>
            <color indexed="81"/>
            <rFont val="Tahoma"/>
            <family val="2"/>
          </rPr>
          <t xml:space="preserve"> Skolformen grundsärskola har bytt namn till anpassad grundskola.</t>
        </r>
        <r>
          <rPr>
            <sz val="9"/>
            <color indexed="81"/>
            <rFont val="Tahoma"/>
            <family val="2"/>
          </rPr>
          <t xml:space="preserve">
</t>
        </r>
      </text>
    </comment>
    <comment ref="B38" authorId="5" shapeId="0" xr:uid="{EA8F70FF-0D7C-40B8-B6D6-5E1C530444B6}">
      <text>
        <r>
          <rPr>
            <b/>
            <sz val="9"/>
            <color indexed="81"/>
            <rFont val="Tahoma"/>
            <family val="2"/>
          </rPr>
          <t>SCB:</t>
        </r>
        <r>
          <rPr>
            <sz val="9"/>
            <color indexed="81"/>
            <rFont val="Tahoma"/>
            <family val="2"/>
          </rPr>
          <t xml:space="preserve"> Skolformen gymnasiesärskola har bytt namn till anpassad gymnasieskola.</t>
        </r>
        <r>
          <rPr>
            <b/>
            <sz val="9"/>
            <color indexed="81"/>
            <rFont val="Tahoma"/>
            <family val="2"/>
          </rPr>
          <t xml:space="preserve"> </t>
        </r>
        <r>
          <rPr>
            <sz val="9"/>
            <color indexed="81"/>
            <rFont val="Tahoma"/>
            <family val="2"/>
          </rPr>
          <t xml:space="preserve">
</t>
        </r>
      </text>
    </comment>
    <comment ref="B65" authorId="1" shapeId="0" xr:uid="{00000000-0006-0000-0500-000016000000}">
      <text>
        <r>
          <rPr>
            <b/>
            <sz val="9"/>
            <color indexed="81"/>
            <rFont val="Tahoma"/>
            <family val="2"/>
          </rPr>
          <t xml:space="preserve">SCB:
</t>
        </r>
        <r>
          <rPr>
            <sz val="8"/>
            <color indexed="81"/>
            <rFont val="Tahoma"/>
            <family val="2"/>
          </rPr>
          <t>Syftet med investeringsredovisningen är att se inom vilka verksamheter investeringar görs.
Därför ska t.ex.</t>
        </r>
        <r>
          <rPr>
            <b/>
            <sz val="9"/>
            <color indexed="81"/>
            <rFont val="Tahoma"/>
            <family val="2"/>
          </rPr>
          <t xml:space="preserve"> </t>
        </r>
        <r>
          <rPr>
            <sz val="8"/>
            <color indexed="81"/>
            <rFont val="Tahoma"/>
            <family val="2"/>
          </rPr>
          <t>investeringar i en ny grundskola ingå på rad 439 även om det är fastighetsförvaltningen eller liknande som tar hand om  skolan. 
Därför finns det, i motsats till driftredovisningen,  i investeringsredovisningen inte någon rad 910, gemensamma lokaler.</t>
        </r>
      </text>
    </comment>
    <comment ref="G66" authorId="0" shapeId="0" xr:uid="{00000000-0006-0000-0500-000017000000}">
      <text>
        <r>
          <rPr>
            <b/>
            <sz val="8"/>
            <color indexed="81"/>
            <rFont val="Tahoma"/>
            <family val="2"/>
          </rPr>
          <t xml:space="preserve">SCB: 
</t>
        </r>
        <r>
          <rPr>
            <sz val="8"/>
            <color indexed="81"/>
            <rFont val="Tahoma"/>
            <family val="2"/>
          </rPr>
          <t>Summan av därav-kolumnerna D-F är låg i förhållande till huvud-kolumnen för investeringsutgifter, kol.C. Det innebär att  egeninvesteringar är relativt stora</t>
        </r>
        <r>
          <rPr>
            <b/>
            <sz val="8"/>
            <color indexed="81"/>
            <rFont val="Tahoma"/>
            <family val="2"/>
          </rPr>
          <t>. 
OBS!  Alla externa entreprenader och konsulter ska ingå i kol D, även om kommunen använder andra kontonummer!
Kommentera vad som ingår i Investeringsutgifter</t>
        </r>
        <r>
          <rPr>
            <sz val="8"/>
            <color indexed="81"/>
            <rFont val="Tahoma"/>
            <family val="2"/>
          </rPr>
          <t xml:space="preserve"> utöver Entreprenader och konsulter, Inköp av maskiner och inventarier och Inköp av mark, byggnader, tekniska anläggningar. 
OBS! I RS finns i investeringsfliken inget "köp av huvudverksamhet" utan det rör sig då om entreprenader/konsulter och detta ingår i kolumn D och ska fördelas på verksamheterna.
</t>
        </r>
      </text>
    </comment>
    <comment ref="B74" authorId="1" shapeId="0" xr:uid="{00000000-0006-0000-0500-000018000000}">
      <text>
        <r>
          <rPr>
            <b/>
            <sz val="9"/>
            <color indexed="81"/>
            <rFont val="Tahoma"/>
            <family val="2"/>
          </rPr>
          <t>SCB:</t>
        </r>
        <r>
          <rPr>
            <sz val="9"/>
            <color indexed="81"/>
            <rFont val="Tahoma"/>
            <family val="2"/>
          </rPr>
          <t xml:space="preserve">
</t>
        </r>
        <r>
          <rPr>
            <sz val="8"/>
            <color indexed="81"/>
            <rFont val="Tahoma"/>
            <family val="2"/>
          </rPr>
          <t>Rad 701 ska innehålla konto 4031.</t>
        </r>
      </text>
    </comment>
    <comment ref="B75" authorId="1" shapeId="0" xr:uid="{00000000-0006-0000-0500-000019000000}">
      <text>
        <r>
          <rPr>
            <b/>
            <sz val="9"/>
            <color indexed="81"/>
            <rFont val="Tahoma"/>
            <family val="2"/>
          </rPr>
          <t>SCB:</t>
        </r>
        <r>
          <rPr>
            <sz val="9"/>
            <color indexed="81"/>
            <rFont val="Tahoma"/>
            <family val="2"/>
          </rPr>
          <t xml:space="preserve">
Här redovisas försäljningspriset av mark oavsett om det är en anläggningstillgång eller omsättningstillgång. Rad 705 ska innehålla konto 372, 379,  del av konto 3821 och 7821.</t>
        </r>
      </text>
    </comment>
    <comment ref="B77" authorId="3" shapeId="0" xr:uid="{00000000-0006-0000-0500-00001A000000}">
      <text>
        <r>
          <rPr>
            <b/>
            <sz val="9"/>
            <color indexed="81"/>
            <rFont val="Tahoma"/>
            <family val="2"/>
          </rPr>
          <t xml:space="preserve">SCB:
</t>
        </r>
        <r>
          <rPr>
            <sz val="9"/>
            <color indexed="81"/>
            <rFont val="Tahoma"/>
            <family val="2"/>
          </rPr>
          <t xml:space="preserve">Exempelvis:
-investeringsbidrag (2388)
-gatukostnadsersättning (3121)
-anslutningsavgift (2383)
-exploateringsersättning (373)
-bidrag/gåvor från privata aktörer (352)
</t>
        </r>
      </text>
    </comment>
    <comment ref="B82" authorId="5" shapeId="0" xr:uid="{2C8920BD-8D32-46AF-8A5D-D2A227EA8FE6}">
      <text>
        <r>
          <rPr>
            <b/>
            <sz val="9"/>
            <color indexed="81"/>
            <rFont val="Tahoma"/>
            <family val="2"/>
          </rPr>
          <t>SCB:</t>
        </r>
        <r>
          <rPr>
            <sz val="9"/>
            <color indexed="81"/>
            <rFont val="Tahoma"/>
            <family val="2"/>
          </rPr>
          <t xml:space="preserve">
</t>
        </r>
        <r>
          <rPr>
            <sz val="8"/>
            <color indexed="81"/>
            <rFont val="Tahoma"/>
            <family val="2"/>
          </rPr>
          <t xml:space="preserve">Innehåller rad 730 annat än gatukostnadsersättningar och anslutningsavgifter från hushållen? Om ja, lämna en kommentar om vad raden innehåller. </t>
        </r>
        <r>
          <rPr>
            <b/>
            <sz val="8"/>
            <color indexed="81"/>
            <rFont val="Tahoma"/>
            <family val="2"/>
          </rPr>
          <t xml:space="preserve">  </t>
        </r>
      </text>
    </comment>
    <comment ref="B94" authorId="3" shapeId="0" xr:uid="{00000000-0006-0000-0500-00001C000000}">
      <text>
        <r>
          <rPr>
            <b/>
            <sz val="9"/>
            <color indexed="81"/>
            <rFont val="Tahoma"/>
            <family val="2"/>
          </rPr>
          <t>SCB:</t>
        </r>
        <r>
          <rPr>
            <sz val="9"/>
            <color indexed="81"/>
            <rFont val="Tahoma"/>
            <family val="2"/>
          </rPr>
          <t xml:space="preserve">
SNI-kod 68-82</t>
        </r>
      </text>
    </comment>
    <comment ref="B95" authorId="3" shapeId="0" xr:uid="{00000000-0006-0000-0500-00001D000000}">
      <text>
        <r>
          <rPr>
            <b/>
            <sz val="9"/>
            <color indexed="81"/>
            <rFont val="Tahoma"/>
            <family val="2"/>
          </rPr>
          <t>SCB:</t>
        </r>
        <r>
          <rPr>
            <sz val="9"/>
            <color indexed="81"/>
            <rFont val="Tahoma"/>
            <family val="2"/>
          </rPr>
          <t xml:space="preserve">
SNI-kod 35-39</t>
        </r>
      </text>
    </comment>
    <comment ref="B96" authorId="3" shapeId="0" xr:uid="{00000000-0006-0000-0500-00001E000000}">
      <text>
        <r>
          <rPr>
            <b/>
            <sz val="9"/>
            <color indexed="81"/>
            <rFont val="Tahoma"/>
            <family val="2"/>
          </rPr>
          <t>SCB:</t>
        </r>
        <r>
          <rPr>
            <sz val="9"/>
            <color indexed="81"/>
            <rFont val="Tahoma"/>
            <family val="2"/>
          </rPr>
          <t xml:space="preserve">
SNI-kod 49-53, 58-63
</t>
        </r>
      </text>
    </comment>
    <comment ref="E98" authorId="1" shapeId="0" xr:uid="{00000000-0006-0000-0500-00001F000000}">
      <text>
        <r>
          <rPr>
            <b/>
            <sz val="9"/>
            <color indexed="81"/>
            <rFont val="Tahoma"/>
            <family val="2"/>
          </rPr>
          <t>SCB:</t>
        </r>
        <r>
          <rPr>
            <sz val="9"/>
            <color indexed="81"/>
            <rFont val="Tahoma"/>
            <family val="2"/>
          </rPr>
          <t xml:space="preserve">
Beloppet på rad 755 kol C är stort i relation till anläggningstillgångarna i balansräkningen. Kontrollera att uppgifterna stämmer och är i 1000-tal kronor. Kommentera orsaken till de stora beloppen ifall de stämmer.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scbelin</author>
    <author>scbingj</author>
    <author>Siegrist Elisabeth DFO/OU-Ö</author>
    <author>Henrik Mundt</author>
    <author>Engblom Linnea D/INS/OFS-Ö</author>
    <author>SCB</author>
  </authors>
  <commentList>
    <comment ref="G3" authorId="0" shapeId="0" xr:uid="{00000000-0006-0000-0600-000001000000}">
      <text>
        <r>
          <rPr>
            <b/>
            <sz val="8"/>
            <color indexed="81"/>
            <rFont val="Tahoma"/>
            <family val="2"/>
          </rPr>
          <t xml:space="preserve">SCB: </t>
        </r>
        <r>
          <rPr>
            <sz val="8"/>
            <color indexed="81"/>
            <rFont val="Tahoma"/>
            <family val="2"/>
          </rPr>
          <t xml:space="preserve">
Förklaringen finns i kommentaren i kolumnhuvudet när det gäller kolumn C. I annat fall finns det en förklaring till kontrollen i kolumn AD.</t>
        </r>
      </text>
    </comment>
    <comment ref="M3" authorId="0" shapeId="0" xr:uid="{00000000-0006-0000-0600-000002000000}">
      <text>
        <r>
          <rPr>
            <sz val="8"/>
            <color indexed="81"/>
            <rFont val="Tahoma"/>
            <family val="2"/>
          </rPr>
          <t xml:space="preserve">
</t>
        </r>
      </text>
    </comment>
    <comment ref="D5" authorId="0" shapeId="0" xr:uid="{00000000-0006-0000-0600-000003000000}">
      <text>
        <r>
          <rPr>
            <b/>
            <sz val="8"/>
            <color indexed="81"/>
            <rFont val="Tahoma"/>
            <family val="2"/>
          </rPr>
          <t xml:space="preserve">SCB: </t>
        </r>
        <r>
          <rPr>
            <sz val="8"/>
            <color indexed="81"/>
            <rFont val="Tahoma"/>
            <family val="2"/>
          </rPr>
          <t xml:space="preserve">
Här ingår:
• Lagstadgade arbetsgivaravgifter
• Avtalsförsäkringar
• Avtalspensioner
Observera:
 • Pensionsutbetalningar ingår inte
 • Beloppen i denna kolumn ska justeras för den del av konto 591, Aktivering av eget arbete vid utveckling av anläggningstillgångar som avser sociala avgifter och pensionskostnader för personalen som jobbar med detta. Justeringen ska göras på samma rad som justeringen av lönekostnaden görs.
</t>
        </r>
      </text>
    </comment>
    <comment ref="E5" authorId="1" shapeId="0" xr:uid="{00000000-0006-0000-0600-000004000000}">
      <text>
        <r>
          <rPr>
            <b/>
            <sz val="8"/>
            <color indexed="81"/>
            <rFont val="Tahoma"/>
            <family val="2"/>
          </rPr>
          <t xml:space="preserve">SCB: </t>
        </r>
        <r>
          <rPr>
            <sz val="8"/>
            <color indexed="81"/>
            <rFont val="Tahoma"/>
            <family val="2"/>
          </rPr>
          <t>Konto 402,403 redovisas endast i driftredovisningen om inköpen inte är klassade som investeringar.</t>
        </r>
      </text>
    </comment>
    <comment ref="J5" authorId="0" shapeId="0" xr:uid="{00000000-0006-0000-0600-000005000000}">
      <text>
        <r>
          <rPr>
            <b/>
            <sz val="8"/>
            <color indexed="81"/>
            <rFont val="Tahoma"/>
            <family val="2"/>
          </rPr>
          <t>SCB:</t>
        </r>
        <r>
          <rPr>
            <sz val="8"/>
            <color indexed="81"/>
            <rFont val="Tahoma"/>
            <family val="2"/>
          </rPr>
          <t xml:space="preserve">
Här redovisas de av kommunen interndebiterade kapitalkostnader. Avskrivningar och räntekostnader som avser finansiell leasing redovisas här om de inte redovisas som internfördelade lokalkostnader.</t>
        </r>
      </text>
    </comment>
    <comment ref="N5" authorId="2" shapeId="0" xr:uid="{00000000-0006-0000-0600-000006000000}">
      <text>
        <r>
          <rPr>
            <b/>
            <sz val="9"/>
            <color indexed="81"/>
            <rFont val="Tahoma"/>
            <family val="2"/>
          </rPr>
          <t xml:space="preserve">SCB:
</t>
        </r>
        <r>
          <rPr>
            <sz val="9"/>
            <color indexed="81"/>
            <rFont val="Tahoma"/>
            <family val="2"/>
          </rPr>
          <t xml:space="preserve">Det är bara gemensam verksamhet på rad 920 som fördelas i dessa två kolumner.
</t>
        </r>
      </text>
    </comment>
    <comment ref="C6" authorId="2" shapeId="0" xr:uid="{00000000-0006-0000-0600-000007000000}">
      <text>
        <r>
          <rPr>
            <b/>
            <sz val="9"/>
            <color indexed="81"/>
            <rFont val="Tahoma"/>
            <family val="2"/>
          </rPr>
          <t>SCB:</t>
        </r>
        <r>
          <rPr>
            <sz val="9"/>
            <color indexed="81"/>
            <rFont val="Tahoma"/>
            <family val="2"/>
          </rPr>
          <t xml:space="preserve">
När det gäller "del av 591" så avses den delen av aktivering av eget arbete vid utveckling av anläggningstillgångar som är löner för personalen som jobbar med investeringar. De delarna av kontot som avser sociala avgifter och pensionskostnader för denna personal ska även ingå i kolumn D Kalkylerade PO och på rad 975 och 980 i slutet av driftredovisningen.
Uppdelningen kan vid behov göras med hjälp av schabloner. </t>
        </r>
      </text>
    </comment>
    <comment ref="J6" authorId="3" shapeId="0" xr:uid="{00000000-0006-0000-0600-000009000000}">
      <text>
        <r>
          <rPr>
            <b/>
            <sz val="9"/>
            <color indexed="81"/>
            <rFont val="Tahoma"/>
            <family val="2"/>
          </rPr>
          <t>SCB:</t>
        </r>
        <r>
          <rPr>
            <sz val="9"/>
            <color indexed="81"/>
            <rFont val="Tahoma"/>
            <family val="2"/>
          </rPr>
          <t xml:space="preserve">
Här ingår avskrivningar och interna räntekostnader. Observera att kommuner kan använda andra kontonummer för sina interna räntekostnader.
</t>
        </r>
      </text>
    </comment>
    <comment ref="L6" authorId="3" shapeId="0" xr:uid="{00000000-0006-0000-0600-00000A000000}">
      <text>
        <r>
          <rPr>
            <b/>
            <sz val="9"/>
            <color indexed="81"/>
            <rFont val="Tahoma"/>
            <family val="2"/>
          </rPr>
          <t>SCB:</t>
        </r>
        <r>
          <rPr>
            <sz val="9"/>
            <color indexed="81"/>
            <rFont val="Tahoma"/>
            <family val="2"/>
          </rPr>
          <t xml:space="preserve">
Observera att kommuner kan använda andra kontonummer för sina interna lokalkostnader.</t>
        </r>
      </text>
    </comment>
    <comment ref="R6" authorId="2" shapeId="0" xr:uid="{00000000-0006-0000-0600-00000B000000}">
      <text>
        <r>
          <rPr>
            <b/>
            <sz val="9"/>
            <color indexed="81"/>
            <rFont val="Tahoma"/>
            <family val="2"/>
          </rPr>
          <t xml:space="preserve">SCB:
</t>
        </r>
        <r>
          <rPr>
            <sz val="8"/>
            <color indexed="81"/>
            <rFont val="Tahoma"/>
            <family val="2"/>
          </rPr>
          <t>Även frikontogrupperna 32 och 33 ingår om de avser taxor och avgifter</t>
        </r>
        <r>
          <rPr>
            <sz val="9"/>
            <color indexed="81"/>
            <rFont val="Tahoma"/>
            <family val="2"/>
          </rPr>
          <t xml:space="preserve">
</t>
        </r>
      </text>
    </comment>
    <comment ref="AD23" authorId="1" shapeId="0" xr:uid="{00000000-0006-0000-0600-00000C000000}">
      <text>
        <r>
          <rPr>
            <b/>
            <sz val="8"/>
            <color indexed="81"/>
            <rFont val="Tahoma"/>
            <family val="2"/>
          </rPr>
          <t xml:space="preserve">SCB:
Kommentera köp av huvudverksamhet: </t>
        </r>
        <r>
          <rPr>
            <sz val="8"/>
            <color indexed="81"/>
            <rFont val="Tahoma"/>
            <family val="2"/>
          </rPr>
          <t xml:space="preserve">Beloppet i kol. F, köp av huvudverksamhet är lågt i förhållande till beloppet i kol. G. Observera att skötsel av allmänna gator etc. inkl. snöröjning och sandning enligt KommunBas vanligtvis ses som köp av huvudverksamhet (se kontoplan).
</t>
        </r>
        <r>
          <rPr>
            <b/>
            <sz val="8"/>
            <color indexed="81"/>
            <rFont val="Tahoma"/>
            <family val="2"/>
          </rPr>
          <t xml:space="preserve">
Bidrag till infrastr.saknas på rad 249: </t>
        </r>
        <r>
          <rPr>
            <sz val="8"/>
            <color indexed="81"/>
            <rFont val="Tahoma"/>
            <family val="2"/>
          </rPr>
          <t xml:space="preserve">i Verskamhetens intäkter och kostnader redovisas på konto 454 ett högre belopp än på rad 249, Väg- och järnvägsnät, parkering. Bidrag till infrastruktur ska ingå på rad 249 i driften!
</t>
        </r>
        <r>
          <rPr>
            <b/>
            <sz val="8"/>
            <color indexed="81"/>
            <rFont val="Tahoma"/>
            <family val="2"/>
          </rPr>
          <t xml:space="preserve">
Belopp saknas: </t>
        </r>
        <r>
          <rPr>
            <sz val="8"/>
            <color indexed="81"/>
            <rFont val="Tahoma"/>
            <family val="2"/>
          </rPr>
          <t>På denna verksamhet borde det finnas kostnader.</t>
        </r>
      </text>
    </comment>
    <comment ref="AD28" authorId="1" shapeId="0" xr:uid="{00000000-0006-0000-0600-00000D000000}">
      <text>
        <r>
          <rPr>
            <b/>
            <sz val="8"/>
            <color indexed="81"/>
            <rFont val="Tahoma"/>
            <family val="2"/>
          </rPr>
          <t>SCB:</t>
        </r>
        <r>
          <rPr>
            <sz val="8"/>
            <color indexed="81"/>
            <rFont val="Tahoma"/>
            <family val="2"/>
          </rPr>
          <t xml:space="preserve"> På denna verksamhet borde det finnas kostnader.</t>
        </r>
      </text>
    </comment>
    <comment ref="AD47" authorId="0" shapeId="0" xr:uid="{00000000-0006-0000-0600-00000E000000}">
      <text>
        <r>
          <rPr>
            <b/>
            <sz val="8"/>
            <color indexed="81"/>
            <rFont val="Tahoma"/>
            <family val="2"/>
          </rPr>
          <t>SCB:</t>
        </r>
        <r>
          <rPr>
            <sz val="8"/>
            <color indexed="81"/>
            <rFont val="Tahoma"/>
            <family val="2"/>
          </rPr>
          <t xml:space="preserve"> 
Vid köp av platser från t.ex. annan kommun eller i enskild regi (s.k. kommunalt bidrag) redovisas detta i RS som </t>
        </r>
        <r>
          <rPr>
            <b/>
            <sz val="8"/>
            <color indexed="81"/>
            <rFont val="Tahoma"/>
            <family val="2"/>
          </rPr>
          <t xml:space="preserve">köp av verksamhet i kolumn F </t>
        </r>
        <r>
          <rPr>
            <sz val="8"/>
            <color indexed="81"/>
            <rFont val="Tahoma"/>
            <family val="2"/>
          </rPr>
          <t>och</t>
        </r>
        <r>
          <rPr>
            <b/>
            <sz val="8"/>
            <color indexed="81"/>
            <rFont val="Tahoma"/>
            <family val="2"/>
          </rPr>
          <t xml:space="preserve"> inte som bidrag</t>
        </r>
        <r>
          <rPr>
            <sz val="8"/>
            <color indexed="81"/>
            <rFont val="Tahoma"/>
            <family val="2"/>
          </rPr>
          <t xml:space="preserve"> i kolumn H. Detta gäller såväl förskolan på rad 407 som fritidshem rad 425.</t>
        </r>
      </text>
    </comment>
    <comment ref="AD48" authorId="0" shapeId="0" xr:uid="{00000000-0006-0000-0600-00000F000000}">
      <text>
        <r>
          <rPr>
            <b/>
            <sz val="8"/>
            <color indexed="81"/>
            <rFont val="Tahoma"/>
            <family val="2"/>
          </rPr>
          <t>SCB:</t>
        </r>
        <r>
          <rPr>
            <sz val="8"/>
            <color indexed="81"/>
            <rFont val="Tahoma"/>
            <family val="2"/>
          </rPr>
          <t xml:space="preserve">
</t>
        </r>
        <r>
          <rPr>
            <b/>
            <sz val="8"/>
            <color indexed="81"/>
            <rFont val="Tahoma"/>
            <family val="2"/>
          </rPr>
          <t xml:space="preserve">Kommentera Taxor o avgifter: </t>
        </r>
        <r>
          <rPr>
            <sz val="8"/>
            <color indexed="81"/>
            <rFont val="Tahoma"/>
            <family val="2"/>
          </rPr>
          <t xml:space="preserve">
Taxor och avgifter för barn inom pedagogisk omsorg ska redovisas på rad 412.</t>
        </r>
      </text>
    </comment>
    <comment ref="AD50" authorId="0" shapeId="0" xr:uid="{00000000-0006-0000-0600-000010000000}">
      <text>
        <r>
          <rPr>
            <b/>
            <sz val="8"/>
            <color indexed="81"/>
            <rFont val="Tahoma"/>
            <family val="2"/>
          </rPr>
          <t>SCB</t>
        </r>
        <r>
          <rPr>
            <sz val="8"/>
            <color indexed="81"/>
            <rFont val="Tahoma"/>
            <family val="2"/>
          </rPr>
          <t>: Alla riktade statsbidrag avseende förskoleverksamhet ska redovisas på rätt rad i driften. Avviker kommunens redovisade belopp från de förprintade ska orsaken anges i kommentarrutan.</t>
        </r>
        <r>
          <rPr>
            <sz val="8"/>
            <color indexed="81"/>
            <rFont val="Tahoma"/>
            <family val="2"/>
          </rPr>
          <t xml:space="preserve">
</t>
        </r>
      </text>
    </comment>
    <comment ref="F51" authorId="0" shapeId="0" xr:uid="{00000000-0006-0000-0600-000011000000}">
      <text>
        <r>
          <rPr>
            <b/>
            <sz val="8"/>
            <color indexed="81"/>
            <rFont val="Tahoma"/>
            <family val="2"/>
          </rPr>
          <t>SCB:</t>
        </r>
        <r>
          <rPr>
            <sz val="8"/>
            <color indexed="81"/>
            <rFont val="Tahoma"/>
            <family val="2"/>
          </rPr>
          <t xml:space="preserve"> Observera att bara köp av huvudverksamhet, dvs. köp av hela platser ska ingå i denna kolumn. Beloppen inom avdelning Pedagogisk verksamhet blir fel om annat redovisas här.
</t>
        </r>
      </text>
    </comment>
    <comment ref="AD51" authorId="1" shapeId="0" xr:uid="{00000000-0006-0000-0600-000012000000}">
      <text>
        <r>
          <rPr>
            <b/>
            <sz val="8"/>
            <color indexed="81"/>
            <rFont val="Tahoma"/>
            <family val="2"/>
          </rPr>
          <t>SCB:</t>
        </r>
        <r>
          <rPr>
            <sz val="8"/>
            <color indexed="81"/>
            <rFont val="Tahoma"/>
            <family val="2"/>
          </rPr>
          <t xml:space="preserve">
Alla riktade statsbidrag avseende förskoleverksamhet ska redovisas på rätt rad i driften. Avviker kommunens redovisade belopp från de förprintade ska orsaken anges i kommentarrutan.
</t>
        </r>
        <r>
          <rPr>
            <b/>
            <sz val="8"/>
            <color indexed="81"/>
            <rFont val="Tahoma"/>
            <family val="2"/>
          </rPr>
          <t xml:space="preserve">"Kommentera förändringen": </t>
        </r>
        <r>
          <rPr>
            <sz val="8"/>
            <color indexed="81"/>
            <rFont val="Tahoma"/>
            <family val="2"/>
          </rPr>
          <t xml:space="preserve">
Nyckeltalet avviker stort från föregående år. Kontrollera om det stämmer och skriv i så fall vad förändringen beror på.</t>
        </r>
        <r>
          <rPr>
            <sz val="8"/>
            <color indexed="81"/>
            <rFont val="Tahoma"/>
            <family val="2"/>
          </rPr>
          <t xml:space="preserve">
</t>
        </r>
      </text>
    </comment>
    <comment ref="AD53" authorId="0" shapeId="0" xr:uid="{00000000-0006-0000-0600-000013000000}">
      <text>
        <r>
          <rPr>
            <b/>
            <sz val="8"/>
            <color indexed="81"/>
            <rFont val="Tahoma"/>
            <family val="2"/>
          </rPr>
          <t>SCB:</t>
        </r>
        <r>
          <rPr>
            <sz val="8"/>
            <color indexed="81"/>
            <rFont val="Tahoma"/>
            <family val="2"/>
          </rPr>
          <t xml:space="preserve"> Förskoleklassen är en del av skolväsendet och är avgiftsfri! Därför ska det inte finnas några taxor/avgifter. Förskoleklass ska inte förväxlas med förskoleverksamheten!</t>
        </r>
        <r>
          <rPr>
            <sz val="8"/>
            <color indexed="81"/>
            <rFont val="Tahoma"/>
            <family val="2"/>
          </rPr>
          <t xml:space="preserve">
</t>
        </r>
      </text>
    </comment>
    <comment ref="B55" authorId="4" shapeId="0" xr:uid="{9F7DAEE2-4EBC-40EA-B3CD-F6A4A9C8FA07}">
      <text>
        <r>
          <rPr>
            <b/>
            <sz val="9"/>
            <color indexed="81"/>
            <rFont val="Tahoma"/>
            <family val="2"/>
          </rPr>
          <t xml:space="preserve">SCB: </t>
        </r>
        <r>
          <rPr>
            <sz val="9"/>
            <color indexed="81"/>
            <rFont val="Tahoma"/>
            <family val="2"/>
          </rPr>
          <t xml:space="preserve">Namnändring, tidigare grundsärskola. </t>
        </r>
      </text>
    </comment>
    <comment ref="B57" authorId="4" shapeId="0" xr:uid="{D67845F5-637B-4AE6-B4F1-37B7F372B0A8}">
      <text>
        <r>
          <rPr>
            <b/>
            <sz val="9"/>
            <color indexed="81"/>
            <rFont val="Tahoma"/>
            <family val="2"/>
          </rPr>
          <t xml:space="preserve">SCB: </t>
        </r>
        <r>
          <rPr>
            <sz val="9"/>
            <color indexed="81"/>
            <rFont val="Tahoma"/>
            <family val="2"/>
          </rPr>
          <t>Namnändring, tidigare Gymnasiesärskola</t>
        </r>
      </text>
    </comment>
    <comment ref="F58" authorId="0" shapeId="0" xr:uid="{00000000-0006-0000-0600-000014000000}">
      <text>
        <r>
          <rPr>
            <b/>
            <sz val="8"/>
            <color indexed="81"/>
            <rFont val="Tahoma"/>
            <family val="2"/>
          </rPr>
          <t xml:space="preserve">SCB:
</t>
        </r>
        <r>
          <rPr>
            <sz val="8"/>
            <color indexed="81"/>
            <rFont val="Tahoma"/>
            <family val="2"/>
          </rPr>
          <t xml:space="preserve">Observera att bara köp av huvudverksamhet, dvs. köp av hela skolplatser ska ingå i denna kolumn. Beloppenl inom avdelning Pedagogisk verksamhet blir fel om annat redovisas här.
</t>
        </r>
      </text>
    </comment>
    <comment ref="B63" authorId="4" shapeId="0" xr:uid="{D16FD25D-164F-4CF4-9B99-4B9203D638F8}">
      <text>
        <r>
          <rPr>
            <b/>
            <sz val="9"/>
            <color indexed="81"/>
            <rFont val="Tahoma"/>
            <family val="2"/>
          </rPr>
          <t xml:space="preserve">SCB: </t>
        </r>
        <r>
          <rPr>
            <sz val="9"/>
            <color indexed="81"/>
            <rFont val="Tahoma"/>
            <family val="2"/>
          </rPr>
          <t>Namnändring, tidigare särskild utbildning för vuxna.</t>
        </r>
      </text>
    </comment>
    <comment ref="AD70" authorId="2" shapeId="0" xr:uid="{00000000-0006-0000-0600-000015000000}">
      <text>
        <r>
          <rPr>
            <b/>
            <sz val="9"/>
            <color indexed="81"/>
            <rFont val="Tahoma"/>
            <family val="2"/>
          </rPr>
          <t xml:space="preserve">SCB:
</t>
        </r>
        <r>
          <rPr>
            <sz val="8"/>
            <color indexed="81"/>
            <rFont val="Tahoma"/>
            <family val="2"/>
          </rPr>
          <t>Stämmer det att kommunen bedriver primärvård? Kommentera detta i så fall.</t>
        </r>
        <r>
          <rPr>
            <sz val="9"/>
            <color indexed="81"/>
            <rFont val="Tahoma"/>
            <family val="2"/>
          </rPr>
          <t xml:space="preserve">
</t>
        </r>
      </text>
    </comment>
    <comment ref="AD71" authorId="2" shapeId="0" xr:uid="{00000000-0006-0000-0600-000016000000}">
      <text>
        <r>
          <rPr>
            <b/>
            <sz val="9"/>
            <color indexed="81"/>
            <rFont val="Tahoma"/>
            <family val="2"/>
          </rPr>
          <t xml:space="preserve">SCB:
</t>
        </r>
        <r>
          <rPr>
            <sz val="8"/>
            <color indexed="81"/>
            <rFont val="Tahoma"/>
            <family val="2"/>
          </rPr>
          <t>Här ingår i förekommenade fall bara hälso- och sjukvård som inte ska redovisas på någon av raderna 510, 520 och 513. 
Kommentera vad beloppen avser.</t>
        </r>
        <r>
          <rPr>
            <sz val="9"/>
            <color indexed="81"/>
            <rFont val="Tahoma"/>
            <family val="2"/>
          </rPr>
          <t xml:space="preserve">
</t>
        </r>
      </text>
    </comment>
    <comment ref="AD73" authorId="2" shapeId="0" xr:uid="{00000000-0006-0000-0600-000017000000}">
      <text>
        <r>
          <rPr>
            <b/>
            <sz val="9"/>
            <color indexed="81"/>
            <rFont val="Tahoma"/>
            <family val="2"/>
          </rPr>
          <t xml:space="preserve">SCB:
</t>
        </r>
        <r>
          <rPr>
            <b/>
            <sz val="8"/>
            <color indexed="81"/>
            <rFont val="Tahoma"/>
            <family val="2"/>
          </rPr>
          <t xml:space="preserve">"Kommentera taxor och avgifter": </t>
        </r>
        <r>
          <rPr>
            <sz val="8"/>
            <color indexed="81"/>
            <rFont val="Tahoma"/>
            <family val="2"/>
          </rPr>
          <t>Taxor och avgifter borde finnas om verksamheten bedrivs (helt eller delvis) i egen regi.</t>
        </r>
        <r>
          <rPr>
            <sz val="9"/>
            <color indexed="81"/>
            <rFont val="Tahoma"/>
            <family val="2"/>
          </rPr>
          <t xml:space="preserve">
</t>
        </r>
      </text>
    </comment>
    <comment ref="AD74" authorId="2" shapeId="0" xr:uid="{00000000-0006-0000-0600-000018000000}">
      <text>
        <r>
          <rPr>
            <b/>
            <sz val="9"/>
            <color indexed="81"/>
            <rFont val="Tahoma"/>
            <family val="2"/>
          </rPr>
          <t xml:space="preserve">SCB:
</t>
        </r>
        <r>
          <rPr>
            <b/>
            <sz val="8"/>
            <color indexed="81"/>
            <rFont val="Tahoma"/>
            <family val="2"/>
          </rPr>
          <t xml:space="preserve">"Kommentera taxor och avgifter": 
</t>
        </r>
        <r>
          <rPr>
            <sz val="8"/>
            <color indexed="81"/>
            <rFont val="Tahoma"/>
            <family val="2"/>
          </rPr>
          <t>Taxor och avgifter borde finnas om verksamheten bedrivs (helt eller delvis) i egen regi.</t>
        </r>
        <r>
          <rPr>
            <sz val="9"/>
            <color indexed="81"/>
            <rFont val="Tahoma"/>
            <family val="2"/>
          </rPr>
          <t xml:space="preserve">
</t>
        </r>
      </text>
    </comment>
    <comment ref="AD76" authorId="1" shapeId="0" xr:uid="{00000000-0006-0000-0600-000019000000}">
      <text>
        <r>
          <rPr>
            <b/>
            <sz val="8"/>
            <color indexed="81"/>
            <rFont val="Tahoma"/>
            <family val="2"/>
          </rPr>
          <t>SCB:</t>
        </r>
        <r>
          <rPr>
            <sz val="8"/>
            <color indexed="81"/>
            <rFont val="Tahoma"/>
            <family val="2"/>
          </rPr>
          <t xml:space="preserve"> 
</t>
        </r>
        <r>
          <rPr>
            <b/>
            <sz val="8"/>
            <color indexed="81"/>
            <rFont val="Tahoma"/>
            <family val="2"/>
          </rPr>
          <t>"Belopp saknas":</t>
        </r>
        <r>
          <rPr>
            <sz val="8"/>
            <color indexed="81"/>
            <rFont val="Tahoma"/>
            <family val="2"/>
          </rPr>
          <t xml:space="preserve">
På denna verksamhet borde det finnas kostnader.
</t>
        </r>
        <r>
          <rPr>
            <b/>
            <sz val="8"/>
            <color indexed="81"/>
            <rFont val="Tahoma"/>
            <family val="2"/>
          </rPr>
          <t xml:space="preserve">"Kommentera taxor och avgifter": </t>
        </r>
        <r>
          <rPr>
            <sz val="8"/>
            <color indexed="81"/>
            <rFont val="Tahoma"/>
            <family val="2"/>
          </rPr>
          <t>Taxor och avgifter borde finnas om verksamheten bedrivs (helt eller delvis) i egen regi.</t>
        </r>
      </text>
    </comment>
    <comment ref="AD78" authorId="5" shapeId="0" xr:uid="{00000000-0006-0000-0600-00001A000000}">
      <text>
        <r>
          <rPr>
            <b/>
            <sz val="8"/>
            <color indexed="81"/>
            <rFont val="Tahoma"/>
            <family val="2"/>
          </rPr>
          <t xml:space="preserve">SCB: </t>
        </r>
        <r>
          <rPr>
            <sz val="8"/>
            <color indexed="81"/>
            <rFont val="Tahoma"/>
            <family val="2"/>
          </rPr>
          <t xml:space="preserve">Kontrollen avser underlaget till </t>
        </r>
        <r>
          <rPr>
            <b/>
            <sz val="8"/>
            <color indexed="81"/>
            <rFont val="Tahoma"/>
            <family val="2"/>
          </rPr>
          <t>Personalkostnadstindexet</t>
        </r>
        <r>
          <rPr>
            <sz val="8"/>
            <color indexed="81"/>
            <rFont val="Tahoma"/>
            <family val="2"/>
          </rPr>
          <t xml:space="preserve"> som används vid </t>
        </r>
        <r>
          <rPr>
            <b/>
            <sz val="8"/>
            <color indexed="81"/>
            <rFont val="Tahoma"/>
            <family val="2"/>
          </rPr>
          <t>LSS-utjämningen</t>
        </r>
        <r>
          <rPr>
            <sz val="8"/>
            <color indexed="81"/>
            <rFont val="Tahoma"/>
            <family val="2"/>
          </rPr>
          <t xml:space="preserve"> och som  beräknas utifrån de grönmarkerade cellerna på </t>
        </r>
        <r>
          <rPr>
            <b/>
            <sz val="8"/>
            <color indexed="81"/>
            <rFont val="Tahoma"/>
            <family val="2"/>
          </rPr>
          <t>rad 513 i driften samt i verksamhetens intäkter och kostnader och Äldre- och  funktionshinderomsorg</t>
        </r>
        <r>
          <rPr>
            <sz val="8"/>
            <color indexed="81"/>
            <rFont val="Tahoma"/>
            <family val="2"/>
          </rPr>
          <t xml:space="preserve">. Kontrollen visas eftersom förändringen av detta underlag är större än ett givet intervall. </t>
        </r>
        <r>
          <rPr>
            <b/>
            <sz val="8"/>
            <color indexed="81"/>
            <rFont val="Tahoma"/>
            <family val="2"/>
          </rPr>
          <t>Kontrollera de gröna cellerna i blanketten mot förra årets uppgifter!</t>
        </r>
        <r>
          <rPr>
            <sz val="8"/>
            <color indexed="81"/>
            <rFont val="Tahoma"/>
            <family val="2"/>
          </rPr>
          <t xml:space="preserve"> Stämmer förändringen ska orsaken till den anges i kommentarsrutan!
Föregående års uppgift avser tidigare lämnad uppgift i RS uppräknad med KPI för innevarande år, för att få förra årets personalomkostnadsindex i årets penningvärde.
 </t>
        </r>
      </text>
    </comment>
    <comment ref="AD100" authorId="2" shapeId="0" xr:uid="{00000000-0006-0000-0600-00001B000000}">
      <text>
        <r>
          <rPr>
            <b/>
            <sz val="9"/>
            <color indexed="81"/>
            <rFont val="Tahoma"/>
            <family val="2"/>
          </rPr>
          <t xml:space="preserve">SCB:
</t>
        </r>
        <r>
          <rPr>
            <b/>
            <sz val="8"/>
            <color indexed="81"/>
            <rFont val="Tahoma"/>
            <family val="2"/>
          </rPr>
          <t xml:space="preserve">"Kommentera taxor o avgifter": </t>
        </r>
        <r>
          <rPr>
            <sz val="8"/>
            <color indexed="81"/>
            <rFont val="Tahoma"/>
            <family val="2"/>
          </rPr>
          <t>Kostnder för löner indikerar att verksamheten bedrivs i egen regi och därmed borde även taxor och avgifter förekomma. Kontrollera och kommentera varför inga taxor och avgifter redovisas.</t>
        </r>
        <r>
          <rPr>
            <sz val="9"/>
            <color indexed="81"/>
            <rFont val="Tahoma"/>
            <family val="2"/>
          </rPr>
          <t xml:space="preserve">
</t>
        </r>
      </text>
    </comment>
    <comment ref="AD104" authorId="2" shapeId="0" xr:uid="{00000000-0006-0000-0600-00001C000000}">
      <text>
        <r>
          <rPr>
            <b/>
            <sz val="9"/>
            <color indexed="81"/>
            <rFont val="Tahoma"/>
            <family val="2"/>
          </rPr>
          <t xml:space="preserve">SCB:
</t>
        </r>
        <r>
          <rPr>
            <b/>
            <sz val="8"/>
            <color indexed="81"/>
            <rFont val="Tahoma"/>
            <family val="2"/>
          </rPr>
          <t xml:space="preserve">"Kommentera taxor o avgifter": </t>
        </r>
        <r>
          <rPr>
            <sz val="8"/>
            <color indexed="81"/>
            <rFont val="Tahoma"/>
            <family val="2"/>
          </rPr>
          <t>Kostnder för löner indikerar att verksamheten bedrivs i egen regi och därmed borde även taxor och avgifter förekomma. Kontrollera och kommentera varför inga taxor och avgifter redovisas.</t>
        </r>
        <r>
          <rPr>
            <sz val="9"/>
            <color indexed="81"/>
            <rFont val="Tahoma"/>
            <family val="2"/>
          </rPr>
          <t xml:space="preserve">
</t>
        </r>
      </text>
    </comment>
    <comment ref="AD105" authorId="2" shapeId="0" xr:uid="{00000000-0006-0000-0600-00001D000000}">
      <text>
        <r>
          <rPr>
            <b/>
            <sz val="9"/>
            <color indexed="81"/>
            <rFont val="Tahoma"/>
            <family val="2"/>
          </rPr>
          <t xml:space="preserve">SCB:
</t>
        </r>
        <r>
          <rPr>
            <b/>
            <sz val="8"/>
            <color indexed="81"/>
            <rFont val="Tahoma"/>
            <family val="2"/>
          </rPr>
          <t xml:space="preserve">"Kommentera taxor o avgifter": </t>
        </r>
        <r>
          <rPr>
            <sz val="8"/>
            <color indexed="81"/>
            <rFont val="Tahoma"/>
            <family val="2"/>
          </rPr>
          <t>Kostnder för löner indikerar att verksamheten bedrivs i egen regi och därmed borde även taxor och avgifter förekomma. Kontrollera och kommentera varför inga taxor och avgifter redovisas.</t>
        </r>
        <r>
          <rPr>
            <sz val="9"/>
            <color indexed="81"/>
            <rFont val="Tahoma"/>
            <family val="2"/>
          </rPr>
          <t xml:space="preserve">
</t>
        </r>
      </text>
    </comment>
    <comment ref="AD106" authorId="2" shapeId="0" xr:uid="{00000000-0006-0000-0600-00001E000000}">
      <text>
        <r>
          <rPr>
            <b/>
            <sz val="9"/>
            <color indexed="81"/>
            <rFont val="Tahoma"/>
            <family val="2"/>
          </rPr>
          <t xml:space="preserve">SCB:
</t>
        </r>
        <r>
          <rPr>
            <b/>
            <sz val="8"/>
            <color indexed="81"/>
            <rFont val="Tahoma"/>
            <family val="2"/>
          </rPr>
          <t xml:space="preserve">"Kommentera taxor o avgifter": </t>
        </r>
        <r>
          <rPr>
            <sz val="8"/>
            <color indexed="81"/>
            <rFont val="Tahoma"/>
            <family val="2"/>
          </rPr>
          <t>Kostnder för löner indikerar att verksamheten bedrivs i egen regi och därmed borde även taxor och avgifter förekomma. Kontrollera och kommentera varför inga taxor och avgifter redovisas.</t>
        </r>
        <r>
          <rPr>
            <sz val="9"/>
            <color indexed="81"/>
            <rFont val="Tahoma"/>
            <family val="2"/>
          </rPr>
          <t xml:space="preserve">
</t>
        </r>
      </text>
    </comment>
    <comment ref="AD107" authorId="2" shapeId="0" xr:uid="{00000000-0006-0000-0600-00001F000000}">
      <text>
        <r>
          <rPr>
            <b/>
            <sz val="9"/>
            <color indexed="81"/>
            <rFont val="Tahoma"/>
            <family val="2"/>
          </rPr>
          <t xml:space="preserve">SCB:
</t>
        </r>
        <r>
          <rPr>
            <b/>
            <sz val="8"/>
            <color indexed="81"/>
            <rFont val="Tahoma"/>
            <family val="2"/>
          </rPr>
          <t xml:space="preserve">"Kommentera taxor o avgifter": </t>
        </r>
        <r>
          <rPr>
            <sz val="8"/>
            <color indexed="81"/>
            <rFont val="Tahoma"/>
            <family val="2"/>
          </rPr>
          <t>Kostnder för löner indikerar att verksamheten bedrivs i egen regi och därmed borde även taxor och avgifter förekomma. Kontrollera och kommentera varför inga taxor och avgifter redovisas.</t>
        </r>
        <r>
          <rPr>
            <sz val="9"/>
            <color indexed="81"/>
            <rFont val="Tahoma"/>
            <family val="2"/>
          </rPr>
          <t xml:space="preserve">
</t>
        </r>
      </text>
    </comment>
    <comment ref="D112" authorId="2" shapeId="0" xr:uid="{00000000-0006-0000-0600-000020000000}">
      <text>
        <r>
          <rPr>
            <b/>
            <sz val="8"/>
            <color indexed="81"/>
            <rFont val="Tahoma"/>
            <family val="2"/>
          </rPr>
          <t xml:space="preserve">SCB: </t>
        </r>
        <r>
          <rPr>
            <sz val="8"/>
            <color indexed="81"/>
            <rFont val="Tahoma"/>
            <family val="2"/>
          </rPr>
          <t xml:space="preserve">
Observera att eventuella justeringar av summan kalkylerade PO inte ska göras här utan på de enskilda verksamheterna, eventuellt med hjälp av schabloner. 
De </t>
        </r>
        <r>
          <rPr>
            <b/>
            <sz val="8"/>
            <color indexed="81"/>
            <rFont val="Tahoma"/>
            <family val="2"/>
          </rPr>
          <t>faktiska personalomkostnade</t>
        </r>
        <r>
          <rPr>
            <sz val="8"/>
            <color indexed="81"/>
            <rFont val="Tahoma"/>
            <family val="2"/>
          </rPr>
          <t xml:space="preserve">r ska redovisas </t>
        </r>
        <r>
          <rPr>
            <b/>
            <sz val="8"/>
            <color indexed="81"/>
            <rFont val="Tahoma"/>
            <family val="2"/>
          </rPr>
          <t xml:space="preserve">på respektive verksamhet </t>
        </r>
        <r>
          <rPr>
            <sz val="8"/>
            <color indexed="81"/>
            <rFont val="Tahoma"/>
            <family val="2"/>
          </rPr>
          <t>om kommunen via sitt lönesystem kan få fram dem.</t>
        </r>
      </text>
    </comment>
    <comment ref="V112" authorId="2" shapeId="0" xr:uid="{00000000-0006-0000-0600-000021000000}">
      <text>
        <r>
          <rPr>
            <b/>
            <sz val="9"/>
            <color indexed="81"/>
            <rFont val="Tahoma"/>
            <family val="2"/>
          </rPr>
          <t xml:space="preserve">SCB:
</t>
        </r>
        <r>
          <rPr>
            <b/>
            <sz val="8"/>
            <color indexed="81"/>
            <rFont val="Tahoma"/>
            <family val="2"/>
          </rPr>
          <t>De interna intäkterna</t>
        </r>
        <r>
          <rPr>
            <sz val="8"/>
            <color indexed="81"/>
            <rFont val="Tahoma"/>
            <family val="2"/>
          </rPr>
          <t xml:space="preserve"> som verksamhet 920 erhållit från de andra verksamheterna kan inte fyllas i här utan </t>
        </r>
        <r>
          <rPr>
            <b/>
            <sz val="8"/>
            <color indexed="81"/>
            <rFont val="Tahoma"/>
            <family val="2"/>
          </rPr>
          <t xml:space="preserve">ska redovisas på rad 924 (Excelcell I118) </t>
        </r>
        <r>
          <rPr>
            <sz val="9"/>
            <color indexed="81"/>
            <rFont val="Tahoma"/>
            <family val="2"/>
          </rPr>
          <t xml:space="preserve">
</t>
        </r>
      </text>
    </comment>
    <comment ref="AD112" authorId="2" shapeId="0" xr:uid="{00000000-0006-0000-0600-000022000000}">
      <text>
        <r>
          <rPr>
            <b/>
            <sz val="9"/>
            <color indexed="81"/>
            <rFont val="Tahoma"/>
            <family val="2"/>
          </rPr>
          <t xml:space="preserve">SCB:
</t>
        </r>
        <r>
          <rPr>
            <sz val="9"/>
            <color indexed="81"/>
            <rFont val="Tahoma"/>
            <family val="2"/>
          </rPr>
          <t>Om kommunen via sitt lönesystem kan få fram d</t>
        </r>
        <r>
          <rPr>
            <sz val="8"/>
            <color indexed="81"/>
            <rFont val="Tahoma"/>
            <family val="2"/>
          </rPr>
          <t xml:space="preserve">e faktiska personalomkostnader ska dessa redovisas </t>
        </r>
        <r>
          <rPr>
            <b/>
            <sz val="8"/>
            <color indexed="81"/>
            <rFont val="Tahoma"/>
            <family val="2"/>
          </rPr>
          <t>på respektive verksamhet och inte på rad 920.</t>
        </r>
        <r>
          <rPr>
            <b/>
            <sz val="9"/>
            <color indexed="81"/>
            <rFont val="Tahoma"/>
            <family val="2"/>
          </rPr>
          <t xml:space="preserve">
</t>
        </r>
        <r>
          <rPr>
            <sz val="9"/>
            <color indexed="81"/>
            <rFont val="Tahoma"/>
            <family val="2"/>
          </rPr>
          <t xml:space="preserve">OBS! </t>
        </r>
        <r>
          <rPr>
            <sz val="8"/>
            <color indexed="81"/>
            <rFont val="Tahoma"/>
            <family val="2"/>
          </rPr>
          <t>raden ska inte användas för justering av för höga eller för låga PO på andra verksamheter utan justeringarna ska göras direkt på rätt verksamhet!</t>
        </r>
        <r>
          <rPr>
            <sz val="9"/>
            <color indexed="81"/>
            <rFont val="Tahoma"/>
            <family val="2"/>
          </rPr>
          <t xml:space="preserve">
</t>
        </r>
      </text>
    </comment>
    <comment ref="D114" authorId="2" shapeId="0" xr:uid="{00000000-0006-0000-0600-000023000000}">
      <text>
        <r>
          <rPr>
            <b/>
            <sz val="9"/>
            <color indexed="81"/>
            <rFont val="Tahoma"/>
            <family val="2"/>
          </rPr>
          <t xml:space="preserve">SCB:
</t>
        </r>
        <r>
          <rPr>
            <sz val="8"/>
            <color indexed="81"/>
            <rFont val="Tahoma"/>
            <family val="2"/>
          </rPr>
          <t>Pensionsutbetalningar ska inte ingå här utan bara på rad 975 eftersom pensionsutbetalningar inte ska påverka driftverksamheterna på rad 100-950.</t>
        </r>
        <r>
          <rPr>
            <sz val="9"/>
            <color indexed="81"/>
            <rFont val="Tahoma"/>
            <family val="2"/>
          </rPr>
          <t xml:space="preserve">
</t>
        </r>
      </text>
    </comment>
    <comment ref="AD114" authorId="3" shapeId="0" xr:uid="{00000000-0006-0000-0600-000024000000}">
      <text>
        <r>
          <rPr>
            <b/>
            <sz val="9"/>
            <color indexed="81"/>
            <rFont val="Tahoma"/>
            <family val="2"/>
          </rPr>
          <t xml:space="preserve">SCB:
</t>
        </r>
        <r>
          <rPr>
            <sz val="9"/>
            <color indexed="81"/>
            <rFont val="Tahoma"/>
            <family val="2"/>
          </rPr>
          <t>Interna räntekostnader ska redovisas i kolumn "Kalkylerade</t>
        </r>
        <r>
          <rPr>
            <b/>
            <sz val="9"/>
            <color indexed="81"/>
            <rFont val="Tahoma"/>
            <family val="2"/>
          </rPr>
          <t xml:space="preserve"> </t>
        </r>
        <r>
          <rPr>
            <sz val="9"/>
            <color indexed="81"/>
            <rFont val="Tahoma"/>
            <family val="2"/>
          </rPr>
          <t>kapitalkostnader".</t>
        </r>
        <r>
          <rPr>
            <b/>
            <sz val="9"/>
            <color indexed="81"/>
            <rFont val="Tahoma"/>
            <family val="2"/>
          </rPr>
          <t xml:space="preserve">
</t>
        </r>
        <r>
          <rPr>
            <sz val="9"/>
            <color indexed="81"/>
            <rFont val="Tahoma"/>
            <family val="2"/>
          </rPr>
          <t>Kontrollen faller ut om Kalkylerade kapitalkostnader är lika med eller mindre än Avskrivningar och nedskrivningar i RR.</t>
        </r>
      </text>
    </comment>
    <comment ref="AD115" authorId="2" shapeId="0" xr:uid="{00000000-0006-0000-0600-000025000000}">
      <text>
        <r>
          <rPr>
            <b/>
            <sz val="9"/>
            <color indexed="81"/>
            <rFont val="Tahoma"/>
            <family val="2"/>
          </rPr>
          <t xml:space="preserve">SCB:
</t>
        </r>
        <r>
          <rPr>
            <sz val="8"/>
            <color indexed="81"/>
            <rFont val="Tahoma"/>
            <family val="2"/>
          </rPr>
          <t xml:space="preserve">Beloppet i kolumn H, Lämnade Bidrag på rad 920, gemensamma verksamheter, är relativt stort. Kommentera vad det är för bidrag som redovisas här.  </t>
        </r>
        <r>
          <rPr>
            <sz val="9"/>
            <color indexed="81"/>
            <rFont val="Tahoma"/>
            <family val="2"/>
          </rPr>
          <t xml:space="preserve">
</t>
        </r>
      </text>
    </comment>
    <comment ref="X116" authorId="4" shapeId="0" xr:uid="{F9211BD4-897D-46CA-9BF4-40540CA627B9}">
      <text>
        <r>
          <rPr>
            <b/>
            <sz val="9"/>
            <color indexed="81"/>
            <rFont val="Tahoma"/>
            <family val="2"/>
          </rPr>
          <t xml:space="preserve">SCB: </t>
        </r>
        <r>
          <rPr>
            <sz val="9"/>
            <color indexed="81"/>
            <rFont val="Tahoma"/>
            <family val="2"/>
          </rPr>
          <t>Totalbeloppen för de interna kostnaderna och de interna intäkterna i driftredovisningen ska vara lika stora. Bara interna poster inom 
driftverksamheterna ska finnas med.
Det som är en intern intäkt i en verksamhet borde vara en intern kostnad för den andra verksamheten.</t>
        </r>
      </text>
    </comment>
    <comment ref="W117" authorId="2" shapeId="0" xr:uid="{00000000-0006-0000-0600-000026000000}">
      <text>
        <r>
          <rPr>
            <b/>
            <sz val="9"/>
            <color indexed="81"/>
            <rFont val="Tahoma"/>
            <family val="2"/>
          </rPr>
          <t>SCB:</t>
        </r>
        <r>
          <rPr>
            <sz val="9"/>
            <color indexed="81"/>
            <rFont val="Tahoma"/>
            <family val="2"/>
          </rPr>
          <t xml:space="preserve">
Här ingår även konto 373 ersättning från exploatören som tas ut enligt PBL 6 kap 39-42§§ och avser att finansiera investeringar i t.ex. gator och allmän platsmark i samband med exploatering.</t>
        </r>
      </text>
    </comment>
    <comment ref="I118" authorId="2" shapeId="0" xr:uid="{00000000-0006-0000-0600-000027000000}">
      <text>
        <r>
          <rPr>
            <b/>
            <sz val="9"/>
            <color indexed="81"/>
            <rFont val="Tahoma"/>
            <family val="2"/>
          </rPr>
          <t xml:space="preserve">SCB:
</t>
        </r>
        <r>
          <rPr>
            <sz val="8"/>
            <color indexed="81"/>
            <rFont val="Tahoma"/>
            <family val="2"/>
          </rPr>
          <t>Här anges summan av beloppen som ingår som interna kostnader på verksamheterna 100-910 (vanligtvis i kolumn M) vilket samtidigt borde motsvara de interna intäkterna som verksamhet 920 har. Läs mer om detta i Instruktionerna under rubriken "Fördelning av rad 920 Gemensamma verksamheter"</t>
        </r>
        <r>
          <rPr>
            <sz val="9"/>
            <color indexed="81"/>
            <rFont val="Tahoma"/>
            <family val="2"/>
          </rPr>
          <t xml:space="preserve">
</t>
        </r>
      </text>
    </comment>
    <comment ref="L118" authorId="2" shapeId="0" xr:uid="{00000000-0006-0000-0600-000028000000}">
      <text>
        <r>
          <rPr>
            <b/>
            <sz val="9"/>
            <color indexed="81"/>
            <rFont val="Tahoma"/>
            <family val="2"/>
          </rPr>
          <t>SCB:</t>
        </r>
        <r>
          <rPr>
            <sz val="9"/>
            <color indexed="81"/>
            <rFont val="Tahoma"/>
            <family val="2"/>
          </rPr>
          <t xml:space="preserve">
Raden innehåller även del av konto 591, Aktivering av eget arbete vid utveckling av anläggningstillgångar. Det är den delen av kontot som avser justering av sociala avgifter, pensionsförsäkringspremier,  förvaltningsavgifter och pensionskostnad, avgiftsbestämd ålderspension som ingår. Uppfelningen av konto 591 görs vid behov göras med hjälp av schabloner.</t>
        </r>
      </text>
    </comment>
    <comment ref="L119" authorId="2" shapeId="0" xr:uid="{00000000-0006-0000-0600-000029000000}">
      <text>
        <r>
          <rPr>
            <b/>
            <sz val="9"/>
            <color indexed="81"/>
            <rFont val="Tahoma"/>
            <family val="2"/>
          </rPr>
          <t>SCB:</t>
        </r>
        <r>
          <rPr>
            <sz val="9"/>
            <color indexed="81"/>
            <rFont val="Tahoma"/>
            <family val="2"/>
          </rPr>
          <t xml:space="preserve">
Raden innehåller även del av konto 591, Aktivering av eget arbete vid utveckling av anläggningstillgångar. Det är den delen av kontot som avser förändringen av pensionsavsättning och särskild löneskatt på pensionsavsättning som ingår. Uppfelningen av konto 591 görs vid behov göras med hjälp av schabloner.</t>
        </r>
      </text>
    </comment>
    <comment ref="W119" authorId="2" shapeId="0" xr:uid="{00000000-0006-0000-0600-00002A000000}">
      <text>
        <r>
          <rPr>
            <b/>
            <sz val="9"/>
            <color indexed="81"/>
            <rFont val="Tahoma"/>
            <family val="2"/>
          </rPr>
          <t>SCB:</t>
        </r>
        <r>
          <rPr>
            <sz val="9"/>
            <color indexed="81"/>
            <rFont val="Tahoma"/>
            <family val="2"/>
          </rPr>
          <t xml:space="preserve">
Om kontot för jämförelsestörande intäkter ingår på rad 982 eller 985 ska den jämförelsestörande intäkten flyttas till aktuell rad. 
Övriga jämförelsestörande intäkter ska kommenteras. </t>
        </r>
      </text>
    </comment>
    <comment ref="P123" authorId="2" shapeId="0" xr:uid="{00000000-0006-0000-0600-00002C000000}">
      <text>
        <r>
          <rPr>
            <b/>
            <sz val="9"/>
            <color indexed="81"/>
            <rFont val="Tahoma"/>
            <family val="2"/>
          </rPr>
          <t>SCB:</t>
        </r>
        <r>
          <rPr>
            <sz val="9"/>
            <color indexed="81"/>
            <rFont val="Tahoma"/>
            <family val="2"/>
          </rPr>
          <t xml:space="preserve">
Om kontot för jämförelsestörande kostnader ingår på någon av raderna 975, 980, 982, 985 eller 988 ska denna jämförelsestörande kostnad flyttas till aktuell rad. 
Övriga jämförelsestörande kostnader ska kommenteras. </t>
        </r>
      </text>
    </comment>
    <comment ref="W123" authorId="1" shapeId="0" xr:uid="{00000000-0006-0000-0600-00002D000000}">
      <text>
        <r>
          <rPr>
            <b/>
            <sz val="8"/>
            <color indexed="81"/>
            <rFont val="Tahoma"/>
            <family val="2"/>
          </rPr>
          <t>SCB</t>
        </r>
        <r>
          <rPr>
            <sz val="8"/>
            <color indexed="81"/>
            <rFont val="Tahoma"/>
            <family val="2"/>
          </rPr>
          <t xml:space="preserve">: Summeringen av raderna  av verksamhetens intäkter ska stämma med summan av verksamhetens intäkter i resultaträkningen.
</t>
        </r>
      </text>
    </comment>
    <comment ref="P126" authorId="1" shapeId="0" xr:uid="{00000000-0006-0000-0600-00002E000000}">
      <text>
        <r>
          <rPr>
            <b/>
            <sz val="8"/>
            <color indexed="81"/>
            <rFont val="Tahoma"/>
            <family val="2"/>
          </rPr>
          <t>SCB</t>
        </r>
        <r>
          <rPr>
            <sz val="8"/>
            <color indexed="81"/>
            <rFont val="Tahoma"/>
            <family val="2"/>
          </rPr>
          <t xml:space="preserve">: Summeringen av raderna 960-989 överensstämmer inte med Verksamhetens kostnader i avdelning RR, rad 020.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scbelin</author>
    <author>Ingela Johansson</author>
    <author>Siegrist Elisabeth DFO/OU-Ö</author>
    <author>SCB</author>
    <author>Engblom Linnea D/INS/OFS-Ö</author>
    <author>Pettersson Åsa D/INS/FS-Ö</author>
    <author>scbelie</author>
  </authors>
  <commentList>
    <comment ref="I3" authorId="0" shapeId="0" xr:uid="{00000000-0006-0000-0700-000001000000}">
      <text>
        <r>
          <rPr>
            <sz val="8"/>
            <color indexed="81"/>
            <rFont val="Tahoma"/>
            <family val="2"/>
          </rPr>
          <t xml:space="preserve">
</t>
        </r>
      </text>
    </comment>
    <comment ref="D5" authorId="0" shapeId="0" xr:uid="{00000000-0006-0000-0700-000002000000}">
      <text>
        <r>
          <rPr>
            <b/>
            <sz val="8"/>
            <color indexed="81"/>
            <rFont val="Tahoma"/>
            <family val="2"/>
          </rPr>
          <t xml:space="preserve">SCB:
</t>
        </r>
        <r>
          <rPr>
            <sz val="8"/>
            <color indexed="81"/>
            <rFont val="Tahoma"/>
            <family val="2"/>
          </rPr>
          <t xml:space="preserve">Med föreningar och stiftelser avses de vars organisationsnummer börjar på 8 samt kyrkor (som har organisationsnummer som börjar på 2520). De stiftelser som ingår i ”kommunkoncernen” redovisas dock under kommunägda företag. 
</t>
        </r>
      </text>
    </comment>
    <comment ref="E5" authorId="0" shapeId="0" xr:uid="{00000000-0006-0000-0700-000003000000}">
      <text>
        <r>
          <rPr>
            <b/>
            <sz val="8"/>
            <color indexed="81"/>
            <rFont val="Tahoma"/>
            <family val="2"/>
          </rPr>
          <t xml:space="preserve">SCB:
</t>
        </r>
        <r>
          <rPr>
            <sz val="8"/>
            <color indexed="81"/>
            <rFont val="Tahoma"/>
            <family val="2"/>
          </rPr>
          <t xml:space="preserve">Med kommunägda företag avses företag som ingår i kommunkoncernen. </t>
        </r>
      </text>
    </comment>
    <comment ref="F5" authorId="0" shapeId="0" xr:uid="{00000000-0006-0000-0700-000004000000}">
      <text>
        <r>
          <rPr>
            <b/>
            <sz val="8"/>
            <color indexed="81"/>
            <rFont val="Tahoma"/>
            <family val="2"/>
          </rPr>
          <t xml:space="preserve">SCB:
</t>
        </r>
        <r>
          <rPr>
            <sz val="8"/>
            <color indexed="81"/>
            <rFont val="Tahoma"/>
            <family val="2"/>
          </rPr>
          <t>Med privata företag avses</t>
        </r>
        <r>
          <rPr>
            <b/>
            <sz val="8"/>
            <color indexed="81"/>
            <rFont val="Tahoma"/>
            <family val="2"/>
          </rPr>
          <t xml:space="preserve"> alla företag förutom de som tillhör de som kommunen själv äger, dvs. även statligt ägda, landstingsägda eller ägda av andra kommuner</t>
        </r>
        <r>
          <rPr>
            <sz val="8"/>
            <color indexed="81"/>
            <rFont val="Tahoma"/>
            <family val="2"/>
          </rPr>
          <t xml:space="preserve">. Här ingår aktiebolag (orgnr 556 och 516), handelsbolag (orgnr börjar med 9), ekonomiska föreningar (orgnr börjar med 7) samt enskild firma (19+personnummer). 
</t>
        </r>
      </text>
    </comment>
    <comment ref="G5" authorId="0" shapeId="0" xr:uid="{00000000-0006-0000-0700-000005000000}">
      <text>
        <r>
          <rPr>
            <b/>
            <sz val="8"/>
            <color indexed="81"/>
            <rFont val="Tahoma"/>
            <family val="2"/>
          </rPr>
          <t xml:space="preserve">SCB:
</t>
        </r>
        <r>
          <rPr>
            <sz val="8"/>
            <color indexed="81"/>
            <rFont val="Tahoma"/>
            <family val="2"/>
          </rPr>
          <t xml:space="preserve">Kommuner har organisationsnummer som börjar på 2120.
</t>
        </r>
      </text>
    </comment>
    <comment ref="H5" authorId="0" shapeId="0" xr:uid="{00000000-0006-0000-0700-000006000000}">
      <text>
        <r>
          <rPr>
            <b/>
            <sz val="8"/>
            <color indexed="81"/>
            <rFont val="Tahoma"/>
            <family val="2"/>
          </rPr>
          <t>SCB:</t>
        </r>
        <r>
          <rPr>
            <sz val="8"/>
            <color indexed="81"/>
            <rFont val="Tahoma"/>
            <family val="2"/>
          </rPr>
          <t xml:space="preserve">
Landsting/regioner har organisationsnummer som börjar på 2321.</t>
        </r>
      </text>
    </comment>
    <comment ref="I5" authorId="0" shapeId="0" xr:uid="{00000000-0006-0000-0700-000007000000}">
      <text>
        <r>
          <rPr>
            <b/>
            <sz val="8"/>
            <color indexed="81"/>
            <rFont val="Tahoma"/>
            <family val="2"/>
          </rPr>
          <t xml:space="preserve">SCB:
</t>
        </r>
        <r>
          <rPr>
            <sz val="8"/>
            <color indexed="81"/>
            <rFont val="Tahoma"/>
            <family val="2"/>
          </rPr>
          <t>Med staten avses statliga myndigheter, allmänna försäkringskassor m m vars organisationsnummer börjar med 2021, 2022, 2420 och 2620.</t>
        </r>
      </text>
    </comment>
    <comment ref="J5" authorId="0" shapeId="0" xr:uid="{00000000-0006-0000-0700-000008000000}">
      <text>
        <r>
          <rPr>
            <b/>
            <sz val="8"/>
            <color indexed="81"/>
            <rFont val="Tahoma"/>
            <family val="2"/>
          </rPr>
          <t xml:space="preserve">SCB:
</t>
        </r>
        <r>
          <rPr>
            <sz val="8"/>
            <color indexed="81"/>
            <rFont val="Tahoma"/>
            <family val="2"/>
          </rPr>
          <t xml:space="preserve">Dessa kan ibland identifieras genom personnummer. Avser enskilda personer och hushåll, inte enskilda företag. Enskilda företag ingår i kol. F.
</t>
        </r>
      </text>
    </comment>
    <comment ref="K5" authorId="0" shapeId="0" xr:uid="{00000000-0006-0000-0700-000009000000}">
      <text>
        <r>
          <rPr>
            <b/>
            <sz val="8"/>
            <color indexed="81"/>
            <rFont val="Tahoma"/>
            <family val="2"/>
          </rPr>
          <t>SCB:</t>
        </r>
        <r>
          <rPr>
            <sz val="8"/>
            <color indexed="81"/>
            <rFont val="Tahoma"/>
            <family val="2"/>
          </rPr>
          <t xml:space="preserve">
Kommunalförbundens organisationsnummer börjar på 2220. Här ska även Sveriges Kommuner och Regioner (SKR) redovisas.</t>
        </r>
      </text>
    </comment>
    <comment ref="L5" authorId="1" shapeId="0" xr:uid="{00000000-0006-0000-0700-00000A000000}">
      <text>
        <r>
          <rPr>
            <b/>
            <sz val="8"/>
            <color indexed="81"/>
            <rFont val="Tahoma"/>
            <family val="2"/>
          </rPr>
          <t xml:space="preserve">SCB: </t>
        </r>
        <r>
          <rPr>
            <sz val="8"/>
            <color indexed="81"/>
            <rFont val="Tahoma"/>
            <family val="2"/>
          </rPr>
          <t>Handel med utlandet beror på var det ekonomiska intressecentrat ligger. Dvs med utgångspunkt från det land där enheten har sin stadigvarande verksamhet. Exempelvis är ett svenskt företags dotterbolag eller filial med stadigvarande verksamhet i utlandet en utländsk enhet.</t>
        </r>
      </text>
    </comment>
    <comment ref="O5" authorId="0" shapeId="0" xr:uid="{00000000-0006-0000-0700-00000B000000}">
      <text>
        <r>
          <rPr>
            <b/>
            <sz val="8"/>
            <color indexed="81"/>
            <rFont val="Tahoma"/>
            <family val="2"/>
          </rPr>
          <t xml:space="preserve">SCB:
</t>
        </r>
        <r>
          <rPr>
            <sz val="8"/>
            <color indexed="81"/>
            <rFont val="Tahoma"/>
            <family val="2"/>
          </rPr>
          <t xml:space="preserve">Med föreningar och stiftelser avses de vars organisationsnummer börjar på 8 samt kyrkor (som har organisationsnummer som börjar på 2520). De stiftelser som ingår i ”kommunkoncernen” redovisas dock under kommunägda företag. 
</t>
        </r>
      </text>
    </comment>
    <comment ref="P5" authorId="0" shapeId="0" xr:uid="{00000000-0006-0000-0700-00000C000000}">
      <text>
        <r>
          <rPr>
            <b/>
            <sz val="8"/>
            <color indexed="81"/>
            <rFont val="Tahoma"/>
            <family val="2"/>
          </rPr>
          <t xml:space="preserve">SCB:
</t>
        </r>
        <r>
          <rPr>
            <sz val="8"/>
            <color indexed="81"/>
            <rFont val="Tahoma"/>
            <family val="2"/>
          </rPr>
          <t xml:space="preserve">Med kommunägda företag avses företag som ingår i kommunkoncernen. </t>
        </r>
      </text>
    </comment>
    <comment ref="Q5" authorId="0" shapeId="0" xr:uid="{00000000-0006-0000-0700-00000D000000}">
      <text>
        <r>
          <rPr>
            <b/>
            <sz val="8"/>
            <color indexed="81"/>
            <rFont val="Tahoma"/>
            <family val="2"/>
          </rPr>
          <t xml:space="preserve">SCB:
</t>
        </r>
        <r>
          <rPr>
            <sz val="8"/>
            <color indexed="81"/>
            <rFont val="Tahoma"/>
            <family val="2"/>
          </rPr>
          <t xml:space="preserve">Med privata företag avses alla företag förutom de som tillhör de kommunägda. Här ingår aktiebolag (orgnr 556 och 516), handelsbolag (orgnr börjar med 9), ekonomiska föreningar (orgnr börjar med 7) samt enskild firma (19+personnummer). 
</t>
        </r>
      </text>
    </comment>
    <comment ref="R5" authorId="0" shapeId="0" xr:uid="{00000000-0006-0000-0700-00000E000000}">
      <text>
        <r>
          <rPr>
            <b/>
            <sz val="8"/>
            <color indexed="81"/>
            <rFont val="Tahoma"/>
            <family val="2"/>
          </rPr>
          <t xml:space="preserve">SCB:
</t>
        </r>
        <r>
          <rPr>
            <sz val="8"/>
            <color indexed="81"/>
            <rFont val="Tahoma"/>
            <family val="2"/>
          </rPr>
          <t xml:space="preserve">Kommuner har organisationsnummer som börjar på 2120.
</t>
        </r>
      </text>
    </comment>
    <comment ref="S5" authorId="0" shapeId="0" xr:uid="{00000000-0006-0000-0700-00000F000000}">
      <text>
        <r>
          <rPr>
            <b/>
            <sz val="8"/>
            <color indexed="81"/>
            <rFont val="Tahoma"/>
            <family val="2"/>
          </rPr>
          <t>SCB:</t>
        </r>
        <r>
          <rPr>
            <sz val="8"/>
            <color indexed="81"/>
            <rFont val="Tahoma"/>
            <family val="2"/>
          </rPr>
          <t xml:space="preserve">
Regioner har organisationsnummer som börjar på 2321.</t>
        </r>
      </text>
    </comment>
    <comment ref="T5" authorId="0" shapeId="0" xr:uid="{00000000-0006-0000-0700-000010000000}">
      <text>
        <r>
          <rPr>
            <b/>
            <sz val="8"/>
            <color indexed="81"/>
            <rFont val="Tahoma"/>
            <family val="2"/>
          </rPr>
          <t>SCB:</t>
        </r>
        <r>
          <rPr>
            <sz val="8"/>
            <color indexed="81"/>
            <rFont val="Tahoma"/>
            <family val="2"/>
          </rPr>
          <t xml:space="preserve">
Kommunalförbundens organisationsnummer börjar på 2220. Här ska även Sveriges Kommuner och Regioner (SKR) redovisas.</t>
        </r>
      </text>
    </comment>
    <comment ref="U5" authorId="0" shapeId="0" xr:uid="{00000000-0006-0000-0700-000011000000}">
      <text>
        <r>
          <rPr>
            <b/>
            <sz val="8"/>
            <color indexed="81"/>
            <rFont val="Tahoma"/>
            <family val="2"/>
          </rPr>
          <t xml:space="preserve">SCB:
</t>
        </r>
        <r>
          <rPr>
            <sz val="8"/>
            <color indexed="81"/>
            <rFont val="Tahoma"/>
            <family val="2"/>
          </rPr>
          <t>Med staten avses statliga myndigheter, allmänna försäkringskassor m.m. vars organisationsnummer börjar med 2021, 2022, 2420 och 2620.</t>
        </r>
      </text>
    </comment>
    <comment ref="V5" authorId="0" shapeId="0" xr:uid="{00000000-0006-0000-0700-000012000000}">
      <text>
        <r>
          <rPr>
            <b/>
            <sz val="8"/>
            <color indexed="81"/>
            <rFont val="Tahoma"/>
            <family val="2"/>
          </rPr>
          <t xml:space="preserve">SCB:
</t>
        </r>
        <r>
          <rPr>
            <sz val="8"/>
            <color indexed="81"/>
            <rFont val="Tahoma"/>
            <family val="2"/>
          </rPr>
          <t xml:space="preserve">Dessa kan ibland identifieras genom personnummer. Avser enskilda personer och hushåll, inte enskilda företag. Enskilda företag ingår i kol. Q.
</t>
        </r>
      </text>
    </comment>
    <comment ref="W5" authorId="1" shapeId="0" xr:uid="{00000000-0006-0000-0700-000013000000}">
      <text>
        <r>
          <rPr>
            <b/>
            <sz val="8"/>
            <color indexed="81"/>
            <rFont val="Tahoma"/>
            <family val="2"/>
          </rPr>
          <t xml:space="preserve">SCB: </t>
        </r>
        <r>
          <rPr>
            <sz val="8"/>
            <color indexed="81"/>
            <rFont val="Tahoma"/>
            <family val="2"/>
          </rPr>
          <t>Handel med utlandet beror på var det ekonomiska intressecentrat ligger. Dvs med utgångspunkt från det land där enheten har sin stadigvarande verksamhet. Exempelvis är ett svenskt företags dotterbolag eller filial med stadigvarande verksamhet i utlandet en utländsk enhet.</t>
        </r>
      </text>
    </comment>
    <comment ref="U6" authorId="2" shapeId="0" xr:uid="{00000000-0006-0000-0700-000014000000}">
      <text>
        <r>
          <rPr>
            <b/>
            <sz val="9"/>
            <color indexed="81"/>
            <rFont val="Tahoma"/>
            <family val="2"/>
          </rPr>
          <t xml:space="preserve">SCB:
</t>
        </r>
        <r>
          <rPr>
            <sz val="8"/>
            <color indexed="81"/>
            <rFont val="Tahoma"/>
            <family val="2"/>
          </rPr>
          <t>Inklusive konto 4538, Kostnader avseende ersättning för personliga assistenter och konto 454, Bidrag till statlig infrastruktur</t>
        </r>
        <r>
          <rPr>
            <sz val="9"/>
            <color indexed="81"/>
            <rFont val="Tahoma"/>
            <family val="2"/>
          </rPr>
          <t xml:space="preserve">
</t>
        </r>
      </text>
    </comment>
    <comment ref="AD6" authorId="3" shapeId="0" xr:uid="{00000000-0006-0000-0700-000015000000}">
      <text>
        <r>
          <rPr>
            <b/>
            <sz val="8"/>
            <color indexed="81"/>
            <rFont val="Tahoma"/>
            <family val="2"/>
          </rPr>
          <t>SCB:</t>
        </r>
        <r>
          <rPr>
            <sz val="8"/>
            <color indexed="81"/>
            <rFont val="Tahoma"/>
            <family val="2"/>
          </rPr>
          <t xml:space="preserve">
Summan av beloppen i de fem kolumnerna Y, Z, AA, AB och AC på en rad här ska inte vara större än beloppet för motsvarande verksamhet i driftredovisningen.</t>
        </r>
      </text>
    </comment>
    <comment ref="B19" authorId="4" shapeId="0" xr:uid="{708AE500-A1CA-43DF-8D93-057CE714D664}">
      <text>
        <r>
          <rPr>
            <b/>
            <sz val="9"/>
            <color indexed="81"/>
            <rFont val="Tahoma"/>
            <family val="2"/>
          </rPr>
          <t xml:space="preserve">SCB: </t>
        </r>
        <r>
          <rPr>
            <sz val="9"/>
            <color indexed="81"/>
            <rFont val="Tahoma"/>
            <family val="2"/>
          </rPr>
          <t>Namnändring, tidigare grundsärskola</t>
        </r>
        <r>
          <rPr>
            <sz val="9"/>
            <color indexed="81"/>
            <rFont val="Tahoma"/>
            <family val="2"/>
          </rPr>
          <t xml:space="preserve">
</t>
        </r>
      </text>
    </comment>
    <comment ref="B21" authorId="4" shapeId="0" xr:uid="{F99F78D7-9D80-41D0-AE9B-8E9601AC4241}">
      <text>
        <r>
          <rPr>
            <b/>
            <sz val="9"/>
            <color indexed="81"/>
            <rFont val="Tahoma"/>
            <family val="2"/>
          </rPr>
          <t xml:space="preserve">SCB: </t>
        </r>
        <r>
          <rPr>
            <sz val="9"/>
            <color indexed="81"/>
            <rFont val="Tahoma"/>
            <family val="2"/>
          </rPr>
          <t xml:space="preserve">Namnändring, tidigare gymnasiesärskola.
</t>
        </r>
      </text>
    </comment>
    <comment ref="B24" authorId="5" shapeId="0" xr:uid="{445BBDD0-2E53-4F3D-B9E2-82D314D0CD22}">
      <text>
        <r>
          <rPr>
            <b/>
            <sz val="9"/>
            <color indexed="81"/>
            <rFont val="Tahoma"/>
            <family val="2"/>
          </rPr>
          <t xml:space="preserve">SCB: </t>
        </r>
        <r>
          <rPr>
            <sz val="9"/>
            <color indexed="81"/>
            <rFont val="Tahoma"/>
            <family val="2"/>
          </rPr>
          <t xml:space="preserve">
Namnändring, tidigare Särskild utbildning för vuxna</t>
        </r>
      </text>
    </comment>
    <comment ref="J41" authorId="2" shapeId="0" xr:uid="{00000000-0006-0000-0700-00001A000000}">
      <text>
        <r>
          <rPr>
            <b/>
            <sz val="9"/>
            <color indexed="81"/>
            <rFont val="Tahoma"/>
            <family val="2"/>
          </rPr>
          <t xml:space="preserve">SCB:
</t>
        </r>
        <r>
          <rPr>
            <sz val="8"/>
            <color indexed="81"/>
            <rFont val="Tahoma"/>
            <family val="2"/>
          </rPr>
          <t xml:space="preserve">Köp av huvudverksamhet från enskilda personer, hushåll borde inte förekomma, det borde röra sig om köp från enskild firma och därmed ingå i kolumn F, Privata företag.
Alternativt rör det sig om placering hos privatpersoner och redovisningen sker då på konto 504, Uppdragstagare och 553, Omkostnadsersättning 
</t>
        </r>
        <r>
          <rPr>
            <sz val="9"/>
            <color indexed="81"/>
            <rFont val="Tahoma"/>
            <family val="2"/>
          </rPr>
          <t xml:space="preserve">
</t>
        </r>
      </text>
    </comment>
    <comment ref="L41" authorId="2" shapeId="0" xr:uid="{00000000-0006-0000-0700-00001B000000}">
      <text>
        <r>
          <rPr>
            <b/>
            <sz val="9"/>
            <color indexed="81"/>
            <rFont val="Tahoma"/>
            <family val="2"/>
          </rPr>
          <t xml:space="preserve">SCB:
</t>
        </r>
        <r>
          <rPr>
            <sz val="8"/>
            <color indexed="81"/>
            <rFont val="Tahoma"/>
            <family val="2"/>
          </rPr>
          <t xml:space="preserve">SCB behöver information om vad köp av huvudverksamhet från utlandet avser.Kommenera i kommentarrutan </t>
        </r>
        <r>
          <rPr>
            <sz val="9"/>
            <color indexed="81"/>
            <rFont val="Tahoma"/>
            <family val="2"/>
          </rPr>
          <t xml:space="preserve">
</t>
        </r>
      </text>
    </comment>
    <comment ref="M41" authorId="3" shapeId="0" xr:uid="{00000000-0006-0000-0700-00001C000000}">
      <text>
        <r>
          <rPr>
            <b/>
            <sz val="8"/>
            <color indexed="81"/>
            <rFont val="Tahoma"/>
            <family val="2"/>
          </rPr>
          <t xml:space="preserve">SCB: </t>
        </r>
        <r>
          <rPr>
            <sz val="8"/>
            <color indexed="81"/>
            <rFont val="Tahoma"/>
            <family val="2"/>
          </rPr>
          <t xml:space="preserve">Det ska inte finnas några differenser i kolumn M, dvs. 
mellan drift- och motpartsredovisning. </t>
        </r>
        <r>
          <rPr>
            <sz val="8"/>
            <color indexed="81"/>
            <rFont val="Tahoma"/>
            <family val="2"/>
          </rPr>
          <t xml:space="preserve">
</t>
        </r>
      </text>
    </comment>
    <comment ref="X41" authorId="3" shapeId="0" xr:uid="{00000000-0006-0000-0700-00001D000000}">
      <text>
        <r>
          <rPr>
            <b/>
            <sz val="8"/>
            <color indexed="81"/>
            <rFont val="Tahoma"/>
            <family val="2"/>
          </rPr>
          <t>SCB:</t>
        </r>
        <r>
          <rPr>
            <sz val="8"/>
            <color indexed="81"/>
            <rFont val="Tahoma"/>
            <family val="2"/>
          </rPr>
          <t xml:space="preserve">
Det ska inte finnas några diffensbelopp i kolmun X, dvs. mellan drift- och motpartsredovisning
</t>
        </r>
      </text>
    </comment>
    <comment ref="U42" authorId="3" shapeId="0" xr:uid="{00000000-0006-0000-0700-00001E000000}">
      <text>
        <r>
          <rPr>
            <b/>
            <sz val="8"/>
            <color indexed="81"/>
            <rFont val="Tahoma"/>
            <family val="2"/>
          </rPr>
          <t>SCB:</t>
        </r>
        <r>
          <rPr>
            <sz val="8"/>
            <color indexed="81"/>
            <rFont val="Tahoma"/>
            <family val="2"/>
          </rPr>
          <t xml:space="preserve">
Ersättning till FK för personlig assistent ska redovisas på rad 513 i kol.U. Felkontrollen visas om beloppet här (rad 513 kolumn U) är mindre än beloppet på rad 630 i avdelning Verksamhetens intäkter och kostnader.
</t>
        </r>
      </text>
    </comment>
    <comment ref="V43" authorId="2" shapeId="0" xr:uid="{00000000-0006-0000-0700-00001F000000}">
      <text>
        <r>
          <rPr>
            <b/>
            <sz val="9"/>
            <color indexed="81"/>
            <rFont val="Tahoma"/>
            <family val="2"/>
          </rPr>
          <t xml:space="preserve">SCB:
</t>
        </r>
        <r>
          <rPr>
            <sz val="8"/>
            <color indexed="81"/>
            <rFont val="Tahoma"/>
            <family val="2"/>
          </rPr>
          <t>Ekonomisk bistånd på rad 580 borde till största del redovisas i kolumn kolum V Enskilda personer, hushåll.</t>
        </r>
        <r>
          <rPr>
            <sz val="9"/>
            <color indexed="81"/>
            <rFont val="Tahoma"/>
            <family val="2"/>
          </rPr>
          <t xml:space="preserve">
</t>
        </r>
      </text>
    </comment>
    <comment ref="Y43" authorId="3" shapeId="0" xr:uid="{00000000-0006-0000-0700-000020000000}">
      <text>
        <r>
          <rPr>
            <b/>
            <sz val="8"/>
            <color indexed="81"/>
            <rFont val="Tahoma"/>
            <family val="2"/>
          </rPr>
          <t>SCB:</t>
        </r>
        <r>
          <rPr>
            <sz val="8"/>
            <color indexed="81"/>
            <rFont val="Tahoma"/>
            <family val="2"/>
          </rPr>
          <t xml:space="preserve">
Summeringen i kolumn Y  överensstämmer inte med motsvarande konto (361, motpart kommun och motpart kommunalförbund) avdelning Verksamhetens intäkter och kostnader.</t>
        </r>
      </text>
    </comment>
    <comment ref="Z43" authorId="3" shapeId="0" xr:uid="{00000000-0006-0000-0700-000021000000}">
      <text>
        <r>
          <rPr>
            <b/>
            <sz val="8"/>
            <color indexed="81"/>
            <rFont val="Tahoma"/>
            <family val="2"/>
          </rPr>
          <t>SCB:</t>
        </r>
        <r>
          <rPr>
            <sz val="8"/>
            <color indexed="81"/>
            <rFont val="Tahoma"/>
            <family val="2"/>
          </rPr>
          <t xml:space="preserve">
Summeringen i kolumn Z överensstämmer inte med motsvarande konto (361, motpart region) i avdelning Verksamhetens intäkter och kostnader.</t>
        </r>
      </text>
    </comment>
    <comment ref="AA43" authorId="3" shapeId="0" xr:uid="{00000000-0006-0000-0700-000022000000}">
      <text>
        <r>
          <rPr>
            <b/>
            <sz val="8"/>
            <color indexed="81"/>
            <rFont val="Tahoma"/>
            <family val="2"/>
          </rPr>
          <t>SCB:</t>
        </r>
        <r>
          <rPr>
            <sz val="8"/>
            <color indexed="81"/>
            <rFont val="Tahoma"/>
            <family val="2"/>
          </rPr>
          <t xml:space="preserve">
Summeringen i kolumn AA överensstämmer inte med summeringen av motsvarande konto (351, motpart 81) i avdelning Verksamhetens intäkter och kostnader.</t>
        </r>
      </text>
    </comment>
    <comment ref="AB43" authorId="3" shapeId="0" xr:uid="{00000000-0006-0000-0700-000023000000}">
      <text>
        <r>
          <rPr>
            <b/>
            <sz val="8"/>
            <color indexed="81"/>
            <rFont val="Tahoma"/>
            <family val="2"/>
          </rPr>
          <t>SCB:</t>
        </r>
        <r>
          <rPr>
            <sz val="8"/>
            <color indexed="81"/>
            <rFont val="Tahoma"/>
            <family val="2"/>
          </rPr>
          <t xml:space="preserve">
Summeringen i kolumn AB  överensstämmer inte med motsvarande konto (358) i avdelning Verksamhetens intäkter och kostnader.</t>
        </r>
      </text>
    </comment>
    <comment ref="AC43" authorId="3" shapeId="0" xr:uid="{00000000-0006-0000-0700-000024000000}">
      <text>
        <r>
          <rPr>
            <b/>
            <sz val="8"/>
            <color indexed="81"/>
            <rFont val="Tahoma"/>
            <family val="2"/>
          </rPr>
          <t>SCB:</t>
        </r>
        <r>
          <rPr>
            <sz val="8"/>
            <color indexed="81"/>
            <rFont val="Tahoma"/>
            <family val="2"/>
          </rPr>
          <t xml:space="preserve">
Summeringen i kolumn AC överensstämmer inte med motsvarande summering av kontona (342, 351(ej motpart 81), 354, 356, 357, 359) i avdelning Verksamhetens intäkter och k</t>
        </r>
        <r>
          <rPr>
            <sz val="8"/>
            <color indexed="81"/>
            <rFont val="Tahoma"/>
            <family val="2"/>
          </rPr>
          <t xml:space="preserve">ostnader.
</t>
        </r>
      </text>
    </comment>
    <comment ref="D44" authorId="6" shapeId="0" xr:uid="{00000000-0006-0000-0700-000025000000}">
      <text>
        <r>
          <rPr>
            <b/>
            <sz val="8"/>
            <color indexed="81"/>
            <rFont val="Tahoma"/>
            <family val="2"/>
          </rPr>
          <t>SCB:</t>
        </r>
        <r>
          <rPr>
            <sz val="8"/>
            <color indexed="81"/>
            <rFont val="Tahoma"/>
            <family val="2"/>
          </rPr>
          <t xml:space="preserve">
Rad 552 är en därav-rad och beloppet ska inte vara större än beloppet på huvud-rad 559.</t>
        </r>
      </text>
    </comment>
    <comment ref="F44" authorId="3" shapeId="0" xr:uid="{00000000-0006-0000-0700-000026000000}">
      <text>
        <r>
          <rPr>
            <b/>
            <sz val="8"/>
            <color indexed="81"/>
            <rFont val="Tahoma"/>
            <family val="2"/>
          </rPr>
          <t>SCB:</t>
        </r>
        <r>
          <rPr>
            <sz val="8"/>
            <color indexed="81"/>
            <rFont val="Tahoma"/>
            <family val="2"/>
          </rPr>
          <t xml:space="preserve">
Kontrollen visas då någon eller några av cellerna på därav-rad 552 är tom(ma). Om det inte förekommer köp av verksmhet ska cellerna besvaras med 0(noll)</t>
        </r>
      </text>
    </comment>
    <comment ref="I44" authorId="6" shapeId="0" xr:uid="{00000000-0006-0000-0700-000027000000}">
      <text>
        <r>
          <rPr>
            <b/>
            <sz val="8"/>
            <color indexed="81"/>
            <rFont val="Tahoma"/>
            <family val="2"/>
          </rPr>
          <t>SCB:</t>
        </r>
        <r>
          <rPr>
            <sz val="8"/>
            <color indexed="81"/>
            <rFont val="Tahoma"/>
            <family val="2"/>
          </rPr>
          <t xml:space="preserve">
Rad 552 är en därav-rad och beloppet ska inte vara större än beloppet på huvud-rad 559.</t>
        </r>
      </text>
    </comment>
    <comment ref="K44" authorId="3" shapeId="0" xr:uid="{00000000-0006-0000-0700-000028000000}">
      <text>
        <r>
          <rPr>
            <b/>
            <sz val="8"/>
            <color indexed="81"/>
            <rFont val="Tahoma"/>
            <family val="2"/>
          </rPr>
          <t>SCB:</t>
        </r>
        <r>
          <rPr>
            <sz val="8"/>
            <color indexed="81"/>
            <rFont val="Tahoma"/>
            <family val="2"/>
          </rPr>
          <t xml:space="preserve">
Kontrollen visas då någon eller några av cellerna på därav-rad 552 är tom(ma). Om det inte förekommer köp av verksmhet ska cellerna besvaras med 0(noll)</t>
        </r>
      </text>
    </comment>
    <comment ref="O44" authorId="6" shapeId="0" xr:uid="{00000000-0006-0000-0700-000029000000}">
      <text>
        <r>
          <rPr>
            <b/>
            <sz val="8"/>
            <color indexed="81"/>
            <rFont val="Tahoma"/>
            <family val="2"/>
          </rPr>
          <t>SCB:</t>
        </r>
        <r>
          <rPr>
            <sz val="8"/>
            <color indexed="81"/>
            <rFont val="Tahoma"/>
            <family val="2"/>
          </rPr>
          <t xml:space="preserve">
Rad 552 är en därav-rad och beloppet ska inte vara större än beloppet på huvud-rad 559.</t>
        </r>
      </text>
    </comment>
    <comment ref="Q44" authorId="3" shapeId="0" xr:uid="{00000000-0006-0000-0700-00002A000000}">
      <text>
        <r>
          <rPr>
            <b/>
            <sz val="8"/>
            <color indexed="81"/>
            <rFont val="Tahoma"/>
            <family val="2"/>
          </rPr>
          <t>SCB:</t>
        </r>
        <r>
          <rPr>
            <sz val="8"/>
            <color indexed="81"/>
            <rFont val="Tahoma"/>
            <family val="2"/>
          </rPr>
          <t xml:space="preserve">
Kontrollen visas då någon eller några av cellerna på därav-rad 552 är tom(ma). Om det inte förekommer köp av verksmhet ska cellerna besvaras med 0(noll)</t>
        </r>
      </text>
    </comment>
    <comment ref="S44" authorId="6" shapeId="0" xr:uid="{00000000-0006-0000-0700-00002B000000}">
      <text>
        <r>
          <rPr>
            <b/>
            <sz val="8"/>
            <color indexed="81"/>
            <rFont val="Tahoma"/>
            <family val="2"/>
          </rPr>
          <t>SCB:</t>
        </r>
        <r>
          <rPr>
            <sz val="8"/>
            <color indexed="81"/>
            <rFont val="Tahoma"/>
            <family val="2"/>
          </rPr>
          <t xml:space="preserve">
Rad 552 är en därav-rad och beloppet ska inte vara större än beloppet på huvud-rad 559.</t>
        </r>
      </text>
    </comment>
    <comment ref="T44" authorId="3" shapeId="0" xr:uid="{00000000-0006-0000-0700-00002C000000}">
      <text>
        <r>
          <rPr>
            <b/>
            <sz val="8"/>
            <color indexed="81"/>
            <rFont val="Tahoma"/>
            <family val="2"/>
          </rPr>
          <t>SCB:</t>
        </r>
        <r>
          <rPr>
            <sz val="8"/>
            <color indexed="81"/>
            <rFont val="Tahoma"/>
            <family val="2"/>
          </rPr>
          <t xml:space="preserve">
Kontrollen visas då någon eller några av cellerna på därav-rad 552 är tom(ma). Om det inte förekommer köp av verksmhet ska cellerna besvaras med 0(noll)</t>
        </r>
      </text>
    </comment>
    <comment ref="X44" authorId="6" shapeId="0" xr:uid="{00000000-0006-0000-0700-00002D000000}">
      <text>
        <r>
          <rPr>
            <b/>
            <sz val="8"/>
            <color indexed="81"/>
            <rFont val="Tahoma"/>
            <family val="2"/>
          </rPr>
          <t>SCB:</t>
        </r>
        <r>
          <rPr>
            <sz val="8"/>
            <color indexed="81"/>
            <rFont val="Tahoma"/>
            <family val="2"/>
          </rPr>
          <t xml:space="preserve">
Avser kolumnerna Y-AC: Rad 552 är en därav-rad och beloppet ska inte vara större än beloppet på huvud-rad 559.
</t>
        </r>
      </text>
    </comment>
    <comment ref="Y44" authorId="3" shapeId="0" xr:uid="{00000000-0006-0000-0700-00002E000000}">
      <text>
        <r>
          <rPr>
            <b/>
            <sz val="8"/>
            <color indexed="81"/>
            <rFont val="Tahoma"/>
            <family val="2"/>
          </rPr>
          <t>SCB:</t>
        </r>
        <r>
          <rPr>
            <sz val="8"/>
            <color indexed="81"/>
            <rFont val="Tahoma"/>
            <family val="2"/>
          </rPr>
          <t xml:space="preserve">
Kontrollerna på denna rad visas när det på därav-rad 552 saknas något eller några belopp. Finns det inga intäkter att redovisa ska cellerna besvaras med 0 (noll)
</t>
        </r>
      </text>
    </comment>
    <comment ref="D45" authorId="6" shapeId="0" xr:uid="{00000000-0006-0000-0700-00002F000000}">
      <text>
        <r>
          <rPr>
            <b/>
            <sz val="8"/>
            <color indexed="81"/>
            <rFont val="Tahoma"/>
            <family val="2"/>
          </rPr>
          <t>SCB:</t>
        </r>
        <r>
          <rPr>
            <sz val="8"/>
            <color indexed="81"/>
            <rFont val="Tahoma"/>
            <family val="2"/>
          </rPr>
          <t xml:space="preserve">
Rad 554 är en därav-rad och beloppet ska inte vara större än beloppet på huvud-rad 569.</t>
        </r>
      </text>
    </comment>
    <comment ref="F45" authorId="3" shapeId="0" xr:uid="{00000000-0006-0000-0700-000030000000}">
      <text>
        <r>
          <rPr>
            <b/>
            <sz val="8"/>
            <color indexed="81"/>
            <rFont val="Tahoma"/>
            <family val="2"/>
          </rPr>
          <t>SCB:</t>
        </r>
        <r>
          <rPr>
            <sz val="8"/>
            <color indexed="81"/>
            <rFont val="Tahoma"/>
            <family val="2"/>
          </rPr>
          <t xml:space="preserve">
Kontrollen visas då någon eller några av cellerna på därav-rad 554 är tom(ma). Om det inte förekommer köp av verksmhet ska cellerna besvaras med 0(noll)</t>
        </r>
      </text>
    </comment>
    <comment ref="I45" authorId="6" shapeId="0" xr:uid="{00000000-0006-0000-0700-000031000000}">
      <text>
        <r>
          <rPr>
            <b/>
            <sz val="8"/>
            <color indexed="81"/>
            <rFont val="Tahoma"/>
            <family val="2"/>
          </rPr>
          <t>SCB:</t>
        </r>
        <r>
          <rPr>
            <sz val="8"/>
            <color indexed="81"/>
            <rFont val="Tahoma"/>
            <family val="2"/>
          </rPr>
          <t xml:space="preserve">
Rad 554 är en därav-rad och beloppet ska inte vara större än beloppet på huvud-rad 569.</t>
        </r>
      </text>
    </comment>
    <comment ref="K45" authorId="3" shapeId="0" xr:uid="{00000000-0006-0000-0700-000032000000}">
      <text>
        <r>
          <rPr>
            <b/>
            <sz val="8"/>
            <color indexed="81"/>
            <rFont val="Tahoma"/>
            <family val="2"/>
          </rPr>
          <t>SCB:</t>
        </r>
        <r>
          <rPr>
            <sz val="8"/>
            <color indexed="81"/>
            <rFont val="Tahoma"/>
            <family val="2"/>
          </rPr>
          <t xml:space="preserve">
Kontrollen visas då någon eller några av cellerna på därav-rad 554 är tom(ma). Om det inte förekommer köp av verksmhet ska cellerna besvaras med 0(noll)</t>
        </r>
      </text>
    </comment>
    <comment ref="O45" authorId="6" shapeId="0" xr:uid="{00000000-0006-0000-0700-000033000000}">
      <text>
        <r>
          <rPr>
            <b/>
            <sz val="8"/>
            <color indexed="81"/>
            <rFont val="Tahoma"/>
            <family val="2"/>
          </rPr>
          <t>SCB:</t>
        </r>
        <r>
          <rPr>
            <sz val="8"/>
            <color indexed="81"/>
            <rFont val="Tahoma"/>
            <family val="2"/>
          </rPr>
          <t xml:space="preserve">
Rad 554 är en därav-rad och beloppet ska inte vara större än beloppet på huvud-rad 569.</t>
        </r>
      </text>
    </comment>
    <comment ref="Q45" authorId="3" shapeId="0" xr:uid="{00000000-0006-0000-0700-000034000000}">
      <text>
        <r>
          <rPr>
            <b/>
            <sz val="8"/>
            <color indexed="81"/>
            <rFont val="Tahoma"/>
            <family val="2"/>
          </rPr>
          <t>SCB:</t>
        </r>
        <r>
          <rPr>
            <sz val="8"/>
            <color indexed="81"/>
            <rFont val="Tahoma"/>
            <family val="2"/>
          </rPr>
          <t xml:space="preserve">
Kontrollen visas då någon eller några av cellerna på därav-rad 554 är tom(ma). Om det inte förekommer köp av verksmhet ska cellerna besvaras med 0(noll)</t>
        </r>
      </text>
    </comment>
    <comment ref="S45" authorId="6" shapeId="0" xr:uid="{00000000-0006-0000-0700-000035000000}">
      <text>
        <r>
          <rPr>
            <b/>
            <sz val="8"/>
            <color indexed="81"/>
            <rFont val="Tahoma"/>
            <family val="2"/>
          </rPr>
          <t>SCB:</t>
        </r>
        <r>
          <rPr>
            <sz val="8"/>
            <color indexed="81"/>
            <rFont val="Tahoma"/>
            <family val="2"/>
          </rPr>
          <t xml:space="preserve">
Rad 554 är en därav-rad och beloppet ska inte vara större än beloppet på huvud-rad 569.</t>
        </r>
      </text>
    </comment>
    <comment ref="T45" authorId="3" shapeId="0" xr:uid="{00000000-0006-0000-0700-000036000000}">
      <text>
        <r>
          <rPr>
            <b/>
            <sz val="8"/>
            <color indexed="81"/>
            <rFont val="Tahoma"/>
            <family val="2"/>
          </rPr>
          <t>SCB:</t>
        </r>
        <r>
          <rPr>
            <sz val="8"/>
            <color indexed="81"/>
            <rFont val="Tahoma"/>
            <family val="2"/>
          </rPr>
          <t xml:space="preserve">
Kontrollen visas då någon eller några av cellerna på därav-rad 554 är tom(ma). Om det inte förekommer köp av verksmhet ska cellerna besvaras med 0(noll)</t>
        </r>
      </text>
    </comment>
    <comment ref="X45" authorId="6" shapeId="0" xr:uid="{00000000-0006-0000-0700-000037000000}">
      <text>
        <r>
          <rPr>
            <b/>
            <sz val="8"/>
            <color indexed="81"/>
            <rFont val="Tahoma"/>
            <family val="2"/>
          </rPr>
          <t>SCB:</t>
        </r>
        <r>
          <rPr>
            <sz val="8"/>
            <color indexed="81"/>
            <rFont val="Tahoma"/>
            <family val="2"/>
          </rPr>
          <t xml:space="preserve">
Avser kol. Y-AC: Rad 554 är en därav-rad och beloppet ska inte vara större än beloppet på huvud-rad 569.
</t>
        </r>
      </text>
    </comment>
    <comment ref="Y45" authorId="3" shapeId="0" xr:uid="{00000000-0006-0000-0700-000038000000}">
      <text>
        <r>
          <rPr>
            <b/>
            <sz val="8"/>
            <color indexed="81"/>
            <rFont val="Tahoma"/>
            <family val="2"/>
          </rPr>
          <t>SCB:</t>
        </r>
        <r>
          <rPr>
            <sz val="8"/>
            <color indexed="81"/>
            <rFont val="Tahoma"/>
            <family val="2"/>
          </rPr>
          <t xml:space="preserve">
Kontrollerna på denna rad visas när det på därav-rad 554
 saknas något eller några belopp. Finns det inga intäkter att redovisa ska cellerna besvaras med 0 (noll).
</t>
        </r>
      </text>
    </comment>
    <comment ref="AC46" authorId="3" shapeId="0" xr:uid="{00000000-0006-0000-0700-000039000000}">
      <text>
        <r>
          <rPr>
            <b/>
            <sz val="8"/>
            <color indexed="81"/>
            <rFont val="Tahoma"/>
            <family val="2"/>
          </rPr>
          <t xml:space="preserve">SCB:
</t>
        </r>
        <r>
          <rPr>
            <sz val="8"/>
            <color indexed="81"/>
            <rFont val="Tahoma"/>
            <family val="2"/>
          </rPr>
          <t>Ersättning från FK för personlig assistent ska redovisas i på rad 513 i kol AC. Felkontrollen visas om beloppet på rad 513 kol. AC är mindre än beloppet på rad 525 i avdelning Verksamhetens sintäkter och kostnader.</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Siegrist Elisabeth DFO/OU-Ö</author>
    <author>scbdoca</author>
    <author>Mundt Henrik D/INS/OFS-Ö</author>
    <author>Henrik Mundt</author>
    <author>scbelin</author>
    <author>Engblom Linnea D/INS/OFS-Ö</author>
  </authors>
  <commentList>
    <comment ref="G2" authorId="0" shapeId="0" xr:uid="{00000000-0006-0000-0800-000001000000}">
      <text>
        <r>
          <rPr>
            <sz val="9"/>
            <color indexed="81"/>
            <rFont val="Tahoma"/>
            <family val="2"/>
          </rPr>
          <t xml:space="preserve">
</t>
        </r>
      </text>
    </comment>
    <comment ref="P8" authorId="1" shapeId="0" xr:uid="{00000000-0006-0000-0800-000002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11" authorId="2" shapeId="0" xr:uid="{C0E6762A-3AB7-4DF1-B651-7AA053A24D5C}">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16" authorId="1" shapeId="0" xr:uid="{00000000-0006-0000-0800-000003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19" authorId="2" shapeId="0" xr:uid="{855BEAA9-F92E-42A6-9BBE-4B03B2E0DE0F}">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24" authorId="1" shapeId="0" xr:uid="{00000000-0006-0000-0800-000004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27" authorId="2" shapeId="0" xr:uid="{0ACA9477-FAA6-4A6C-BE60-7FE759D10406}">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31" authorId="1" shapeId="0" xr:uid="{00000000-0006-0000-0800-000005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35" authorId="2" shapeId="0" xr:uid="{21D892F2-BD32-4E1C-9F96-6E13E91BA7B0}">
      <text>
        <r>
          <rPr>
            <b/>
            <sz val="9"/>
            <color indexed="81"/>
            <rFont val="Tahoma"/>
            <family val="2"/>
          </rPr>
          <t xml:space="preserve">SCB:
</t>
        </r>
        <r>
          <rPr>
            <sz val="9"/>
            <color indexed="81"/>
            <rFont val="Tahoma"/>
            <family val="2"/>
          </rPr>
          <t>Alla kommuner bör ha kostnader för skolskjuts. Observera att kostnader för skolskjuts för elever folkbokförda i kommunen inte ska redovisas som köp av huvudverksamhet utan på raden för Skolskjuts, reseersättningar och inackordering.</t>
        </r>
        <r>
          <rPr>
            <sz val="9"/>
            <color indexed="81"/>
            <rFont val="Tahoma"/>
            <family val="2"/>
          </rPr>
          <t xml:space="preserve">
</t>
        </r>
      </text>
    </comment>
    <comment ref="D37" authorId="2" shapeId="0" xr:uid="{5AA8191A-ADDC-4BFC-9AD2-45B9DA308DD9}">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38" authorId="0" shapeId="0" xr:uid="{00000000-0006-0000-0800-000006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39" authorId="3" shapeId="0" xr:uid="{00000000-0006-0000-0800-000007000000}">
      <text>
        <r>
          <rPr>
            <b/>
            <sz val="9"/>
            <color indexed="81"/>
            <rFont val="Tahoma"/>
            <family val="2"/>
          </rPr>
          <t xml:space="preserve">SCB:
</t>
        </r>
        <r>
          <rPr>
            <sz val="9"/>
            <color indexed="81"/>
            <rFont val="Tahoma"/>
            <family val="2"/>
          </rPr>
          <t>Här redovisas kostnader som är gemensamma för kommunen och som ska fördelas på verksamheten. Kostnader som uppkommer hos barn- och ungdomsförvaltningen
eller motsvarande redovisas inte här utan på rad 408 Övrigt.</t>
        </r>
        <r>
          <rPr>
            <sz val="9"/>
            <color indexed="81"/>
            <rFont val="Tahoma"/>
            <family val="2"/>
          </rPr>
          <t xml:space="preserve">
</t>
        </r>
      </text>
    </comment>
    <comment ref="C40" authorId="4" shapeId="0" xr:uid="{00000000-0006-0000-0800-000008000000}">
      <text>
        <r>
          <rPr>
            <b/>
            <sz val="8"/>
            <color indexed="81"/>
            <rFont val="Tahoma"/>
            <family val="2"/>
          </rPr>
          <t xml:space="preserve">SCB:
</t>
        </r>
        <r>
          <rPr>
            <sz val="8"/>
            <color indexed="81"/>
            <rFont val="Tahoma"/>
            <family val="2"/>
          </rPr>
          <t xml:space="preserve">Beloppet visar differensen mellan Bruttokostnaden (C31) länkat från Driften och summan av de i kolumn C utfördelade kostnader (C32:C39) + beloppet för köp av entreprenad och huvudverksamhet (D31) länkat från Motparten. 
I cellerna C32 till C39 fördelas bruttokostnaden i C31 minskat med köp av huvudverksamhet i D31.
 </t>
        </r>
      </text>
    </comment>
    <comment ref="E40" authorId="4" shapeId="0" xr:uid="{00000000-0006-0000-0800-000009000000}">
      <text>
        <r>
          <rPr>
            <b/>
            <sz val="8"/>
            <color indexed="81"/>
            <rFont val="Tahoma"/>
            <family val="2"/>
          </rPr>
          <t>SCB:</t>
        </r>
        <r>
          <rPr>
            <sz val="8"/>
            <color indexed="81"/>
            <rFont val="Tahoma"/>
            <family val="2"/>
          </rPr>
          <t xml:space="preserve">
Beloppet visar differensen mellan Bruttointäkterna (E31) länkat från Driften och summan av de i kolumn E fördelade intäkterna (E32:E38)+ intäkten för försäljning av huvudverksamhet till andra kommuner(F31)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E32-E38. </t>
        </r>
      </text>
    </comment>
    <comment ref="G40" authorId="4" shapeId="0" xr:uid="{00000000-0006-0000-0800-00000A000000}">
      <text>
        <r>
          <rPr>
            <b/>
            <sz val="8"/>
            <color indexed="81"/>
            <rFont val="Tahoma"/>
            <family val="2"/>
          </rPr>
          <t xml:space="preserve">SCB: 
</t>
        </r>
        <r>
          <rPr>
            <sz val="8"/>
            <color indexed="81"/>
            <rFont val="Tahoma"/>
            <family val="2"/>
          </rPr>
          <t xml:space="preserve">Beloppet som visas är differensen mellan de interna intäkterna (G31) länkat från Driften och de här utfördelade. 
</t>
        </r>
      </text>
    </comment>
    <comment ref="P43" authorId="1" shapeId="0" xr:uid="{00000000-0006-0000-0800-00000B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440, Grundskolan och beloppen som specificeras här. 
Differenserna ska åtgärdas.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 ref="B44" authorId="5" shapeId="0" xr:uid="{A8CF4BF9-9B9F-4B80-85A0-F4650D09BAA5}">
      <text>
        <r>
          <rPr>
            <sz val="9"/>
            <color indexed="81"/>
            <rFont val="Tahoma"/>
            <family val="2"/>
          </rPr>
          <t>SCB: Namnändring, tidigare grundsärskola.</t>
        </r>
      </text>
    </comment>
    <comment ref="P44" authorId="1" shapeId="0" xr:uid="{00000000-0006-0000-0800-00000C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48" authorId="2" shapeId="0" xr:uid="{B47E4349-D646-49F2-9F64-73ADB95C130F}">
      <text>
        <r>
          <rPr>
            <b/>
            <sz val="9"/>
            <color indexed="81"/>
            <rFont val="Tahoma"/>
            <family val="2"/>
          </rPr>
          <t>SCB:</t>
        </r>
        <r>
          <rPr>
            <sz val="9"/>
            <color indexed="81"/>
            <rFont val="Tahoma"/>
            <family val="2"/>
          </rPr>
          <t xml:space="preserve">
Alla kommuner bör ha kostnader för skolskjuts. Observera att kostnader för skolskjuts för elever folkbokförda i kommunen inte ska redovisas som köp av huvudverksamhet utan på raden för Skolskjuts, reseersättningar och inackordering.</t>
        </r>
      </text>
    </comment>
    <comment ref="D50" authorId="2" shapeId="0" xr:uid="{C65B8774-DEEA-4D24-B8E1-9B568E2A04F7}">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51" authorId="0" shapeId="0" xr:uid="{00000000-0006-0000-0800-00000D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52" authorId="3" shapeId="0" xr:uid="{00000000-0006-0000-0800-00000E000000}">
      <text>
        <r>
          <rPr>
            <b/>
            <sz val="9"/>
            <color indexed="81"/>
            <rFont val="Tahoma"/>
            <family val="2"/>
          </rPr>
          <t>SCB:</t>
        </r>
        <r>
          <rPr>
            <sz val="9"/>
            <color indexed="81"/>
            <rFont val="Tahoma"/>
            <family val="2"/>
          </rPr>
          <t xml:space="preserve">
Här redovisas kostnader som är gemensamma för kommunen och som ska fördelas på verksamheten. Kostnader som uppkommer hos barn- och ungdomsförvaltningen
eller motsvarande redovisas inte här utan på rad 438 Övrigt.</t>
        </r>
      </text>
    </comment>
    <comment ref="C53" authorId="4" shapeId="0" xr:uid="{00000000-0006-0000-0800-00000F000000}">
      <text>
        <r>
          <rPr>
            <b/>
            <sz val="8"/>
            <color indexed="81"/>
            <rFont val="Tahoma"/>
            <family val="2"/>
          </rPr>
          <t xml:space="preserve">SCB:
</t>
        </r>
        <r>
          <rPr>
            <sz val="8"/>
            <color indexed="81"/>
            <rFont val="Tahoma"/>
            <family val="2"/>
          </rPr>
          <t xml:space="preserve">Beloppet visar differensen mellan Bruttokostnaden (C44) länkat från Driften och summan av de i kolumn C utfördelade kostnader (C45:C52) + beloppet för köp av entreprenad och huvudverksamhet (D44) länkat från Motparten.
I cellerna C45 till C52 fördelas bruttokostnaden i C44 minskat med köp av huvudverksamhet i D44.
</t>
        </r>
      </text>
    </comment>
    <comment ref="E53" authorId="4" shapeId="0" xr:uid="{00000000-0006-0000-0800-000010000000}">
      <text>
        <r>
          <rPr>
            <b/>
            <sz val="8"/>
            <color indexed="81"/>
            <rFont val="Tahoma"/>
            <family val="2"/>
          </rPr>
          <t>SCB:</t>
        </r>
        <r>
          <rPr>
            <sz val="8"/>
            <color indexed="81"/>
            <rFont val="Tahoma"/>
            <family val="2"/>
          </rPr>
          <t xml:space="preserve">
Beloppet visar differensen mellan Bruttointäkterna (E44) länkat från Driften  och summan av de i kolumn E fördelade intäkterna (E45:E51)+ intäkten för försäljning av huvudverksamhet till andra kommuner(F44)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E45-E51.</t>
        </r>
      </text>
    </comment>
    <comment ref="G53" authorId="4" shapeId="0" xr:uid="{00000000-0006-0000-0800-000011000000}">
      <text>
        <r>
          <rPr>
            <b/>
            <sz val="8"/>
            <color indexed="81"/>
            <rFont val="Tahoma"/>
            <family val="2"/>
          </rPr>
          <t xml:space="preserve">SCB: 
</t>
        </r>
        <r>
          <rPr>
            <sz val="8"/>
            <color indexed="81"/>
            <rFont val="Tahoma"/>
            <family val="2"/>
          </rPr>
          <t xml:space="preserve">Beloppet som visas är differensen mellan de interna intäkterna (G44) länkat från Driften och de här utfördelade. 
</t>
        </r>
      </text>
    </comment>
    <comment ref="P57" authorId="1" shapeId="0" xr:uid="{00000000-0006-0000-0800-000012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443, Grundskolan och beloppen som specificeras här. 
</t>
        </r>
        <r>
          <rPr>
            <b/>
            <sz val="8"/>
            <color indexed="81"/>
            <rFont val="Tahoma"/>
            <family val="2"/>
          </rPr>
          <t>Differenserna ska åtgärdas.</t>
        </r>
        <r>
          <rPr>
            <sz val="8"/>
            <color indexed="81"/>
            <rFont val="Tahoma"/>
            <family val="2"/>
          </rPr>
          <t xml:space="preserve">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 ref="P58" authorId="1" shapeId="0" xr:uid="{00000000-0006-0000-0800-000013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62" authorId="2" shapeId="0" xr:uid="{54DD6AAD-F738-4383-BEBF-963C6AAC23A5}">
      <text>
        <r>
          <rPr>
            <b/>
            <sz val="9"/>
            <color indexed="81"/>
            <rFont val="Tahoma"/>
            <family val="2"/>
          </rPr>
          <t>SCB:</t>
        </r>
        <r>
          <rPr>
            <sz val="9"/>
            <color indexed="81"/>
            <rFont val="Tahoma"/>
            <family val="2"/>
          </rPr>
          <t xml:space="preserve">
Alla kommuner bör ha kostnader för skolskjuts. Observera att kostnader för skolskjuts för elever folkbokförda i kommunen inte ska redovisas som köp av huvudverksamhet utan på raden för Skolskjuts, reseersättningar och inackordering.</t>
        </r>
      </text>
    </comment>
    <comment ref="D64" authorId="2" shapeId="0" xr:uid="{313D6C59-AF8B-4F21-B60A-5C15E2745662}">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65" authorId="0" shapeId="0" xr:uid="{00000000-0006-0000-0800-000014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66" authorId="3" shapeId="0" xr:uid="{00000000-0006-0000-0800-000015000000}">
      <text>
        <r>
          <rPr>
            <b/>
            <sz val="9"/>
            <color indexed="81"/>
            <rFont val="Tahoma"/>
            <family val="2"/>
          </rPr>
          <t>SCB:</t>
        </r>
        <r>
          <rPr>
            <sz val="9"/>
            <color indexed="81"/>
            <rFont val="Tahoma"/>
            <family val="2"/>
          </rPr>
          <t xml:space="preserve">
Här redovisas kostnader som är gemensamma för kommunen och som ska fördelas på verksamheten. Kostnader som uppkommer hos barn- och ungdomsförvaltningen
eller motsvarande redovisas inte här utan på rad 508 Övrigt.</t>
        </r>
      </text>
    </comment>
    <comment ref="C67" authorId="4" shapeId="0" xr:uid="{00000000-0006-0000-0800-000016000000}">
      <text>
        <r>
          <rPr>
            <b/>
            <sz val="8"/>
            <color indexed="81"/>
            <rFont val="Tahoma"/>
            <family val="2"/>
          </rPr>
          <t xml:space="preserve">SCB:
</t>
        </r>
        <r>
          <rPr>
            <sz val="8"/>
            <color indexed="81"/>
            <rFont val="Tahoma"/>
            <family val="2"/>
          </rPr>
          <t xml:space="preserve">Beloppet visar differensen mellan Bruttokostnaden (C58) länkat från Driften och summan av de i kolumn C utfördelade kostnader (C59:C66) + beloppet för köp av entreprenad och huvudverksamhet (D58) länkat från Motparten.
I cellerna C59 till C66 fördelas bruttokostnaden i C58 minskat med köp av huvudverksamhet i D58.
</t>
        </r>
      </text>
    </comment>
    <comment ref="E67" authorId="4" shapeId="0" xr:uid="{00000000-0006-0000-0800-000017000000}">
      <text>
        <r>
          <rPr>
            <b/>
            <sz val="8"/>
            <color indexed="81"/>
            <rFont val="Tahoma"/>
            <family val="2"/>
          </rPr>
          <t>SCB:</t>
        </r>
        <r>
          <rPr>
            <sz val="8"/>
            <color indexed="81"/>
            <rFont val="Tahoma"/>
            <family val="2"/>
          </rPr>
          <t xml:space="preserve">
Beloppet visar differensen mellan Bruttointäkterna (E58) länkat från Driften och summan av de i kolumn E fördelade intäkterna (E59:E65)+ intäkten för försäljning av huvudverksamhet till andra kommuner(F58)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E59-E65
.</t>
        </r>
      </text>
    </comment>
    <comment ref="G67" authorId="4" shapeId="0" xr:uid="{00000000-0006-0000-0800-000018000000}">
      <text>
        <r>
          <rPr>
            <b/>
            <sz val="8"/>
            <color indexed="81"/>
            <rFont val="Tahoma"/>
            <family val="2"/>
          </rPr>
          <t xml:space="preserve">SCB: 
</t>
        </r>
        <r>
          <rPr>
            <sz val="8"/>
            <color indexed="81"/>
            <rFont val="Tahoma"/>
            <family val="2"/>
          </rPr>
          <t xml:space="preserve">Beloppet som visas är differensen mellan de interna intäkterna (G58) länkat från Driften och de här utfördelade. 
</t>
        </r>
      </text>
    </comment>
    <comment ref="P71" authorId="1" shapeId="0" xr:uid="{00000000-0006-0000-0800-000019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450, Grundskolan och beloppen som specificeras här. 
</t>
        </r>
        <r>
          <rPr>
            <b/>
            <sz val="8"/>
            <color indexed="81"/>
            <rFont val="Tahoma"/>
            <family val="2"/>
          </rPr>
          <t>Differenserna ska åtgärdas.</t>
        </r>
        <r>
          <rPr>
            <sz val="8"/>
            <color indexed="81"/>
            <rFont val="Tahoma"/>
            <family val="2"/>
          </rPr>
          <t xml:space="preserve">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 ref="B72" authorId="5" shapeId="0" xr:uid="{B6032A76-54E1-48E5-A8D8-BE53C506C335}">
      <text>
        <r>
          <rPr>
            <sz val="9"/>
            <color indexed="81"/>
            <rFont val="Tahoma"/>
            <family val="2"/>
          </rPr>
          <t xml:space="preserve">SCB: Namnändring, tidigare gymnasiesärskola.
</t>
        </r>
      </text>
    </comment>
    <comment ref="P72" authorId="1" shapeId="0" xr:uid="{00000000-0006-0000-0800-00001A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76" authorId="2" shapeId="0" xr:uid="{DA003BE6-BB88-4756-96ED-52247B5A3114}">
      <text>
        <r>
          <rPr>
            <b/>
            <sz val="9"/>
            <color indexed="81"/>
            <rFont val="Tahoma"/>
            <family val="2"/>
          </rPr>
          <t>SCB:</t>
        </r>
        <r>
          <rPr>
            <sz val="9"/>
            <color indexed="81"/>
            <rFont val="Tahoma"/>
            <family val="2"/>
          </rPr>
          <t xml:space="preserve">
Alla kommuner bör ha kostnader för skolskjuts. Observera att kostnader för skolskjuts för elever folkbokförda i kommunen inte ska redovisas som köp av huvudverksamhet utan på raden för Skolskjuts, reseersättningar och inackordering.</t>
        </r>
      </text>
    </comment>
    <comment ref="D78" authorId="2" shapeId="0" xr:uid="{71B8DC46-3788-4F23-AFDA-4AB8AACFFF99}">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79" authorId="0" shapeId="0" xr:uid="{00000000-0006-0000-0800-00001B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80" authorId="3" shapeId="0" xr:uid="{00000000-0006-0000-0800-00001C000000}">
      <text>
        <r>
          <rPr>
            <b/>
            <sz val="9"/>
            <color indexed="81"/>
            <rFont val="Tahoma"/>
            <family val="2"/>
          </rPr>
          <t xml:space="preserve">SCB:
</t>
        </r>
        <r>
          <rPr>
            <sz val="9"/>
            <color indexed="81"/>
            <rFont val="Tahoma"/>
            <family val="2"/>
          </rPr>
          <t>Här redovisas kostnader som är gemensamma för kommunen och som ska fördelas på verksamheten. Kostnader som uppkommer hos barn- och ungdomsförvaltningen
eller motsvarande redovisas inte här utan på rad 538 Övrigt.</t>
        </r>
        <r>
          <rPr>
            <sz val="9"/>
            <color indexed="81"/>
            <rFont val="Tahoma"/>
            <family val="2"/>
          </rPr>
          <t xml:space="preserve">
</t>
        </r>
      </text>
    </comment>
    <comment ref="C81" authorId="4" shapeId="0" xr:uid="{00000000-0006-0000-0800-00001D000000}">
      <text>
        <r>
          <rPr>
            <b/>
            <sz val="8"/>
            <color indexed="81"/>
            <rFont val="Tahoma"/>
            <family val="2"/>
          </rPr>
          <t xml:space="preserve">SCB:
</t>
        </r>
        <r>
          <rPr>
            <sz val="8"/>
            <color indexed="81"/>
            <rFont val="Tahoma"/>
            <family val="2"/>
          </rPr>
          <t xml:space="preserve">Beloppet visar differensen mellan Bruttokostnaden (C72) länkat fråni Driften och summan av de i kolumn C utfördelade kostnader (C73:C80) + beloppet för köp av entreprenad och huvudverksamhet (D72) länkat från Motparten.
I cellerna C73 till C80 fördelas bruttokostnaden i C31 minskat med köp av huvudverksamhet i D72.
</t>
        </r>
      </text>
    </comment>
    <comment ref="E81" authorId="4" shapeId="0" xr:uid="{00000000-0006-0000-0800-00001E000000}">
      <text>
        <r>
          <rPr>
            <b/>
            <sz val="8"/>
            <color indexed="81"/>
            <rFont val="Tahoma"/>
            <family val="2"/>
          </rPr>
          <t>SCB:</t>
        </r>
        <r>
          <rPr>
            <sz val="8"/>
            <color indexed="81"/>
            <rFont val="Tahoma"/>
            <family val="2"/>
          </rPr>
          <t xml:space="preserve">
Beloppet visar differensen mellan Bruttointäkterna (E72) länkat från Driften och summan av de i kolumn E fördelade intäkterna (E73:E79)+ intäkten för försäljning av huvudverksamhet till andra kommuner(F72)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E73-E79
.</t>
        </r>
      </text>
    </comment>
    <comment ref="G81" authorId="4" shapeId="0" xr:uid="{00000000-0006-0000-0800-00001F000000}">
      <text>
        <r>
          <rPr>
            <b/>
            <sz val="8"/>
            <color indexed="81"/>
            <rFont val="Tahoma"/>
            <family val="2"/>
          </rPr>
          <t xml:space="preserve">SCB: 
</t>
        </r>
        <r>
          <rPr>
            <sz val="8"/>
            <color indexed="81"/>
            <rFont val="Tahoma"/>
            <family val="2"/>
          </rPr>
          <t xml:space="preserve">Beloppet som visas är differensen mellan de interna intäkterna (G72) länkat från Driften och de här utfördelade. 
</t>
        </r>
      </text>
    </comment>
    <comment ref="P85" authorId="1" shapeId="0" xr:uid="{00000000-0006-0000-0800-000020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453, Grundskolan och beloppen som specificeras här. 
</t>
        </r>
        <r>
          <rPr>
            <b/>
            <sz val="8"/>
            <color indexed="81"/>
            <rFont val="Tahoma"/>
            <family val="2"/>
          </rPr>
          <t>Differenserna ska åtgärdas.</t>
        </r>
        <r>
          <rPr>
            <sz val="8"/>
            <color indexed="81"/>
            <rFont val="Tahoma"/>
            <family val="2"/>
          </rPr>
          <t xml:space="preserve">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 ref="P86" authorId="1" shapeId="0" xr:uid="{00000000-0006-0000-0800-000021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90" authorId="2" shapeId="0" xr:uid="{E7C9390C-96B8-4932-A639-115E9D4B2F8C}">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91" authorId="0" shapeId="0" xr:uid="{00000000-0006-0000-0800-000022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92" authorId="3" shapeId="0" xr:uid="{00000000-0006-0000-0800-000023000000}">
      <text>
        <r>
          <rPr>
            <b/>
            <sz val="9"/>
            <color indexed="81"/>
            <rFont val="Tahoma"/>
            <family val="2"/>
          </rPr>
          <t xml:space="preserve">SCB:
</t>
        </r>
        <r>
          <rPr>
            <sz val="9"/>
            <color indexed="81"/>
            <rFont val="Tahoma"/>
            <family val="2"/>
          </rPr>
          <t xml:space="preserve">Här redovisas kostnader som är gemensamma för kommunen och som ska fördelas på verksamheten. Kostnader som uppkommer hos barn- och ungdomsförvaltningen
eller motsvarande redovisas inte här utan på rad 708 Övrigt.
</t>
        </r>
      </text>
    </comment>
    <comment ref="C93" authorId="4" shapeId="0" xr:uid="{00000000-0006-0000-0800-000024000000}">
      <text>
        <r>
          <rPr>
            <b/>
            <sz val="8"/>
            <color indexed="81"/>
            <rFont val="Tahoma"/>
            <family val="2"/>
          </rPr>
          <t xml:space="preserve">SCB:
</t>
        </r>
        <r>
          <rPr>
            <sz val="8"/>
            <color indexed="81"/>
            <rFont val="Tahoma"/>
            <family val="2"/>
          </rPr>
          <t xml:space="preserve">Beloppet visar differensen mellan Bruttokostnaden (C86) länkat fråni Driften och summan av de i kolumn C utfördelade kostnader (C87:C92) + beloppet för köp av entreprenad och huvudverksamhet (D86) länkat från Motparten.
I cellerna C87 till C92 fördelas bruttokostnaden i C86 minskat med köp av huvudverksamhet i D86.
</t>
        </r>
      </text>
    </comment>
    <comment ref="E93" authorId="4" shapeId="0" xr:uid="{00000000-0006-0000-0800-000025000000}">
      <text>
        <r>
          <rPr>
            <b/>
            <sz val="8"/>
            <color indexed="81"/>
            <rFont val="Tahoma"/>
            <family val="2"/>
          </rPr>
          <t>SCB:</t>
        </r>
        <r>
          <rPr>
            <sz val="8"/>
            <color indexed="81"/>
            <rFont val="Tahoma"/>
            <family val="2"/>
          </rPr>
          <t xml:space="preserve">
Beloppet visar differensen mellan Bruttointäkterna (E86) länkat från Driften och summan av de i kolumn E fördelade intäkterna (E87:E91)+ intäkten för försäljning av huvudverksamhet till andra kommuner(F86)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E87-E91.</t>
        </r>
      </text>
    </comment>
    <comment ref="G93" authorId="4" shapeId="0" xr:uid="{00000000-0006-0000-0800-000026000000}">
      <text>
        <r>
          <rPr>
            <b/>
            <sz val="8"/>
            <color indexed="81"/>
            <rFont val="Tahoma"/>
            <family val="2"/>
          </rPr>
          <t xml:space="preserve">SCB: 
</t>
        </r>
        <r>
          <rPr>
            <sz val="8"/>
            <color indexed="81"/>
            <rFont val="Tahoma"/>
            <family val="2"/>
          </rPr>
          <t xml:space="preserve">Beloppet som visas är differensen mellan de interna intäkterna (G86) länkat från Driften och de här utfördelade. 
</t>
        </r>
      </text>
    </comment>
    <comment ref="P93" authorId="1" shapeId="0" xr:uid="{00000000-0006-0000-0800-000027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470, Grundskolan och beloppen som specificeras här. 
</t>
        </r>
        <r>
          <rPr>
            <b/>
            <sz val="8"/>
            <color indexed="81"/>
            <rFont val="Tahoma"/>
            <family val="2"/>
          </rPr>
          <t>Differenserna ska åtgärdas.</t>
        </r>
        <r>
          <rPr>
            <sz val="8"/>
            <color indexed="81"/>
            <rFont val="Tahoma"/>
            <family val="2"/>
          </rPr>
          <t xml:space="preserve">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 ref="P95" authorId="1" shapeId="0" xr:uid="{00000000-0006-0000-0800-000028000000}">
      <text>
        <r>
          <rPr>
            <b/>
            <sz val="8"/>
            <color indexed="81"/>
            <rFont val="Tahoma"/>
            <family val="2"/>
          </rPr>
          <t>SCB:
Kommentera förändringen:</t>
        </r>
        <r>
          <rPr>
            <sz val="8"/>
            <color indexed="81"/>
            <rFont val="Tahoma"/>
            <family val="2"/>
          </rPr>
          <t xml:space="preserve">
Nyckeltalet avviker stort från föregående år. Kontrollera om det stämmer och skriv i så fall vad förändringen beror på.
</t>
        </r>
      </text>
    </comment>
    <comment ref="D99" authorId="2" shapeId="0" xr:uid="{C6D92437-6457-46EC-8A79-F6CB0BA994DB}">
      <text>
        <r>
          <rPr>
            <b/>
            <sz val="9"/>
            <color indexed="81"/>
            <rFont val="Tahoma"/>
            <family val="2"/>
          </rPr>
          <t>SCB:</t>
        </r>
        <r>
          <rPr>
            <sz val="9"/>
            <color indexed="81"/>
            <rFont val="Tahoma"/>
            <family val="2"/>
          </rPr>
          <t xml:space="preserve">
Lokalkostnader i Pedagogisk verksamhet bör vara högre än summan av Externa lokalhyror + Kalkylerade kapitalkostnader + Interna lokalkostnader i Driftfliken.
</t>
        </r>
      </text>
    </comment>
    <comment ref="P100" authorId="0" shapeId="0" xr:uid="{00000000-0006-0000-0800-000029000000}">
      <text>
        <r>
          <rPr>
            <b/>
            <sz val="9"/>
            <color indexed="81"/>
            <rFont val="Tahoma"/>
            <family val="2"/>
          </rPr>
          <t xml:space="preserve">SCB:
</t>
        </r>
        <r>
          <rPr>
            <sz val="8"/>
            <color indexed="81"/>
            <rFont val="Tahoma"/>
            <family val="2"/>
          </rPr>
          <t xml:space="preserve">Samtliga bidrag från staten och statliga myndigheter, inklusive de från Migrationsverket, ska ingå under Övrigt samt redovisas som extern intäkt på respektive skolform. </t>
        </r>
      </text>
    </comment>
    <comment ref="C101" authorId="3" shapeId="0" xr:uid="{00000000-0006-0000-0800-00002A000000}">
      <text>
        <r>
          <rPr>
            <b/>
            <sz val="9"/>
            <color indexed="81"/>
            <rFont val="Tahoma"/>
            <family val="2"/>
          </rPr>
          <t>SCB:</t>
        </r>
        <r>
          <rPr>
            <sz val="9"/>
            <color indexed="81"/>
            <rFont val="Tahoma"/>
            <family val="2"/>
          </rPr>
          <t xml:space="preserve">
Här redovisas kostnader som är gemensamma för kommunen och som ska fördelas på verksamheten. Kostnader som uppkommer hos barn- och ungdomsförvaltningen
eller motsvarande redovisas inte här utan på rad 728 Övrigt.</t>
        </r>
      </text>
    </comment>
    <comment ref="C102" authorId="4" shapeId="0" xr:uid="{00000000-0006-0000-0800-00002B000000}">
      <text>
        <r>
          <rPr>
            <b/>
            <sz val="8"/>
            <color indexed="81"/>
            <rFont val="Tahoma"/>
            <family val="2"/>
          </rPr>
          <t xml:space="preserve">SCB:
</t>
        </r>
        <r>
          <rPr>
            <sz val="8"/>
            <color indexed="81"/>
            <rFont val="Tahoma"/>
            <family val="2"/>
          </rPr>
          <t xml:space="preserve">Beloppet visar differensen mellan Bruttokostnaden länkat från Driften (C95) och summan av de i kolumn C utfördelade kostnader (C96:C101) + beloppet för köp av entreprenad och huvudverksamhet (D95) länkat från Motparten.
I cellerna C96 till C101 fördelas bruttokostnaden i C95 minskat med köp av huvudverksamhet i D95.
</t>
        </r>
      </text>
    </comment>
    <comment ref="E102" authorId="4" shapeId="0" xr:uid="{00000000-0006-0000-0800-00002C000000}">
      <text>
        <r>
          <rPr>
            <b/>
            <sz val="8"/>
            <color indexed="81"/>
            <rFont val="Tahoma"/>
            <family val="2"/>
          </rPr>
          <t>SCB:</t>
        </r>
        <r>
          <rPr>
            <sz val="8"/>
            <color indexed="81"/>
            <rFont val="Tahoma"/>
            <family val="2"/>
          </rPr>
          <t xml:space="preserve">
Beloppet visar differensen mellan Bruttointäkterna (E95) länkat från Driften och summan av de i kolumn E fördelade intäkterna (E96:E100)+ intäkten för försäljning av huvudverksamhet till andra kommuner (F95) länkat från Motparten + den beräknade momskompensationen vid köp av verksamhet. 
Momskompensationen och försäljning av huvudverksamhet till andra kommuner ska alltså</t>
        </r>
        <r>
          <rPr>
            <u/>
            <sz val="8"/>
            <color indexed="81"/>
            <rFont val="Tahoma"/>
            <family val="2"/>
          </rPr>
          <t xml:space="preserve"> inte</t>
        </r>
        <r>
          <rPr>
            <sz val="8"/>
            <color indexed="81"/>
            <rFont val="Tahoma"/>
            <family val="2"/>
          </rPr>
          <t xml:space="preserve"> ingå i cellerna E96-E100.</t>
        </r>
      </text>
    </comment>
    <comment ref="G102" authorId="4" shapeId="0" xr:uid="{00000000-0006-0000-0800-00002D000000}">
      <text>
        <r>
          <rPr>
            <b/>
            <sz val="8"/>
            <color indexed="81"/>
            <rFont val="Tahoma"/>
            <family val="2"/>
          </rPr>
          <t xml:space="preserve">SCB: 
</t>
        </r>
        <r>
          <rPr>
            <sz val="8"/>
            <color indexed="81"/>
            <rFont val="Tahoma"/>
            <family val="2"/>
          </rPr>
          <t xml:space="preserve">Beloppet som visas är differensen mellan de interna intäkterna (G95) länkat från Driften och de här utfördelade. 
</t>
        </r>
      </text>
    </comment>
    <comment ref="P102" authorId="1" shapeId="0" xr:uid="{00000000-0006-0000-0800-00002E000000}">
      <text>
        <r>
          <rPr>
            <b/>
            <sz val="8"/>
            <color indexed="81"/>
            <rFont val="Tahoma"/>
            <family val="2"/>
          </rPr>
          <t>SCB:</t>
        </r>
        <r>
          <rPr>
            <sz val="8"/>
            <color indexed="81"/>
            <rFont val="Tahoma"/>
            <family val="2"/>
          </rPr>
          <t xml:space="preserve">
</t>
        </r>
        <r>
          <rPr>
            <b/>
            <sz val="8"/>
            <color indexed="81"/>
            <rFont val="Tahoma"/>
            <family val="2"/>
          </rPr>
          <t xml:space="preserve">Differens: </t>
        </r>
        <r>
          <rPr>
            <sz val="8"/>
            <color indexed="81"/>
            <rFont val="Tahoma"/>
            <family val="2"/>
          </rPr>
          <t xml:space="preserve">
I angiven kolumn finns det differenser mellan beloppet som länkas från Driften rad 472, Grundskolan och beloppen som specificeras här. 
</t>
        </r>
        <r>
          <rPr>
            <b/>
            <sz val="8"/>
            <color indexed="81"/>
            <rFont val="Tahoma"/>
            <family val="2"/>
          </rPr>
          <t>Differenserna ska åtgärdas.</t>
        </r>
        <r>
          <rPr>
            <sz val="8"/>
            <color indexed="81"/>
            <rFont val="Tahoma"/>
            <family val="2"/>
          </rPr>
          <t xml:space="preserve">
</t>
        </r>
        <r>
          <rPr>
            <b/>
            <sz val="8"/>
            <color indexed="81"/>
            <rFont val="Tahoma"/>
            <family val="2"/>
          </rPr>
          <t>Hänvisning till Driften</t>
        </r>
        <r>
          <rPr>
            <sz val="8"/>
            <color indexed="81"/>
            <rFont val="Tahoma"/>
            <family val="2"/>
          </rPr>
          <t>: Det ska finnas länkad belopp från Driften om kostnader/intäkter fördelas i respektive kolumn. Kontrollera att kostnaderna/intäkterna i Driften ingår på rätt skolform och rätta till felaktiga belopp.</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Henrik Mundt</author>
    <author>scbelin</author>
    <author>scbelie</author>
    <author>Siegrist Elisabeth DFO/OU-Ö</author>
    <author>annelie hallberg</author>
    <author>SCB</author>
  </authors>
  <commentList>
    <comment ref="G6" authorId="0" shapeId="0" xr:uid="{00000000-0006-0000-0900-000001000000}">
      <text>
        <r>
          <rPr>
            <b/>
            <sz val="9"/>
            <color indexed="81"/>
            <rFont val="Tahoma"/>
            <family val="2"/>
          </rPr>
          <t>SCB:</t>
        </r>
        <r>
          <rPr>
            <sz val="9"/>
            <color indexed="81"/>
            <rFont val="Tahoma"/>
            <family val="2"/>
          </rPr>
          <t xml:space="preserve">
Cell G13, G15, G22, G23 och G25 är låsta.
Externa hyresintäkter borde inte förekomma här.</t>
        </r>
      </text>
    </comment>
    <comment ref="S9" authorId="1" shapeId="0" xr:uid="{00000000-0006-0000-0900-000002000000}">
      <text>
        <r>
          <rPr>
            <sz val="8"/>
            <color indexed="81"/>
            <rFont val="Tahoma"/>
            <family val="2"/>
          </rPr>
          <t xml:space="preserve">
</t>
        </r>
      </text>
    </comment>
    <comment ref="B12" authorId="2" shapeId="0" xr:uid="{00000000-0006-0000-0900-000003000000}">
      <text>
        <r>
          <rPr>
            <b/>
            <sz val="8"/>
            <color indexed="81"/>
            <rFont val="Tahoma"/>
            <family val="2"/>
          </rPr>
          <t>SCB:</t>
        </r>
        <r>
          <rPr>
            <sz val="8"/>
            <color indexed="81"/>
            <rFont val="Tahoma"/>
            <family val="2"/>
          </rPr>
          <t xml:space="preserve">
Här redovisas öppna insatser och insatser enl. SoL till alla personer som är 65 år och äldre.</t>
        </r>
      </text>
    </comment>
    <comment ref="B13" authorId="3" shapeId="0" xr:uid="{00000000-0006-0000-0900-000004000000}">
      <text>
        <r>
          <rPr>
            <sz val="9"/>
            <color indexed="81"/>
            <rFont val="Tahoma"/>
            <family val="2"/>
          </rPr>
          <t>SCB: Avser hemtjänst</t>
        </r>
        <r>
          <rPr>
            <b/>
            <sz val="9"/>
            <color indexed="81"/>
            <rFont val="Tahoma"/>
            <family val="2"/>
          </rPr>
          <t xml:space="preserve">insatser. 
</t>
        </r>
        <r>
          <rPr>
            <sz val="9"/>
            <color indexed="81"/>
            <rFont val="Tahoma"/>
            <family val="2"/>
          </rPr>
          <t xml:space="preserve">Eventuella kostnader och intäkter för för boendet (t.ex. trygghetsboendeen) där kommunen har kontraktsinnehav eller är hyresvärd ska redovisas på rad 5109, Övriga insatser i ordinärt boende
</t>
        </r>
      </text>
    </comment>
    <comment ref="P18" authorId="1" shapeId="0" xr:uid="{00000000-0006-0000-0900-000005000000}">
      <text>
        <r>
          <rPr>
            <b/>
            <sz val="8"/>
            <color indexed="81"/>
            <rFont val="Tahoma"/>
            <family val="2"/>
          </rPr>
          <t>SCB:</t>
        </r>
        <r>
          <rPr>
            <sz val="8"/>
            <color indexed="81"/>
            <rFont val="Tahoma"/>
            <family val="2"/>
          </rPr>
          <t xml:space="preserve">
</t>
        </r>
        <r>
          <rPr>
            <b/>
            <sz val="8"/>
            <color indexed="81"/>
            <rFont val="Tahoma"/>
            <family val="2"/>
          </rPr>
          <t xml:space="preserve">Kontrollera Nyckeltalet: </t>
        </r>
        <r>
          <rPr>
            <sz val="8"/>
            <color indexed="81"/>
            <rFont val="Tahoma"/>
            <family val="2"/>
          </rPr>
          <t>Nyckeltalet blir negativt eftersom Bruttokostnaden är mindere än summan av interna intäkter och försäljning av verksamhet. Detta borde vara fel.</t>
        </r>
      </text>
    </comment>
    <comment ref="P20" authorId="4" shapeId="0" xr:uid="{00000000-0006-0000-0900-000006000000}">
      <text>
        <r>
          <rPr>
            <b/>
            <sz val="8"/>
            <color indexed="81"/>
            <rFont val="Tahoma"/>
            <family val="2"/>
          </rPr>
          <t>SCB:</t>
        </r>
        <r>
          <rPr>
            <sz val="8"/>
            <color indexed="81"/>
            <rFont val="Tahoma"/>
            <family val="2"/>
          </rPr>
          <t xml:space="preserve"> 
Det finns en differens mellan summeringsrad 51099 (som summerar raderna 5101-5109) och beloppet som länkas från avdelning Drift i respektive kolumn.
</t>
        </r>
      </text>
    </comment>
    <comment ref="B21" authorId="2" shapeId="0" xr:uid="{00000000-0006-0000-0900-000007000000}">
      <text>
        <r>
          <rPr>
            <b/>
            <sz val="8"/>
            <color indexed="81"/>
            <rFont val="Tahoma"/>
            <family val="2"/>
          </rPr>
          <t>SCB:</t>
        </r>
        <r>
          <rPr>
            <sz val="8"/>
            <color indexed="81"/>
            <rFont val="Tahoma"/>
            <family val="2"/>
          </rPr>
          <t xml:space="preserve">
Här redovisas öppna insatser och insatser enligt SoL till personer med funktionsnedsättning 0-64 år. Insatserna redovisas under verksamhet 510 Vård och omsorg om äldre för de personer som är 65 år och uppåt.</t>
        </r>
      </text>
    </comment>
    <comment ref="B22" authorId="3" shapeId="0" xr:uid="{00000000-0006-0000-0900-000008000000}">
      <text>
        <r>
          <rPr>
            <b/>
            <sz val="9"/>
            <color indexed="81"/>
            <rFont val="Tahoma"/>
            <family val="2"/>
          </rPr>
          <t xml:space="preserve">SCB: </t>
        </r>
        <r>
          <rPr>
            <sz val="9"/>
            <color indexed="81"/>
            <rFont val="Tahoma"/>
            <family val="2"/>
          </rPr>
          <t>Avser hemtjänst</t>
        </r>
        <r>
          <rPr>
            <b/>
            <sz val="9"/>
            <color indexed="81"/>
            <rFont val="Tahoma"/>
            <family val="2"/>
          </rPr>
          <t>insatser</t>
        </r>
        <r>
          <rPr>
            <sz val="9"/>
            <color indexed="81"/>
            <rFont val="Tahoma"/>
            <family val="2"/>
          </rPr>
          <t xml:space="preserve">
Eventuella kostnader och intäkter för för boendet (t.ex. trygghetsboendeen) där kommunen har kontraktsinnehav eller är hyresvärd ska redovisas på rad 5209, Övriga insatser i ordinärt boende</t>
        </r>
      </text>
    </comment>
    <comment ref="P28" authorId="1" shapeId="0" xr:uid="{00000000-0006-0000-0900-000009000000}">
      <text>
        <r>
          <rPr>
            <b/>
            <sz val="8"/>
            <color indexed="81"/>
            <rFont val="Tahoma"/>
            <family val="2"/>
          </rPr>
          <t>SCB:</t>
        </r>
        <r>
          <rPr>
            <sz val="8"/>
            <color indexed="81"/>
            <rFont val="Tahoma"/>
            <family val="2"/>
          </rPr>
          <t xml:space="preserve">
</t>
        </r>
        <r>
          <rPr>
            <b/>
            <sz val="8"/>
            <color indexed="81"/>
            <rFont val="Tahoma"/>
            <family val="2"/>
          </rPr>
          <t xml:space="preserve">Kontrollera Nyckeltalet: </t>
        </r>
        <r>
          <rPr>
            <sz val="8"/>
            <color indexed="81"/>
            <rFont val="Tahoma"/>
            <family val="2"/>
          </rPr>
          <t>Nyckeltalet blir negativt eftersom Bruttokostnaden är mindere än summan av interna intäkter och försäljning av verksamhet. Detta borde vara fel.</t>
        </r>
      </text>
    </comment>
    <comment ref="P30" authorId="4" shapeId="0" xr:uid="{00000000-0006-0000-0900-00000A000000}">
      <text>
        <r>
          <rPr>
            <b/>
            <sz val="8"/>
            <color indexed="81"/>
            <rFont val="Tahoma"/>
            <family val="2"/>
          </rPr>
          <t>SCB:</t>
        </r>
        <r>
          <rPr>
            <sz val="8"/>
            <color indexed="81"/>
            <rFont val="Tahoma"/>
            <family val="2"/>
          </rPr>
          <t xml:space="preserve"> 
Det finns en differens mellan summeringsrad 52099 (som summerar raderna 5201-5209) och beloppet som länkas från avdelning Drift i respektive kolumn.
.</t>
        </r>
      </text>
    </comment>
    <comment ref="K31" authorId="3" shapeId="0" xr:uid="{00000000-0006-0000-0900-00000B000000}">
      <text>
        <r>
          <rPr>
            <b/>
            <sz val="9"/>
            <color indexed="81"/>
            <rFont val="Tahoma"/>
            <family val="2"/>
          </rPr>
          <t xml:space="preserve">SCB:
</t>
        </r>
        <r>
          <rPr>
            <sz val="9"/>
            <color indexed="81"/>
            <rFont val="Tahoma"/>
            <family val="2"/>
          </rPr>
          <t>Kostnad för eget åtagande är exklusive ersättning från FK för personlig assistent samt kostnaden för rådgivning m.m. för Jämtlands kommuner.</t>
        </r>
        <r>
          <rPr>
            <sz val="9"/>
            <color indexed="81"/>
            <rFont val="Tahoma"/>
            <family val="2"/>
          </rPr>
          <t xml:space="preserve">
</t>
        </r>
      </text>
    </comment>
    <comment ref="P36" authorId="1" shapeId="0" xr:uid="{00000000-0006-0000-0900-00000C000000}">
      <text>
        <r>
          <rPr>
            <b/>
            <sz val="8"/>
            <color indexed="81"/>
            <rFont val="Tahoma"/>
            <family val="2"/>
          </rPr>
          <t>SCB:</t>
        </r>
        <r>
          <rPr>
            <sz val="8"/>
            <color indexed="81"/>
            <rFont val="Tahoma"/>
            <family val="2"/>
          </rPr>
          <t xml:space="preserve">
</t>
        </r>
        <r>
          <rPr>
            <b/>
            <sz val="8"/>
            <color indexed="81"/>
            <rFont val="Tahoma"/>
            <family val="2"/>
          </rPr>
          <t xml:space="preserve">Kontrollera Nyckeltalet: </t>
        </r>
        <r>
          <rPr>
            <sz val="8"/>
            <color indexed="81"/>
            <rFont val="Tahoma"/>
            <family val="2"/>
          </rPr>
          <t>Nyckeltalet blir negativt eftersom Bruttokostnaden är mindere än summan av interna intäkter och försäljning av verksamhet. Detta borde vara fel.</t>
        </r>
      </text>
    </comment>
    <comment ref="I38" authorId="4" shapeId="0" xr:uid="{00000000-0006-0000-0900-00000D000000}">
      <text>
        <r>
          <rPr>
            <b/>
            <sz val="8"/>
            <color indexed="81"/>
            <rFont val="Tahoma"/>
            <family val="2"/>
          </rPr>
          <t>SCB:</t>
        </r>
        <r>
          <rPr>
            <sz val="8"/>
            <color indexed="81"/>
            <rFont val="Tahoma"/>
            <family val="2"/>
          </rPr>
          <t xml:space="preserve">
Försäljning av verksamhet för verksamhet 513 överensstämmer inte med beloppen som angetts i avdelning Motpart, rad 519, kolumn Y och Z.
</t>
        </r>
      </text>
    </comment>
    <comment ref="P38" authorId="4" shapeId="0" xr:uid="{00000000-0006-0000-0900-00000E000000}">
      <text>
        <r>
          <rPr>
            <b/>
            <sz val="8"/>
            <color indexed="81"/>
            <rFont val="Tahoma"/>
            <family val="2"/>
          </rPr>
          <t xml:space="preserve">SCB: </t>
        </r>
        <r>
          <rPr>
            <sz val="8"/>
            <color indexed="81"/>
            <rFont val="Tahoma"/>
            <family val="2"/>
          </rPr>
          <t xml:space="preserve">
Det finns en differens mellan summeringsrad 51399 (som summerar raderna 5131-5139) och beloppet som länkas från avdelning Drift i respektive kolumn.
</t>
        </r>
      </text>
    </comment>
    <comment ref="G41" authorId="4" shapeId="0" xr:uid="{00000000-0006-0000-0900-00000F000000}">
      <text>
        <r>
          <rPr>
            <b/>
            <sz val="8"/>
            <color indexed="81"/>
            <rFont val="Tahoma"/>
            <family val="2"/>
          </rPr>
          <t xml:space="preserve">SCB: </t>
        </r>
        <r>
          <rPr>
            <sz val="8"/>
            <color indexed="81"/>
            <rFont val="Tahoma"/>
            <family val="2"/>
          </rPr>
          <t xml:space="preserve">
Beloppet länkas från rad 525 i avdelningen  "Verksamhetens intäkter och kostnader" . Ersättning från och till FK ska bruttoredovisas.
</t>
        </r>
      </text>
    </comment>
    <comment ref="H41" authorId="4" shapeId="0" xr:uid="{00000000-0006-0000-0900-000010000000}">
      <text>
        <r>
          <rPr>
            <b/>
            <sz val="8"/>
            <color indexed="81"/>
            <rFont val="Tahoma"/>
            <family val="2"/>
          </rPr>
          <t>SCB:</t>
        </r>
        <r>
          <rPr>
            <sz val="8"/>
            <color indexed="81"/>
            <rFont val="Tahoma"/>
            <family val="2"/>
          </rPr>
          <t xml:space="preserve"> 
</t>
        </r>
        <r>
          <rPr>
            <b/>
            <sz val="8"/>
            <color indexed="81"/>
            <rFont val="Tahoma"/>
            <family val="2"/>
          </rPr>
          <t>Lågt belopp:</t>
        </r>
        <r>
          <rPr>
            <sz val="8"/>
            <color indexed="81"/>
            <rFont val="Tahoma"/>
            <family val="2"/>
          </rPr>
          <t xml:space="preserve">  Kontrollen visas då beloppet avseende ersättning från FK anses för lågt. Ersättning från och till FK måste bruttoredovisas!
Kontrollera om ersättning från FK stämmer och kommentera i så fall varför beloppet är så lågt.
</t>
        </r>
        <r>
          <rPr>
            <b/>
            <sz val="8"/>
            <color indexed="81"/>
            <rFont val="Tahoma"/>
            <family val="2"/>
          </rPr>
          <t xml:space="preserve">Kontrollera belopp: </t>
        </r>
        <r>
          <rPr>
            <sz val="8"/>
            <color indexed="81"/>
            <rFont val="Tahoma"/>
            <family val="2"/>
          </rPr>
          <t xml:space="preserve">Beloppet här är större än beloppet på rad 5133 i kolumn G där det ska ingå. Ersättning från FK ska bara redovisas på rad 5133 och inte på någon annan rad.
</t>
        </r>
      </text>
    </comment>
    <comment ref="G42" authorId="4" shapeId="0" xr:uid="{00000000-0006-0000-0900-000011000000}">
      <text>
        <r>
          <rPr>
            <b/>
            <sz val="8"/>
            <color indexed="81"/>
            <rFont val="Tahoma"/>
            <family val="2"/>
          </rPr>
          <t xml:space="preserve">SCB: 
</t>
        </r>
        <r>
          <rPr>
            <sz val="8"/>
            <color indexed="81"/>
            <rFont val="Tahoma"/>
            <family val="2"/>
          </rPr>
          <t xml:space="preserve">Beloppet länkas från rad 630 i avdelningen "Verksamhetens intäkter och kostnader". Ersättning från och till FK ska bruttoredovisas.
</t>
        </r>
      </text>
    </comment>
    <comment ref="H42" authorId="4" shapeId="0" xr:uid="{00000000-0006-0000-0900-000012000000}">
      <text>
        <r>
          <rPr>
            <b/>
            <sz val="8"/>
            <color indexed="81"/>
            <rFont val="Tahoma"/>
            <family val="2"/>
          </rPr>
          <t xml:space="preserve">SCB: </t>
        </r>
        <r>
          <rPr>
            <sz val="8"/>
            <color indexed="81"/>
            <rFont val="Tahoma"/>
            <family val="2"/>
          </rPr>
          <t xml:space="preserve">
</t>
        </r>
        <r>
          <rPr>
            <b/>
            <sz val="8"/>
            <color indexed="81"/>
            <rFont val="Tahoma"/>
            <family val="2"/>
          </rPr>
          <t xml:space="preserve">Lågt belopp: </t>
        </r>
        <r>
          <rPr>
            <sz val="8"/>
            <color indexed="81"/>
            <rFont val="Tahoma"/>
            <family val="2"/>
          </rPr>
          <t xml:space="preserve">Kontrollen kan även visas då beloppet avseende ersättning till FK anses för lågt. Ersättning från och till FK måste bruttoredovisas! Kontrollera om ersättning till FK stämmer och kommentera i så fall varför beloppet är så lågt.
</t>
        </r>
        <r>
          <rPr>
            <b/>
            <sz val="8"/>
            <color indexed="81"/>
            <rFont val="Tahoma"/>
            <family val="2"/>
          </rPr>
          <t>Kontrollera belopp:</t>
        </r>
        <r>
          <rPr>
            <sz val="8"/>
            <color indexed="81"/>
            <rFont val="Tahoma"/>
            <family val="2"/>
          </rPr>
          <t xml:space="preserve"> Beloppet här är större än beloppet på rad 5133 i kolumn C, Bruttokostnad, där det ska ingå. Ersättning till FK ska bara redovisas på rad 5133 och inte på någon annan rad. 
</t>
        </r>
      </text>
    </comment>
    <comment ref="H43" authorId="4" shapeId="0" xr:uid="{00000000-0006-0000-0900-000013000000}">
      <text>
        <r>
          <rPr>
            <b/>
            <sz val="8"/>
            <color indexed="81"/>
            <rFont val="Tahoma"/>
            <family val="2"/>
          </rPr>
          <t>SCB:</t>
        </r>
        <r>
          <rPr>
            <sz val="8"/>
            <color indexed="81"/>
            <rFont val="Tahoma"/>
            <family val="2"/>
          </rPr>
          <t xml:space="preserve">
Regionen är vanligtvis huvudman för insatsen Råd och stöd, undantaget Jämtlands län. Kontrollen "Belopp saknas" visas när kommuner i Jämtlands län som har ansvar för insatsen inte fyllt i något belopp. Kontrollen "Kontrollera belopp" visas när kommuner som inte har ansvar för Råd och stöd enligt LSS fyllt i ett belopp.
Kontrollera om det stämmer och skriv i så fall vad avvikelsen beror på.</t>
        </r>
      </text>
    </comment>
    <comment ref="N49" authorId="4" shapeId="0" xr:uid="{00000000-0006-0000-0900-000014000000}">
      <text>
        <r>
          <rPr>
            <b/>
            <sz val="8"/>
            <color indexed="81"/>
            <rFont val="Tahoma"/>
            <family val="2"/>
          </rPr>
          <t>SCB:</t>
        </r>
        <r>
          <rPr>
            <sz val="8"/>
            <color indexed="81"/>
            <rFont val="Tahoma"/>
            <family val="2"/>
          </rPr>
          <t xml:space="preserve">
Kontrollen visas då beloppen på raderna 5101+5103+5105 överskrider beloppet i samma kolumn på rad 510.</t>
        </r>
      </text>
    </comment>
    <comment ref="N50" authorId="4" shapeId="0" xr:uid="{00000000-0006-0000-0900-000015000000}">
      <text>
        <r>
          <rPr>
            <b/>
            <sz val="8"/>
            <color indexed="81"/>
            <rFont val="Tahoma"/>
            <family val="2"/>
          </rPr>
          <t>SCB:</t>
        </r>
        <r>
          <rPr>
            <sz val="8"/>
            <color indexed="81"/>
            <rFont val="Tahoma"/>
            <family val="2"/>
          </rPr>
          <t xml:space="preserve">
Kontrollen visas då beloppen på raderna 5101+5103+5105 överskrider beloppet
i samma kolumn på rad 510.</t>
        </r>
      </text>
    </comment>
    <comment ref="N53" authorId="4" shapeId="0" xr:uid="{00000000-0006-0000-0900-000016000000}">
      <text>
        <r>
          <rPr>
            <b/>
            <sz val="8"/>
            <color indexed="81"/>
            <rFont val="Tahoma"/>
            <family val="2"/>
          </rPr>
          <t>SCB:</t>
        </r>
        <r>
          <rPr>
            <sz val="8"/>
            <color indexed="81"/>
            <rFont val="Tahoma"/>
            <family val="2"/>
          </rPr>
          <t xml:space="preserve">
Kontrollen visas då beloppen på raderna 5201+5203+5205 överskrider beloppet i samma kolumn på rad 520.</t>
        </r>
      </text>
    </comment>
    <comment ref="N54" authorId="2" shapeId="0" xr:uid="{00000000-0006-0000-0900-000017000000}">
      <text>
        <r>
          <rPr>
            <b/>
            <sz val="8"/>
            <color indexed="81"/>
            <rFont val="Tahoma"/>
            <family val="2"/>
          </rPr>
          <t xml:space="preserve">SCB:
</t>
        </r>
        <r>
          <rPr>
            <sz val="8"/>
            <color indexed="81"/>
            <rFont val="Tahoma"/>
            <family val="2"/>
          </rPr>
          <t>Kontrollen visas då beloppen på raderna 5201+5203+5205 överskrider beloppet i samma kolumn på rad 520.</t>
        </r>
      </text>
    </comment>
    <comment ref="N57" authorId="4" shapeId="0" xr:uid="{00000000-0006-0000-0900-000018000000}">
      <text>
        <r>
          <rPr>
            <b/>
            <sz val="8"/>
            <color indexed="81"/>
            <rFont val="Tahoma"/>
            <family val="2"/>
          </rPr>
          <t>SCB:</t>
        </r>
        <r>
          <rPr>
            <sz val="8"/>
            <color indexed="81"/>
            <rFont val="Tahoma"/>
            <family val="2"/>
          </rPr>
          <t xml:space="preserve">
Kontrollen visas då beloppet på rad 5131 i respektive kolumn överskrider beloppet i samma kolumn på rad 513.</t>
        </r>
      </text>
    </comment>
    <comment ref="N58" authorId="2" shapeId="0" xr:uid="{00000000-0006-0000-0900-000019000000}">
      <text>
        <r>
          <rPr>
            <b/>
            <sz val="8"/>
            <color indexed="81"/>
            <rFont val="Tahoma"/>
            <family val="2"/>
          </rPr>
          <t>SCB:</t>
        </r>
        <r>
          <rPr>
            <sz val="8"/>
            <color indexed="81"/>
            <rFont val="Tahoma"/>
            <family val="2"/>
          </rPr>
          <t xml:space="preserve">
Kontrollen visas då beloppet på rad 5131 i respektive kolumn överskrider beloppet i samma kolumn på rad 513.</t>
        </r>
      </text>
    </comment>
    <comment ref="D59" authorId="5" shapeId="0" xr:uid="{00000000-0006-0000-0900-00001A000000}">
      <text>
        <r>
          <rPr>
            <b/>
            <sz val="8"/>
            <color indexed="81"/>
            <rFont val="Tahoma"/>
            <family val="2"/>
          </rPr>
          <t>SCB:</t>
        </r>
        <r>
          <rPr>
            <sz val="8"/>
            <color indexed="81"/>
            <rFont val="Tahoma"/>
            <family val="2"/>
          </rPr>
          <t xml:space="preserve">
Det ska inte finnas några differenser i Differenskolumnen, dvs. mellan de länkade beloppen i kolumn C och summan av de utfördelade beloppen i kolumnerna E - M.</t>
        </r>
      </text>
    </comment>
  </commentList>
</comments>
</file>

<file path=xl/sharedStrings.xml><?xml version="1.0" encoding="utf-8"?>
<sst xmlns="http://schemas.openxmlformats.org/spreadsheetml/2006/main" count="2491" uniqueCount="1841">
  <si>
    <t>i kommunens koncernföretag</t>
  </si>
  <si>
    <t>hos kommunens koncernföretag</t>
  </si>
  <si>
    <t>135</t>
  </si>
  <si>
    <t>Förvaltningsavgifter</t>
  </si>
  <si>
    <t>139</t>
  </si>
  <si>
    <t>13 (ej 139)</t>
  </si>
  <si>
    <t>10-13 (ej 139)</t>
  </si>
  <si>
    <t>FINANSIELLA INTÄKTER ENL RR</t>
  </si>
  <si>
    <t>FINANSIELLA KOSTNADER ENL RR</t>
  </si>
  <si>
    <t xml:space="preserve">Obligationer, förlagsbevis m.m. samt certifikat </t>
  </si>
  <si>
    <t>Personalens källskatt</t>
  </si>
  <si>
    <t>298</t>
  </si>
  <si>
    <t>Förutbetalda skatteintäkter</t>
  </si>
  <si>
    <t>Verksamhetsblock/-områden</t>
  </si>
  <si>
    <t>EGENTLIG VERKSAMHET</t>
  </si>
  <si>
    <t>Politisk verksamhet, totalt</t>
  </si>
  <si>
    <t>Parker</t>
  </si>
  <si>
    <t>Räddningstjänst</t>
  </si>
  <si>
    <t>Övrig utbildning</t>
  </si>
  <si>
    <t>Utbildning, totalt</t>
  </si>
  <si>
    <t>SUMMA EGENTLIG VERKSAMHET</t>
  </si>
  <si>
    <t>Hamnverksamhet</t>
  </si>
  <si>
    <t>Kommersiell verksamhet</t>
  </si>
  <si>
    <t>Bostadsverksamhet</t>
  </si>
  <si>
    <t>Näringsliv och bostäder, totalt</t>
  </si>
  <si>
    <t>Sjötrafik</t>
  </si>
  <si>
    <t>Kommunikationer, totalt</t>
  </si>
  <si>
    <t>Fjärrvärmeförsörjning</t>
  </si>
  <si>
    <t>Vattenförsörjning och avloppshantering</t>
  </si>
  <si>
    <t>Avfallshantering</t>
  </si>
  <si>
    <t>SUMMA AFFÄRSVERKSAMHET</t>
  </si>
  <si>
    <t>Gemensamma lokaler</t>
  </si>
  <si>
    <t>Gemensamma verksamheter</t>
  </si>
  <si>
    <t>TOTALSUMMA</t>
  </si>
  <si>
    <t>Personalkostnader</t>
  </si>
  <si>
    <t xml:space="preserve">Externa varor, tjänster och bidrag  </t>
  </si>
  <si>
    <t>Lokal- och anläggningskostnader</t>
  </si>
  <si>
    <t>Externa intäkter</t>
  </si>
  <si>
    <t xml:space="preserve">Interna </t>
  </si>
  <si>
    <t>Kostnad</t>
  </si>
  <si>
    <t>Kontroller</t>
  </si>
  <si>
    <t>BRUTTO-</t>
  </si>
  <si>
    <t>intäkter</t>
  </si>
  <si>
    <t>KOSTNAD</t>
  </si>
  <si>
    <t>kostnad</t>
  </si>
  <si>
    <t>[45]</t>
  </si>
  <si>
    <t>[601]</t>
  </si>
  <si>
    <t>[341]</t>
  </si>
  <si>
    <t>Block 1. POLITISK VERKSAMHET</t>
  </si>
  <si>
    <t>Nämnd- och styrelseverksamhet</t>
  </si>
  <si>
    <t>Kommentarer politisk verksamhet:</t>
  </si>
  <si>
    <t>Stöd till politiska partier</t>
  </si>
  <si>
    <t>Revision</t>
  </si>
  <si>
    <t xml:space="preserve">Övrig politisk verksamhet </t>
  </si>
  <si>
    <t>POLITISK VERKSAMHET, TOTALT</t>
  </si>
  <si>
    <t>Block 2. INFRASTRUKTUR, SKYDD mm</t>
  </si>
  <si>
    <t>Fysisk o.teknisk planering, bostadsförbättr.</t>
  </si>
  <si>
    <t>Näringslivsfrämjande åtgärder</t>
  </si>
  <si>
    <t>Konsument- och energirådgivning</t>
  </si>
  <si>
    <t>Turistverksamhet</t>
  </si>
  <si>
    <t>Beskrivning av nyckeltalen</t>
  </si>
  <si>
    <t>Miljö- och hälsoskydd, myndighetsutövning</t>
  </si>
  <si>
    <t>Miljö- hälsa och hållbar utveckling</t>
  </si>
  <si>
    <t>Alkoholtillstånd m.m.</t>
  </si>
  <si>
    <t xml:space="preserve">Totalförsvar och samhällsskydd  </t>
  </si>
  <si>
    <t>INFRASTRUKTUR, SKYDD mm TOTALT</t>
  </si>
  <si>
    <t>Block 3.  KULTUR OCH FRITID</t>
  </si>
  <si>
    <t>Kulturverksamhet</t>
  </si>
  <si>
    <t>Stöd till studieorganisationer</t>
  </si>
  <si>
    <t>Allmän kulturverksamhet, övrigt</t>
  </si>
  <si>
    <t>Bibliotek</t>
  </si>
  <si>
    <t>Musikskola / kulturskola</t>
  </si>
  <si>
    <t>Kulturverksamhet totalt</t>
  </si>
  <si>
    <t>Fritidsverksamhet</t>
  </si>
  <si>
    <t>Allmän fritidsverksamhet</t>
  </si>
  <si>
    <t>Idrotts- och fritidsanläggningar</t>
  </si>
  <si>
    <t>Fritidsgårdar</t>
  </si>
  <si>
    <t>Fritidsverksamhet, totalt</t>
  </si>
  <si>
    <t xml:space="preserve"> KULTUR OCH FRITID, TOTALT</t>
  </si>
  <si>
    <t>Block 4. PEDAGOGISK VERKSAMHET</t>
  </si>
  <si>
    <t>Öppen förskola</t>
  </si>
  <si>
    <t>Förskola</t>
  </si>
  <si>
    <t>Pedagogisk omsorg</t>
  </si>
  <si>
    <t>Öppen fritidsverksamhet</t>
  </si>
  <si>
    <t>Fritidshem</t>
  </si>
  <si>
    <t>Skolväsendet för barn- o ungdom</t>
  </si>
  <si>
    <t>Gymnasieskola</t>
  </si>
  <si>
    <t>Skolväsendet för barn o ungdom totalt</t>
  </si>
  <si>
    <t>Kommunal vuxenutbildning</t>
  </si>
  <si>
    <t>Högskoleutbildning m.m.</t>
  </si>
  <si>
    <t>Kommentarer balanskravsutredningen:</t>
  </si>
  <si>
    <t>Verksamhetens kostnad enligt RR</t>
  </si>
  <si>
    <t>Verksamhetens intäkter enl. RR</t>
  </si>
  <si>
    <t>Verksamhetens kostnader enl. RR</t>
  </si>
  <si>
    <t>Verksamhetens intäkter enl.RR</t>
  </si>
  <si>
    <t>Kommentarer verksamhetens kostnader:</t>
  </si>
  <si>
    <t>Kommentarer verksamhetens intäkter:</t>
  </si>
  <si>
    <t>Kommentarer förskolan:</t>
  </si>
  <si>
    <t>Kommentarer fritidshem:</t>
  </si>
  <si>
    <t>Kommentarer förskoleklass:</t>
  </si>
  <si>
    <t>Kommentarer grundläggande vuxenutbildning:</t>
  </si>
  <si>
    <t>Kommentarer gymnasial vuxen- och påbyggnadsutbildning:</t>
  </si>
  <si>
    <t xml:space="preserve">Svenska för invandrare </t>
  </si>
  <si>
    <t>Utbildning inkl. förskoleklass</t>
  </si>
  <si>
    <t>PEDAGOGISK VERKSAMH., TOTALT</t>
  </si>
  <si>
    <t>Block 5. VÅRD O OMSORG</t>
  </si>
  <si>
    <t>Primärvård</t>
  </si>
  <si>
    <t>Hälso- och sjukvård, övrigt exkl. hemsjukvård</t>
  </si>
  <si>
    <t xml:space="preserve">Vård, omsorg: äldre och personer med funktionsnedsättning </t>
  </si>
  <si>
    <t>Färdtjänst/riksfärdtjänst</t>
  </si>
  <si>
    <t>Öppen verksamhet</t>
  </si>
  <si>
    <t>VoO: äldre, personer m.funktionsneds., tot.</t>
  </si>
  <si>
    <t xml:space="preserve">Individ- och familjeomsorg               </t>
  </si>
  <si>
    <t>Barn och ungdomsvård</t>
  </si>
  <si>
    <t>Ekonomiskt bistånd</t>
  </si>
  <si>
    <t xml:space="preserve">Individ- och familjeomsorg, totalt </t>
  </si>
  <si>
    <t>Familjerätt och familjerådgivning</t>
  </si>
  <si>
    <t>VÅRD OCH OMSORG, TOTALT</t>
  </si>
  <si>
    <t>Block 6. SÄRSKILT RIKTADE INSATSER</t>
  </si>
  <si>
    <r>
      <t>Insatser till personer med funktionsnedsättning (exkl LSS/SFB</t>
    </r>
    <r>
      <rPr>
        <b/>
        <vertAlign val="superscript"/>
        <sz val="7"/>
        <rFont val="Helvetica"/>
        <family val="2"/>
      </rPr>
      <t>1</t>
    </r>
    <r>
      <rPr>
        <b/>
        <sz val="7"/>
        <rFont val="Helvetica"/>
        <family val="2"/>
      </rPr>
      <t>)</t>
    </r>
  </si>
  <si>
    <t xml:space="preserve"> </t>
  </si>
  <si>
    <t>Flyktingmottagande</t>
  </si>
  <si>
    <t xml:space="preserve">Arbetsmarknadsåtgärder </t>
  </si>
  <si>
    <t>SÄRSKILT RIKTADE INSATSER,TOTALT</t>
  </si>
  <si>
    <t>AFFÄRSVERKSAMHET</t>
  </si>
  <si>
    <t>Näringsliv och bostäder</t>
  </si>
  <si>
    <t>Arbetsområden och lokaler</t>
  </si>
  <si>
    <t>Kommunikationer</t>
  </si>
  <si>
    <t>Flygtrafik</t>
  </si>
  <si>
    <t>Energi, vatten och avfall</t>
  </si>
  <si>
    <t>Elförsörjning + gasförsörjning</t>
  </si>
  <si>
    <t>Energi, vatten och avfall, totalt</t>
  </si>
  <si>
    <t>SUMMA DRIFTVERKSAMHET</t>
  </si>
  <si>
    <t>Nettokostnad gemensamma verksamheter</t>
  </si>
  <si>
    <t>Kommuner</t>
  </si>
  <si>
    <t>Kommunal-</t>
  </si>
  <si>
    <t>Staten och</t>
  </si>
  <si>
    <t>Differens</t>
  </si>
  <si>
    <t xml:space="preserve"> stiftelser</t>
  </si>
  <si>
    <t>företag</t>
  </si>
  <si>
    <t>förbund</t>
  </si>
  <si>
    <t>statl.myndigh.</t>
  </si>
  <si>
    <t>[358]</t>
  </si>
  <si>
    <t xml:space="preserve">Fritidsverksamhet, totalt  </t>
  </si>
  <si>
    <t xml:space="preserve">Gymnasieskola </t>
  </si>
  <si>
    <t xml:space="preserve"> därav  inst. vård för vuxna med missbruksprob.</t>
  </si>
  <si>
    <t>Övrig Ifo + fam.rätt (rad 571+ 575+585)</t>
  </si>
  <si>
    <t>Arbetsmarknadsåtgärder</t>
  </si>
  <si>
    <t>Summa affärsverksamhet</t>
  </si>
  <si>
    <t>Gemensam verksamhet (inkl. lokaler)</t>
  </si>
  <si>
    <t>Kommentarer till köp av huvudverksamhet:</t>
  </si>
  <si>
    <t>Kommentarer till bidrag och transfereringar:</t>
  </si>
  <si>
    <t>Kommentarer till specificering av vissa intäkter:</t>
  </si>
  <si>
    <t>Brutto-</t>
  </si>
  <si>
    <t>Nyckeltal</t>
  </si>
  <si>
    <t xml:space="preserve">Interna kostnader </t>
  </si>
  <si>
    <t xml:space="preserve">Fördelning av gemensamma verksamheter </t>
  </si>
  <si>
    <t>Interna intäkter</t>
  </si>
  <si>
    <t>Balanskravsresultat</t>
  </si>
  <si>
    <t>Årets resultat enligt resultaträkningen</t>
  </si>
  <si>
    <t>intäkt</t>
  </si>
  <si>
    <t>Infrastruktur, skydd mm totalt</t>
  </si>
  <si>
    <t>Utlandet</t>
  </si>
  <si>
    <t>-/+ Nedskrivningar/återföring av nedskrivning</t>
  </si>
  <si>
    <t>Anhörigbidrag</t>
  </si>
  <si>
    <t>Sjuklön</t>
  </si>
  <si>
    <t>Vatten och avlopp</t>
  </si>
  <si>
    <t>Öppen förskola och öppen fritidsverksamhet</t>
  </si>
  <si>
    <t>Summa vård och omsorg om äldre</t>
  </si>
  <si>
    <t>Daglig verksamhet enligt LSS</t>
  </si>
  <si>
    <t>Övriga insatser enligt LSS</t>
  </si>
  <si>
    <t>Öppna insatser, individuellt behovsprövad öppen vård</t>
  </si>
  <si>
    <t>Öppna insatser, bistånd som avser boende</t>
  </si>
  <si>
    <t>Öppna insatser, övriga</t>
  </si>
  <si>
    <t>Differens mellan rad 510 (från avd. Drift) och rad 51099</t>
  </si>
  <si>
    <t>Differens mellan rad 520 (från avd. Drift) och rad 52099</t>
  </si>
  <si>
    <t>Differens rad 513 (från avd. Drift) och rad 51399</t>
  </si>
  <si>
    <r>
      <t xml:space="preserve">Konto </t>
    </r>
    <r>
      <rPr>
        <b/>
        <sz val="8"/>
        <rFont val="Helvetica"/>
        <family val="2"/>
      </rPr>
      <t>[354]</t>
    </r>
    <r>
      <rPr>
        <sz val="8"/>
        <rFont val="Helvetica"/>
        <family val="2"/>
      </rPr>
      <t xml:space="preserve"> kommunens ersättning </t>
    </r>
    <r>
      <rPr>
        <b/>
        <sz val="8"/>
        <rFont val="Helvetica"/>
        <family val="2"/>
      </rPr>
      <t>från</t>
    </r>
    <r>
      <rPr>
        <sz val="8"/>
        <rFont val="Helvetica"/>
        <family val="2"/>
      </rPr>
      <t xml:space="preserve"> Försäkringskassan för personlig assistent enligt SFB, tkr</t>
    </r>
  </si>
  <si>
    <r>
      <t xml:space="preserve">Konto </t>
    </r>
    <r>
      <rPr>
        <b/>
        <sz val="8"/>
        <rFont val="Helvetica"/>
        <family val="2"/>
      </rPr>
      <t>[4538]</t>
    </r>
    <r>
      <rPr>
        <sz val="8"/>
        <rFont val="Helvetica"/>
        <family val="2"/>
      </rPr>
      <t xml:space="preserve"> kommunens ersättning</t>
    </r>
    <r>
      <rPr>
        <b/>
        <sz val="8"/>
        <rFont val="Helvetica"/>
        <family val="2"/>
      </rPr>
      <t xml:space="preserve"> till</t>
    </r>
    <r>
      <rPr>
        <sz val="8"/>
        <rFont val="Helvetica"/>
        <family val="2"/>
      </rPr>
      <t xml:space="preserve"> Försäkringskassan för personlig assistent enligt  SFB, tkr</t>
    </r>
  </si>
  <si>
    <t>Familjehemsvård för barn och unga</t>
  </si>
  <si>
    <t>Summa barn- och ungdomsvård</t>
  </si>
  <si>
    <t>Övriga insatser till vuxna</t>
  </si>
  <si>
    <t>Familjerätt</t>
  </si>
  <si>
    <t>Familjerådgivning</t>
  </si>
  <si>
    <t>Differens familjerätt/familjerådgivning</t>
  </si>
  <si>
    <t>Summa individ- och familjeomsorg</t>
  </si>
  <si>
    <t>Därav</t>
  </si>
  <si>
    <t>inventarier</t>
  </si>
  <si>
    <t>tekn.anläggn.</t>
  </si>
  <si>
    <t>Näringsl.främj.åtg, turistv.o konsum.-ener.rådg</t>
  </si>
  <si>
    <t>17 [ej 178]</t>
  </si>
  <si>
    <t>Miljö- och hälsoskydd och alkoholtillstånd</t>
  </si>
  <si>
    <t>Totalförsvar och samhällsskydd</t>
  </si>
  <si>
    <t>Infrastruktur, skydd m.m. totalt</t>
  </si>
  <si>
    <t>Kultur och fritid, totalt</t>
  </si>
  <si>
    <r>
      <t>Utbildning</t>
    </r>
    <r>
      <rPr>
        <sz val="7"/>
        <rFont val="Helvetica"/>
        <family val="2"/>
      </rPr>
      <t xml:space="preserve">                                            </t>
    </r>
  </si>
  <si>
    <t>Pedagogisk verksamhet, totalt</t>
  </si>
  <si>
    <r>
      <t xml:space="preserve">Vård och omsorg </t>
    </r>
    <r>
      <rPr>
        <sz val="7"/>
        <rFont val="Helvetica"/>
        <family val="2"/>
      </rPr>
      <t xml:space="preserve">                                    
Primärvård</t>
    </r>
  </si>
  <si>
    <t>Individ o familjeomsorg totalt, familjerätt</t>
  </si>
  <si>
    <t xml:space="preserve">Vård och omsorg, totalt                                    </t>
  </si>
  <si>
    <t>Särskilt riktade insatser, totalt</t>
  </si>
  <si>
    <r>
      <t>Kommunikationer</t>
    </r>
    <r>
      <rPr>
        <sz val="7"/>
        <rFont val="Helvetica"/>
        <family val="2"/>
      </rPr>
      <t xml:space="preserve">                                                         Flygtrafik</t>
    </r>
  </si>
  <si>
    <r>
      <t>Energi, vatten och avfall</t>
    </r>
    <r>
      <rPr>
        <sz val="7"/>
        <rFont val="Helvetica"/>
        <family val="2"/>
      </rPr>
      <t xml:space="preserve">                                        
El- och gasförsörjning</t>
    </r>
  </si>
  <si>
    <t>Energi, vatten och avfall,totalt</t>
  </si>
  <si>
    <t xml:space="preserve">Kommentarer driftredovisningen: </t>
  </si>
  <si>
    <t>Ange kommunens kostnad för rådgivning och annat personligt stöd enl 9 § punkt 1 LSS, tkr</t>
  </si>
  <si>
    <t>Övriga tilläggsupplysningar</t>
  </si>
  <si>
    <t>EU-bidrag (driftbidrag)</t>
  </si>
  <si>
    <t>Löner</t>
  </si>
  <si>
    <t>Boende enl. LSS för vuxna</t>
  </si>
  <si>
    <t>ägda företag</t>
  </si>
  <si>
    <t>Föreningar,</t>
  </si>
  <si>
    <t>Privata</t>
  </si>
  <si>
    <t xml:space="preserve">Summa öppna insatser vuxna </t>
  </si>
  <si>
    <t>HVB-vård för barn och unga</t>
  </si>
  <si>
    <t>Vård för vuxna med missbruksproblem</t>
  </si>
  <si>
    <r>
      <t xml:space="preserve">Övriga </t>
    </r>
    <r>
      <rPr>
        <b/>
        <sz val="7"/>
        <rFont val="Helvetica"/>
        <family val="2"/>
      </rPr>
      <t/>
    </r>
  </si>
  <si>
    <t>Rad  nr</t>
  </si>
  <si>
    <t>Summa vård för vuxna med missbruksproblem</t>
  </si>
  <si>
    <t xml:space="preserve"> därav  HVB-vård för barn och unga</t>
  </si>
  <si>
    <t xml:space="preserve">Summa öppna insatser för barn och unga </t>
  </si>
  <si>
    <t>178</t>
  </si>
  <si>
    <t>Kalkylerad PO + Kalkylerad kapitalkostn.</t>
  </si>
  <si>
    <t>Interna kostnader</t>
  </si>
  <si>
    <t>Jämförelsestörande kostnader</t>
  </si>
  <si>
    <t>Jämförelsestörande intäkter</t>
  </si>
  <si>
    <t>100</t>
  </si>
  <si>
    <t>110</t>
  </si>
  <si>
    <t>120</t>
  </si>
  <si>
    <t>130</t>
  </si>
  <si>
    <t>190</t>
  </si>
  <si>
    <t>215</t>
  </si>
  <si>
    <t>220</t>
  </si>
  <si>
    <t>230</t>
  </si>
  <si>
    <t>249</t>
  </si>
  <si>
    <t>250</t>
  </si>
  <si>
    <t>261</t>
  </si>
  <si>
    <t>263</t>
  </si>
  <si>
    <t>267</t>
  </si>
  <si>
    <t>270</t>
  </si>
  <si>
    <t>275</t>
  </si>
  <si>
    <t>290</t>
  </si>
  <si>
    <t>310</t>
  </si>
  <si>
    <t>315</t>
  </si>
  <si>
    <t>320</t>
  </si>
  <si>
    <t>330</t>
  </si>
  <si>
    <t>339</t>
  </si>
  <si>
    <t>300</t>
  </si>
  <si>
    <t>340</t>
  </si>
  <si>
    <t>350</t>
  </si>
  <si>
    <t>359</t>
  </si>
  <si>
    <t>390</t>
  </si>
  <si>
    <t>400</t>
  </si>
  <si>
    <t>407</t>
  </si>
  <si>
    <t>412</t>
  </si>
  <si>
    <t>415</t>
  </si>
  <si>
    <t>425</t>
  </si>
  <si>
    <t>430</t>
  </si>
  <si>
    <t>443</t>
  </si>
  <si>
    <t>450</t>
  </si>
  <si>
    <t>453</t>
  </si>
  <si>
    <t>469</t>
  </si>
  <si>
    <t>474</t>
  </si>
  <si>
    <t>475</t>
  </si>
  <si>
    <t>476</t>
  </si>
  <si>
    <t>478</t>
  </si>
  <si>
    <t>480</t>
  </si>
  <si>
    <t>490</t>
  </si>
  <si>
    <t>500</t>
  </si>
  <si>
    <t>505</t>
  </si>
  <si>
    <t>513</t>
  </si>
  <si>
    <t>530</t>
  </si>
  <si>
    <t>600</t>
  </si>
  <si>
    <t>610</t>
  </si>
  <si>
    <t>690</t>
  </si>
  <si>
    <t>790</t>
  </si>
  <si>
    <t>800</t>
  </si>
  <si>
    <t>805</t>
  </si>
  <si>
    <t>810</t>
  </si>
  <si>
    <t>815</t>
  </si>
  <si>
    <t>820</t>
  </si>
  <si>
    <t>830</t>
  </si>
  <si>
    <t>832</t>
  </si>
  <si>
    <t>834</t>
  </si>
  <si>
    <t>840</t>
  </si>
  <si>
    <t>855</t>
  </si>
  <si>
    <t>860</t>
  </si>
  <si>
    <t>865</t>
  </si>
  <si>
    <t>870</t>
  </si>
  <si>
    <t>880</t>
  </si>
  <si>
    <t>890</t>
  </si>
  <si>
    <t>900</t>
  </si>
  <si>
    <t>910</t>
  </si>
  <si>
    <t>920</t>
  </si>
  <si>
    <t>950</t>
  </si>
  <si>
    <t>010</t>
  </si>
  <si>
    <t>020</t>
  </si>
  <si>
    <t>025</t>
  </si>
  <si>
    <t>030</t>
  </si>
  <si>
    <t>040</t>
  </si>
  <si>
    <t>050</t>
  </si>
  <si>
    <t>060</t>
  </si>
  <si>
    <t>070</t>
  </si>
  <si>
    <t>080</t>
  </si>
  <si>
    <t>015</t>
  </si>
  <si>
    <t>021</t>
  </si>
  <si>
    <t>023</t>
  </si>
  <si>
    <t>036</t>
  </si>
  <si>
    <t>037</t>
  </si>
  <si>
    <t>033</t>
  </si>
  <si>
    <t>032</t>
  </si>
  <si>
    <t>031</t>
  </si>
  <si>
    <t>034</t>
  </si>
  <si>
    <t>035</t>
  </si>
  <si>
    <t>039</t>
  </si>
  <si>
    <t>045</t>
  </si>
  <si>
    <t>046</t>
  </si>
  <si>
    <t>051</t>
  </si>
  <si>
    <t>055</t>
  </si>
  <si>
    <t>053</t>
  </si>
  <si>
    <t>054</t>
  </si>
  <si>
    <t>056</t>
  </si>
  <si>
    <t>065</t>
  </si>
  <si>
    <t>069</t>
  </si>
  <si>
    <t>999</t>
  </si>
  <si>
    <t>052</t>
  </si>
  <si>
    <t>066</t>
  </si>
  <si>
    <t>073</t>
  </si>
  <si>
    <t>074</t>
  </si>
  <si>
    <t>075</t>
  </si>
  <si>
    <t>076</t>
  </si>
  <si>
    <t>071</t>
  </si>
  <si>
    <t>077</t>
  </si>
  <si>
    <t>078</t>
  </si>
  <si>
    <t>079</t>
  </si>
  <si>
    <t>081</t>
  </si>
  <si>
    <t>082</t>
  </si>
  <si>
    <t>083</t>
  </si>
  <si>
    <t>084</t>
  </si>
  <si>
    <t>085</t>
  </si>
  <si>
    <t>089</t>
  </si>
  <si>
    <t>090</t>
  </si>
  <si>
    <t>086</t>
  </si>
  <si>
    <t>091</t>
  </si>
  <si>
    <t>092</t>
  </si>
  <si>
    <t>093</t>
  </si>
  <si>
    <t>094</t>
  </si>
  <si>
    <t>095</t>
  </si>
  <si>
    <t>096</t>
  </si>
  <si>
    <t>097</t>
  </si>
  <si>
    <t>098</t>
  </si>
  <si>
    <t>099</t>
  </si>
  <si>
    <t>108</t>
  </si>
  <si>
    <t>121</t>
  </si>
  <si>
    <t>122</t>
  </si>
  <si>
    <t>140</t>
  </si>
  <si>
    <t>150</t>
  </si>
  <si>
    <t>160</t>
  </si>
  <si>
    <t>088</t>
  </si>
  <si>
    <t>101</t>
  </si>
  <si>
    <t>239</t>
  </si>
  <si>
    <t>269</t>
  </si>
  <si>
    <t>459</t>
  </si>
  <si>
    <t>479</t>
  </si>
  <si>
    <t>580</t>
  </si>
  <si>
    <t>590</t>
  </si>
  <si>
    <t>- Avskrivningar</t>
  </si>
  <si>
    <t>+/- Övriga förändringar</t>
  </si>
  <si>
    <t>990</t>
  </si>
  <si>
    <t>991</t>
  </si>
  <si>
    <t>992</t>
  </si>
  <si>
    <t>993</t>
  </si>
  <si>
    <t>994</t>
  </si>
  <si>
    <t>995</t>
  </si>
  <si>
    <t>Eget kapital, avsättningar och skulder</t>
  </si>
  <si>
    <t>Verksamhetens intäkter</t>
  </si>
  <si>
    <t>Verksamhetens kostnader</t>
  </si>
  <si>
    <t>Kommunal regi</t>
  </si>
  <si>
    <t>Förskola, personalkostnad andel av total kostnad kommunal regi.</t>
  </si>
  <si>
    <t xml:space="preserve">   - Lokalhyror, rad 450</t>
  </si>
  <si>
    <t>Övriga insatser i ordinärt boende</t>
  </si>
  <si>
    <t xml:space="preserve">   - Infriad borgen, rad 477</t>
  </si>
  <si>
    <t xml:space="preserve">   + Markhyror och arrenden mm. rad 420</t>
  </si>
  <si>
    <t xml:space="preserve">   + Hyror och arrenden, övrigt, rad 480</t>
  </si>
  <si>
    <t xml:space="preserve">   + Bidrag, rad 590</t>
  </si>
  <si>
    <t>Verksamhetens intäkter:</t>
  </si>
  <si>
    <t xml:space="preserve">     Löner, rad 950, kol C:</t>
  </si>
  <si>
    <t xml:space="preserve">     Varor, rad 950, kol E:</t>
  </si>
  <si>
    <t xml:space="preserve">     Övriga, rad 950, kol G:</t>
  </si>
  <si>
    <t xml:space="preserve">     Externa lokalhyror, rad 950, kol I:</t>
  </si>
  <si>
    <t xml:space="preserve">     Taxor och avgifter, rad 950, kol R:</t>
  </si>
  <si>
    <t xml:space="preserve">     Ext. bost.- o lokalhyror, rad 950, kol S:</t>
  </si>
  <si>
    <t xml:space="preserve">     Övriga ext. Intäkter, rad 950, kol T:</t>
  </si>
  <si>
    <t>8. Kontroll av att externa bostads- o lokalhyror i driften är lika stora som i verksamhetsintäkter</t>
  </si>
  <si>
    <t>9. Kontroll av att övriga externa intäkter i driften är lika stora som motsvarande i verksamhetsintäkter</t>
  </si>
  <si>
    <t xml:space="preserve">     Driftbidrag fr.staten, statl.mynd.AF, kol AA</t>
  </si>
  <si>
    <t xml:space="preserve">     Markhyror och bidrag, kol. AC</t>
  </si>
  <si>
    <t xml:space="preserve">     Markhyror och arrenden mm., rad 420</t>
  </si>
  <si>
    <t>Pek510</t>
  </si>
  <si>
    <t>Pek513</t>
  </si>
  <si>
    <t>Personalkostnad äldreomsorg, tkr</t>
  </si>
  <si>
    <t>Personalkostnad ordinärt boende äldreomsorg, tkr</t>
  </si>
  <si>
    <t>Personalkostnad särskilt boende äldreomsorg, tkr</t>
  </si>
  <si>
    <t>Personalkostnad insatser för funktionsnedsatta i ordinärt boende, tkr</t>
  </si>
  <si>
    <t>Personalkostnad insatser för funktionsnedsatta i särskilt boende, tkr</t>
  </si>
  <si>
    <t>Personalkostnad insatser enl LSS/LASS, tkr</t>
  </si>
  <si>
    <t>Personalkostnad insatser för funktionsnedsatta enl SoL, tkr</t>
  </si>
  <si>
    <t>Pek520</t>
  </si>
  <si>
    <t>Pek5105</t>
  </si>
  <si>
    <t>Pek510ord</t>
  </si>
  <si>
    <t>PEK520ord</t>
  </si>
  <si>
    <t>Äldre och personer med funktionsnedsättning</t>
  </si>
  <si>
    <t>IB Anläggningstillgångar</t>
  </si>
  <si>
    <t>UB Anläggningstillgångar</t>
  </si>
  <si>
    <t>Insatser till personer med funktionsnedsättning (ej LSS/SFB)</t>
  </si>
  <si>
    <t>Insatser enligt LSS/SFB</t>
  </si>
  <si>
    <t>3. Kontroll av att entreprenader och köp av huvudverksamhet i driften redovisas på rätt rad i verksamhetskostnader</t>
  </si>
  <si>
    <t>5. Kontroll av att bidrag och transfereringar i driften är lika med bidrag och transfereringar i verksamhetskostnaderna</t>
  </si>
  <si>
    <t>6. Kontroll av att externa lokalhyror i driften är lika med externa lokalhyror i verksamhetskostnaderna</t>
  </si>
  <si>
    <t>7. Kontroll av att externa avgifter i driften är lika stor som i Verksamhetsintäkter:</t>
  </si>
  <si>
    <t>Motpartsredovisning</t>
  </si>
  <si>
    <t>Fritidshem, personalkostnad andel av total kostnad kommunal regi.</t>
  </si>
  <si>
    <t>Förskoleklass, personalkostnad andel av total kostnad kommunal regi.</t>
  </si>
  <si>
    <t>Grundskola</t>
  </si>
  <si>
    <t>Grundläggande vuxenutbildning</t>
  </si>
  <si>
    <t>Gymnasial vuxen- och påbyggnadsutbildning</t>
  </si>
  <si>
    <t>251</t>
  </si>
  <si>
    <t>255</t>
  </si>
  <si>
    <t>257</t>
  </si>
  <si>
    <t>351</t>
  </si>
  <si>
    <t>355</t>
  </si>
  <si>
    <t>357</t>
  </si>
  <si>
    <t>35</t>
  </si>
  <si>
    <t>401</t>
  </si>
  <si>
    <t>402</t>
  </si>
  <si>
    <t>404</t>
  </si>
  <si>
    <t>405</t>
  </si>
  <si>
    <t>406</t>
  </si>
  <si>
    <t>408</t>
  </si>
  <si>
    <t>4081</t>
  </si>
  <si>
    <t>431</t>
  </si>
  <si>
    <t>435</t>
  </si>
  <si>
    <t>439</t>
  </si>
  <si>
    <t>07</t>
  </si>
  <si>
    <t>40</t>
  </si>
  <si>
    <t>VKV-kostnader/nyckeltal:</t>
  </si>
  <si>
    <t>NtalVoO</t>
  </si>
  <si>
    <t>Pek5205</t>
  </si>
  <si>
    <t>Kontroll mot driftrredovisningen</t>
  </si>
  <si>
    <t>43</t>
  </si>
  <si>
    <t>432</t>
  </si>
  <si>
    <t>434</t>
  </si>
  <si>
    <t>436</t>
  </si>
  <si>
    <t>437</t>
  </si>
  <si>
    <t>438</t>
  </si>
  <si>
    <t>4381</t>
  </si>
  <si>
    <t>50</t>
  </si>
  <si>
    <t>501</t>
  </si>
  <si>
    <t>502</t>
  </si>
  <si>
    <t>504</t>
  </si>
  <si>
    <t>506</t>
  </si>
  <si>
    <t>507</t>
  </si>
  <si>
    <t>508</t>
  </si>
  <si>
    <t>5081</t>
  </si>
  <si>
    <t>53</t>
  </si>
  <si>
    <t>531</t>
  </si>
  <si>
    <t>532</t>
  </si>
  <si>
    <t>534</t>
  </si>
  <si>
    <t>535</t>
  </si>
  <si>
    <t>536</t>
  </si>
  <si>
    <t>537</t>
  </si>
  <si>
    <t>538</t>
  </si>
  <si>
    <t>5381</t>
  </si>
  <si>
    <t>70</t>
  </si>
  <si>
    <t>701</t>
  </si>
  <si>
    <t>702</t>
  </si>
  <si>
    <t>706</t>
  </si>
  <si>
    <t>707</t>
  </si>
  <si>
    <t>708</t>
  </si>
  <si>
    <t>7081</t>
  </si>
  <si>
    <t>72</t>
  </si>
  <si>
    <t>721</t>
  </si>
  <si>
    <t>722</t>
  </si>
  <si>
    <t>726</t>
  </si>
  <si>
    <t>727</t>
  </si>
  <si>
    <t>728</t>
  </si>
  <si>
    <t>7281</t>
  </si>
  <si>
    <t>520</t>
  </si>
  <si>
    <t>510</t>
  </si>
  <si>
    <t>Hälso- o sjukvård, primärvård  (rad 500+505)</t>
  </si>
  <si>
    <t>Övrig utbildning (rad 475+476+478)</t>
  </si>
  <si>
    <t xml:space="preserve">Institutionsvård vuxna </t>
  </si>
  <si>
    <t>569</t>
  </si>
  <si>
    <t>559</t>
  </si>
  <si>
    <t>575</t>
  </si>
  <si>
    <t>571</t>
  </si>
  <si>
    <t xml:space="preserve">Korttidsboende </t>
  </si>
  <si>
    <t>Hemtjänst i ordinärt  boende</t>
  </si>
  <si>
    <t>Dagverksamhet,  ordinärt boende</t>
  </si>
  <si>
    <t>Hemtjänst i ordinärt boende</t>
  </si>
  <si>
    <t>Boendestöd i ordinärt boende</t>
  </si>
  <si>
    <t>585</t>
  </si>
  <si>
    <t>103</t>
  </si>
  <si>
    <t>Summering</t>
  </si>
  <si>
    <r>
      <t>Insatser enligt LSS/SFB</t>
    </r>
    <r>
      <rPr>
        <b/>
        <vertAlign val="superscript"/>
        <sz val="7"/>
        <rFont val="Helvetica"/>
        <family val="2"/>
      </rPr>
      <t>1</t>
    </r>
  </si>
  <si>
    <t xml:space="preserve">Insatser till personer med funktionneds. </t>
  </si>
  <si>
    <t>Övriga periodiseringar</t>
  </si>
  <si>
    <t>901</t>
  </si>
  <si>
    <t>Övrigt</t>
  </si>
  <si>
    <t>Verksamhet/skolform</t>
  </si>
  <si>
    <t/>
  </si>
  <si>
    <t>0799</t>
  </si>
  <si>
    <t>07991</t>
  </si>
  <si>
    <t>Därav avgifter för verksamhet i enskild regi</t>
  </si>
  <si>
    <t>Nyckeltal kr/inv</t>
  </si>
  <si>
    <t>Däravposter till kommunernas tillgångar</t>
  </si>
  <si>
    <t>Värde tkr</t>
  </si>
  <si>
    <t>Externa lokalhyror</t>
  </si>
  <si>
    <t>Interna köp och övriga interna kostnader</t>
  </si>
  <si>
    <t>Fördelad gemensam verksamhet</t>
  </si>
  <si>
    <t>Externa bostadshyror o lokalhyror</t>
  </si>
  <si>
    <t>Övriga externa intäkter</t>
  </si>
  <si>
    <t>Föreningar stiftelser</t>
  </si>
  <si>
    <t>Privata företag</t>
  </si>
  <si>
    <t>Staten och statl. myndigheter</t>
  </si>
  <si>
    <t>Förs.av versamh. till landsting</t>
  </si>
  <si>
    <t>Driftbidrag från EU</t>
  </si>
  <si>
    <t>Markhyror och bidrag</t>
  </si>
  <si>
    <t>BRUTTO-KOSTNAD</t>
  </si>
  <si>
    <t>BRUTTO-INTÄKT</t>
  </si>
  <si>
    <t>Rad- nr</t>
  </si>
  <si>
    <t>440</t>
  </si>
  <si>
    <t>Förskoleklass</t>
  </si>
  <si>
    <t>Särskilt boende/annat boende</t>
  </si>
  <si>
    <t>Realiserade valutakursvinster</t>
  </si>
  <si>
    <t>986</t>
  </si>
  <si>
    <t>987</t>
  </si>
  <si>
    <t>988</t>
  </si>
  <si>
    <t>989</t>
  </si>
  <si>
    <t>470</t>
  </si>
  <si>
    <t>472</t>
  </si>
  <si>
    <t>Upplupna skatteintäkter</t>
  </si>
  <si>
    <t>Vård och omsorg om äldre</t>
  </si>
  <si>
    <t xml:space="preserve">Vård för vuxna med missbruksproblem </t>
  </si>
  <si>
    <t xml:space="preserve">Barn- och ungdomsvård </t>
  </si>
  <si>
    <t xml:space="preserve">Familjerätt och familjerådgivning </t>
  </si>
  <si>
    <t>Kommun-</t>
  </si>
  <si>
    <t>+ Reavinst</t>
  </si>
  <si>
    <t>Kommunägda företag</t>
  </si>
  <si>
    <t>Familjehemsvård för vuxna</t>
  </si>
  <si>
    <t xml:space="preserve"> Avgifter</t>
  </si>
  <si>
    <t>Kalkylerad personal-omkostnad</t>
  </si>
  <si>
    <t>Kalkylerade kapital-kostnader</t>
  </si>
  <si>
    <t>540</t>
  </si>
  <si>
    <t>519</t>
  </si>
  <si>
    <t>Insatser till personer med funktionsnedsättning totalt (inkl LSS)</t>
  </si>
  <si>
    <t>Från driftredovis-ningen</t>
  </si>
  <si>
    <t>Skolskjuts, reseersättning o inackordering</t>
  </si>
  <si>
    <t xml:space="preserve"> Fördelad gemensam verksamhet</t>
  </si>
  <si>
    <t>Undervisning</t>
  </si>
  <si>
    <t>Förändring i %</t>
  </si>
  <si>
    <t>Differens grundskolan</t>
  </si>
  <si>
    <t>Differens gymnasieskolan</t>
  </si>
  <si>
    <t>Differens grundläggande vuxenutbildning</t>
  </si>
  <si>
    <t>Differens gymnasial vuxenutbildning</t>
  </si>
  <si>
    <t>Differens mot drift-  redovisningen</t>
  </si>
  <si>
    <t>Driftredovisning:</t>
  </si>
  <si>
    <t xml:space="preserve">     Löner m.m., rad 100:</t>
  </si>
  <si>
    <t xml:space="preserve">     Lokalhyror, rad 450:</t>
  </si>
  <si>
    <t>=</t>
  </si>
  <si>
    <t xml:space="preserve">     Taxor o avgifter, rad 290</t>
  </si>
  <si>
    <t xml:space="preserve">     Bostads- och lokalhyror, rad 400:</t>
  </si>
  <si>
    <t>Verksamhetskostad</t>
  </si>
  <si>
    <t>Verksamhetskostnader</t>
  </si>
  <si>
    <t xml:space="preserve">     Material, rad 360:</t>
  </si>
  <si>
    <t xml:space="preserve">     Verksamhetskostnader:</t>
  </si>
  <si>
    <t xml:space="preserve">     Tjänster, inkl köp av verksamh, rad 479</t>
  </si>
  <si>
    <t>Verksamhetsintäkter</t>
  </si>
  <si>
    <t>Vård och omsorg om äldre (från motpart)</t>
  </si>
  <si>
    <t>inv 21-64 år</t>
  </si>
  <si>
    <t>Differens rad 559 (från drift) - rad 55999</t>
  </si>
  <si>
    <t>Differens rad 569 (från drift) - rad 56999</t>
  </si>
  <si>
    <t>Summa familjerätt och familjerådgivning</t>
  </si>
  <si>
    <t>inv 0-20 år</t>
  </si>
  <si>
    <t>invånare</t>
  </si>
  <si>
    <t>inv 0-17 år</t>
  </si>
  <si>
    <t>inv 18-69 år</t>
  </si>
  <si>
    <t>Finansiella nyckeltal</t>
  </si>
  <si>
    <t>Försäljn.av anl.tillg. i % av skatteintäkter, generella statsbidrag o utj.</t>
  </si>
  <si>
    <t>Andel investeringar som finansieras med försäljn. av anl.tillg.</t>
  </si>
  <si>
    <t>Måltider</t>
  </si>
  <si>
    <t>Kommuninformation:</t>
  </si>
  <si>
    <t>Pedagogisk verksamhet</t>
  </si>
  <si>
    <t>Kommun:</t>
  </si>
  <si>
    <t>KommunID:</t>
  </si>
  <si>
    <t>Förskola, avgiftsfinansierringsgrad %</t>
  </si>
  <si>
    <t xml:space="preserve">UtVoO </t>
  </si>
  <si>
    <t>F</t>
  </si>
  <si>
    <t>H</t>
  </si>
  <si>
    <t>I</t>
  </si>
  <si>
    <t>Fritidshem, avgiftsfinansieringsgrad</t>
  </si>
  <si>
    <t>Kommentarer personer med funktionsnedsättning:</t>
  </si>
  <si>
    <t>Kommentarer entreprenad och köp av huvudverksamhet:</t>
  </si>
  <si>
    <t>Kommentarer vuxna missbrukare:</t>
  </si>
  <si>
    <t>Kommentarer barn- och ungdomsvård:</t>
  </si>
  <si>
    <t>Kommentarer övriga insatser vuxna och ekonomiskt bistånd:</t>
  </si>
  <si>
    <t>Kommentarer familjerätt- och familjerådgivning:</t>
  </si>
  <si>
    <t>Kommentarer till skatter, bidrag och finansiella poster:</t>
  </si>
  <si>
    <t>Soliditet, % enligt balansräkningen</t>
  </si>
  <si>
    <t>I121</t>
  </si>
  <si>
    <t>NtalSkol</t>
  </si>
  <si>
    <t>Antal</t>
  </si>
  <si>
    <t>I12951</t>
  </si>
  <si>
    <t>I12</t>
  </si>
  <si>
    <t>I00</t>
  </si>
  <si>
    <t>I15</t>
  </si>
  <si>
    <t>Öppen fritidsverksamhet, kostnad totalt</t>
  </si>
  <si>
    <t>I36</t>
  </si>
  <si>
    <t>I37</t>
  </si>
  <si>
    <t>U8211</t>
  </si>
  <si>
    <t>P74</t>
  </si>
  <si>
    <t>Särvux, kostnad per invånare, skolkommun</t>
  </si>
  <si>
    <t>Q76</t>
  </si>
  <si>
    <t>Soliditet, % inkl. pensionsåtaganden före 1998</t>
  </si>
  <si>
    <t>Långfristiga skulder exkl. utlåning till kommunägda bolag</t>
  </si>
  <si>
    <t>Kommentera orsaken till differensen:</t>
  </si>
  <si>
    <t>Verksamhetens självfinansieringsgrad</t>
  </si>
  <si>
    <t xml:space="preserve">Blåttmönster innebär länkning </t>
  </si>
  <si>
    <t xml:space="preserve">Grönmarkering används till beräkning av LSS-utjämningen </t>
  </si>
  <si>
    <t>Förs. expl.fastigheter, tomträtter [37]</t>
  </si>
  <si>
    <t>Interna lokal-kostnader</t>
  </si>
  <si>
    <t>Utlämnade lån till koncernföretag  (rad 088)</t>
  </si>
  <si>
    <t>Kommentarer balansräkning och borgensförbindelser:</t>
  </si>
  <si>
    <t xml:space="preserve">Därav från gemensamma verksamheter  </t>
  </si>
  <si>
    <t xml:space="preserve">Boende enligt LSS för barn och unga </t>
  </si>
  <si>
    <t>Förskola, fritidshem och annan pedagogisk verksamhet</t>
  </si>
  <si>
    <t>Därav lokalkostnader</t>
  </si>
  <si>
    <t>Lokalkostnader</t>
  </si>
  <si>
    <t>Invånarantal 19 - 64</t>
  </si>
  <si>
    <t>Förskola, totalt</t>
  </si>
  <si>
    <t>Fritidshem, totalt</t>
  </si>
  <si>
    <t>Förskoleklass, totalt</t>
  </si>
  <si>
    <t>Grundskola, totalt</t>
  </si>
  <si>
    <t>Gymnasieskola, totalt</t>
  </si>
  <si>
    <t>Specificering av vissa intäkter (i kol.övr. externa intäkter)</t>
  </si>
  <si>
    <t>Kommentarer insatser enligt LSS/SFB</t>
  </si>
  <si>
    <t>Grundläggande vuxenutbildning, totalt</t>
  </si>
  <si>
    <t>Gymnasial vuxen- och påbyggnadsutbildning, totalt</t>
  </si>
  <si>
    <t>1321</t>
  </si>
  <si>
    <t>Rad nr</t>
  </si>
  <si>
    <t>5731</t>
  </si>
  <si>
    <t>5732</t>
  </si>
  <si>
    <t>07911</t>
  </si>
  <si>
    <t>07912</t>
  </si>
  <si>
    <t>07951</t>
  </si>
  <si>
    <t>2599</t>
  </si>
  <si>
    <t>25991</t>
  </si>
  <si>
    <t>253</t>
  </si>
  <si>
    <t>3521</t>
  </si>
  <si>
    <t>3522</t>
  </si>
  <si>
    <t>4091</t>
  </si>
  <si>
    <t>4092</t>
  </si>
  <si>
    <t>4094</t>
  </si>
  <si>
    <t>4391</t>
  </si>
  <si>
    <t>4392</t>
  </si>
  <si>
    <t>4393</t>
  </si>
  <si>
    <t>4394</t>
  </si>
  <si>
    <t>3524</t>
  </si>
  <si>
    <t>2524</t>
  </si>
  <si>
    <t>0724</t>
  </si>
  <si>
    <t>5091</t>
  </si>
  <si>
    <t>5092</t>
  </si>
  <si>
    <t>5093</t>
  </si>
  <si>
    <t>5094</t>
  </si>
  <si>
    <t>5391</t>
  </si>
  <si>
    <t>5392</t>
  </si>
  <si>
    <t>5393</t>
  </si>
  <si>
    <t>5394</t>
  </si>
  <si>
    <t>Beteckning</t>
  </si>
  <si>
    <t>87</t>
  </si>
  <si>
    <t>25911</t>
  </si>
  <si>
    <t>25912</t>
  </si>
  <si>
    <t>25951</t>
  </si>
  <si>
    <t>88</t>
  </si>
  <si>
    <t>35911</t>
  </si>
  <si>
    <t>35912</t>
  </si>
  <si>
    <t>35951</t>
  </si>
  <si>
    <t>89</t>
  </si>
  <si>
    <t>80</t>
  </si>
  <si>
    <t>40911</t>
  </si>
  <si>
    <t>40912</t>
  </si>
  <si>
    <t>40931</t>
  </si>
  <si>
    <t>90</t>
  </si>
  <si>
    <t>81</t>
  </si>
  <si>
    <t>43911</t>
  </si>
  <si>
    <t>43912</t>
  </si>
  <si>
    <t>43921</t>
  </si>
  <si>
    <t>43931</t>
  </si>
  <si>
    <t>91</t>
  </si>
  <si>
    <t>82</t>
  </si>
  <si>
    <t>50911</t>
  </si>
  <si>
    <t>50912</t>
  </si>
  <si>
    <t>50921</t>
  </si>
  <si>
    <t>50931</t>
  </si>
  <si>
    <t>92</t>
  </si>
  <si>
    <t>83</t>
  </si>
  <si>
    <t>53911</t>
  </si>
  <si>
    <t>53912</t>
  </si>
  <si>
    <t>53921</t>
  </si>
  <si>
    <t>53931</t>
  </si>
  <si>
    <t>Kommentarer utbildning inkl. förskoleklass:</t>
  </si>
  <si>
    <t xml:space="preserve">Kommentarer äldre: </t>
  </si>
  <si>
    <r>
      <t>Summa insatser till personer med funktionsnedsättning (exkl LSS/SFB</t>
    </r>
    <r>
      <rPr>
        <b/>
        <vertAlign val="superscript"/>
        <sz val="7"/>
        <rFont val="Helvetica"/>
        <family val="2"/>
      </rPr>
      <t>1</t>
    </r>
    <r>
      <rPr>
        <b/>
        <sz val="7"/>
        <rFont val="Helvetica"/>
        <family val="2"/>
      </rPr>
      <t>)</t>
    </r>
  </si>
  <si>
    <r>
      <t xml:space="preserve">Insatser enligt LSS/SFB </t>
    </r>
    <r>
      <rPr>
        <b/>
        <sz val="7"/>
        <rFont val="Calibri"/>
        <family val="2"/>
      </rPr>
      <t>¹</t>
    </r>
    <r>
      <rPr>
        <b/>
        <vertAlign val="superscript"/>
        <sz val="7"/>
        <rFont val="Calibri"/>
        <family val="2"/>
      </rPr>
      <t>,2</t>
    </r>
    <r>
      <rPr>
        <b/>
        <sz val="7"/>
        <rFont val="Calibri"/>
        <family val="2"/>
      </rPr>
      <t>)</t>
    </r>
  </si>
  <si>
    <r>
      <t>Personlig assistans enl. LSS/SFB</t>
    </r>
    <r>
      <rPr>
        <vertAlign val="superscript"/>
        <sz val="7"/>
        <rFont val="Helvetica"/>
        <family val="2"/>
      </rPr>
      <t>1</t>
    </r>
  </si>
  <si>
    <r>
      <t>Summa insatser enligt LSS/SFB</t>
    </r>
    <r>
      <rPr>
        <b/>
        <vertAlign val="superscript"/>
        <sz val="7"/>
        <rFont val="Helvetica"/>
        <family val="2"/>
      </rPr>
      <t>1</t>
    </r>
  </si>
  <si>
    <t>2) Kostnaderna och intäkterna för LSS bruttoredovisas liksom övriga verksamheter</t>
  </si>
  <si>
    <t>1) De bestämmelser om personlig assistans som tidigare fanns i LASS är fr.o.m. år 2011 inordnade i Socialförsäkringsbalken (SFB, 51 kap.).</t>
  </si>
  <si>
    <t>Kontroll av därav-raden 554</t>
  </si>
  <si>
    <t>Kontroll av därav-raden 552</t>
  </si>
  <si>
    <t>Formel</t>
  </si>
  <si>
    <t xml:space="preserve">Text </t>
  </si>
  <si>
    <t xml:space="preserve">Sort </t>
  </si>
  <si>
    <t>Tabell</t>
  </si>
  <si>
    <t>SosK510</t>
  </si>
  <si>
    <t>Sos-kostnad vård och omsorg om äldre totalt</t>
  </si>
  <si>
    <t>Tkr</t>
  </si>
  <si>
    <t>UtSos</t>
  </si>
  <si>
    <t>SosK5101</t>
  </si>
  <si>
    <t>Sos-kostnad hemtjänst äldre</t>
  </si>
  <si>
    <t>SosK5103</t>
  </si>
  <si>
    <t>Sos-kostnad korttidsboende äldre</t>
  </si>
  <si>
    <t>SosK5104</t>
  </si>
  <si>
    <t>Sos-kostnad dagverksamhet äldre</t>
  </si>
  <si>
    <t>SosK5105</t>
  </si>
  <si>
    <t>Sos-kostnad särskilt/annat boende äldre</t>
  </si>
  <si>
    <t>SosK5106</t>
  </si>
  <si>
    <t>Sos-kostnad öppen verksamhet äldre</t>
  </si>
  <si>
    <t>SosK5109</t>
  </si>
  <si>
    <t>Sos-kostnad övriga insatser i ordinärt boende äldre</t>
  </si>
  <si>
    <t>SoSK510ord</t>
  </si>
  <si>
    <t>Sos-kostnad i ordinärt boende äldre</t>
  </si>
  <si>
    <t>SosK520</t>
  </si>
  <si>
    <t>Sos-kostnad vård och omsorg om pers. m. funkneds. enl. SoL totalt</t>
  </si>
  <si>
    <t>SosK5201</t>
  </si>
  <si>
    <t>Sos-kostnad hemtjänst pers. m. funkneds.</t>
  </si>
  <si>
    <t>SosK5202</t>
  </si>
  <si>
    <t>Sos-kostnad boendestöd pers. m. funkneds.</t>
  </si>
  <si>
    <t>SosK5203</t>
  </si>
  <si>
    <t>Sos-kostnad korttidsboende pers. m. funkneds.</t>
  </si>
  <si>
    <t>SosK5205</t>
  </si>
  <si>
    <t>Sos-kostnad särskilt/annat boende pers. m. funkneds.</t>
  </si>
  <si>
    <t>SosK5206</t>
  </si>
  <si>
    <t>Sos-kostnad öppen verksamhet pers. m. funkneds.</t>
  </si>
  <si>
    <t>SosK5209</t>
  </si>
  <si>
    <t>Sos-kostnad övriga insatser i ordinärt boende pers. m. funkneds.</t>
  </si>
  <si>
    <t>SosK520ord</t>
  </si>
  <si>
    <t>Sos-kostnad i ordinärt boende pers. m. funkneds.</t>
  </si>
  <si>
    <t>SosK513</t>
  </si>
  <si>
    <t>Sos-kostnad LSS/SFB totalt</t>
  </si>
  <si>
    <t>Sos-kostnad boende LSS totalt</t>
  </si>
  <si>
    <t>SosK5131</t>
  </si>
  <si>
    <t>Sos-kostnad boende LSS vuxna</t>
  </si>
  <si>
    <t>SosK5132</t>
  </si>
  <si>
    <t>Sos-kostnad boende LSS barn</t>
  </si>
  <si>
    <t>SosK5133</t>
  </si>
  <si>
    <t>Sos-kostnad personlig assistans</t>
  </si>
  <si>
    <t>SosK5135</t>
  </si>
  <si>
    <t>Sos-kostnad daglig verksamhet enligt LSS</t>
  </si>
  <si>
    <t>SosK5139</t>
  </si>
  <si>
    <t>Sos-kostnad övriga insatser enligt LSS</t>
  </si>
  <si>
    <t>SosK513520</t>
  </si>
  <si>
    <t>Sos-kostnad insatser till personer med funktionsneds. totalt</t>
  </si>
  <si>
    <t>SosK510520ord</t>
  </si>
  <si>
    <t>Sos-kostnad insatser i ordinärt boende (SoL och HSL)</t>
  </si>
  <si>
    <t>SosKtot</t>
  </si>
  <si>
    <t>Sos-kostnad insatser till äldre och personer med funktionsneds. totalt</t>
  </si>
  <si>
    <t>Sos510</t>
  </si>
  <si>
    <t>Vård och omsorg om äldre per invånare 65-w år enligt Sos</t>
  </si>
  <si>
    <t>Kr/inv 65-w</t>
  </si>
  <si>
    <t>Sos5101</t>
  </si>
  <si>
    <t>Hemtjänst äldre per invånare 65-w år enligt Sos</t>
  </si>
  <si>
    <t>Sos5103</t>
  </si>
  <si>
    <t>Korttidsboende äldre per invånare 65-w år enligt Sos</t>
  </si>
  <si>
    <t>Sos5104</t>
  </si>
  <si>
    <t>Dagverksamhet äldre per invånare 65-w år enligt Sos</t>
  </si>
  <si>
    <t>Sos5105</t>
  </si>
  <si>
    <t>Särskilt boende äldre per invånare 65-w år enligt Sos</t>
  </si>
  <si>
    <t>Sos5106</t>
  </si>
  <si>
    <t>Öppen verksamhet äldre per invånare 65-w år enligt Sos</t>
  </si>
  <si>
    <t>Sos5109</t>
  </si>
  <si>
    <t>Övriga insatser i ordinärt boende äldre per invånare 65-w år enligt Sos</t>
  </si>
  <si>
    <t>Sos510ord</t>
  </si>
  <si>
    <t>Insatser i ordinärt boende för äldre per invånare 65- w år enligt Sos</t>
  </si>
  <si>
    <t>Sos520</t>
  </si>
  <si>
    <t>Vård och omsorg om pers. m. funkneds. enl. SoL per invånare 0-64 år enligt Sos</t>
  </si>
  <si>
    <t>Kr/inv 0-64</t>
  </si>
  <si>
    <t>Sos5201</t>
  </si>
  <si>
    <t>Hemtjänst pers. m. funkneds. per invånare 0-64 år enligt Sos</t>
  </si>
  <si>
    <t>Sos5202</t>
  </si>
  <si>
    <t>Boendestöd pers. m. funkneds. per invånare 0-64 år enligt Sos</t>
  </si>
  <si>
    <t>Sos5203</t>
  </si>
  <si>
    <t>Korttidsboende pers. m. funkneds. per invånare 0-64 enligt Sos</t>
  </si>
  <si>
    <t>Sos5205</t>
  </si>
  <si>
    <t>Särskilt/annat boende pers. m. funkneds. per invånare 0-64 enligt Sos</t>
  </si>
  <si>
    <t>Sos5206</t>
  </si>
  <si>
    <t>Öppen verksamhet pers. m. funkneds. per invånare 0-64 enligt Sos</t>
  </si>
  <si>
    <t>Sos5209</t>
  </si>
  <si>
    <t>Övriga insatser i ordinärt boende pers. m. funkneds. per inv 0-64 enligt Sos</t>
  </si>
  <si>
    <t>Sos520ord</t>
  </si>
  <si>
    <t>Ordinärt boende pers. m. funkneds. per inv 0-64 enligt Sos</t>
  </si>
  <si>
    <t>Sos513</t>
  </si>
  <si>
    <t>LSS/SFB totalt per invånare totalt enligt Sos</t>
  </si>
  <si>
    <t>Kr/inv</t>
  </si>
  <si>
    <t>LSS-boende totalt per invånare totalt enligt Sos</t>
  </si>
  <si>
    <t>Sos5131</t>
  </si>
  <si>
    <t>LSS-boende för vuxna per invånare 23-w år enligt Sos</t>
  </si>
  <si>
    <t>Kr/inv 23-w</t>
  </si>
  <si>
    <t>Sos5132</t>
  </si>
  <si>
    <t>LSS-boende för barn per invånare 0-22 år enligt Sos</t>
  </si>
  <si>
    <t>Kr/inv 0-22</t>
  </si>
  <si>
    <t>Sos5133</t>
  </si>
  <si>
    <t>Personlig assistans per invånare totalt enligt Sos</t>
  </si>
  <si>
    <t>Sos5135</t>
  </si>
  <si>
    <t>Daglig verksamhet enligt LSS per invånare 23-64 år enligt Sos</t>
  </si>
  <si>
    <t>Kr/inv 23-64</t>
  </si>
  <si>
    <t>Sos510520ord</t>
  </si>
  <si>
    <t>Insatser i ordinärt boende (SoL och HSL)</t>
  </si>
  <si>
    <t>VKVK510520ord</t>
  </si>
  <si>
    <t>VKV-kostnad i ordinärt boende (äldre och personer med funktionsneds.)</t>
  </si>
  <si>
    <t>UtVoO</t>
  </si>
  <si>
    <t>VKVK510ord</t>
  </si>
  <si>
    <r>
      <t>Omsättningstillgångar</t>
    </r>
    <r>
      <rPr>
        <sz val="7"/>
        <rFont val="Helvetica"/>
        <family val="2"/>
      </rPr>
      <t xml:space="preserve">                                       </t>
    </r>
  </si>
  <si>
    <t>VKV-kostnad i ordinärt boende äldre</t>
  </si>
  <si>
    <t>VKVK520ord</t>
  </si>
  <si>
    <t>VKV-kostnad i ordinärt boende pers. m. funkneds.</t>
  </si>
  <si>
    <t>VKVK513inkl</t>
  </si>
  <si>
    <t>Insatser enligt LSS och LASS totalt</t>
  </si>
  <si>
    <t>VKVK513520</t>
  </si>
  <si>
    <t>VKV-kostnad insatser till personer med funktionsneds. totalt</t>
  </si>
  <si>
    <t>Variabelnamn</t>
  </si>
  <si>
    <t>C</t>
  </si>
  <si>
    <t>E</t>
  </si>
  <si>
    <t>G</t>
  </si>
  <si>
    <t>VKV</t>
  </si>
  <si>
    <t>VKVK</t>
  </si>
  <si>
    <t>D</t>
  </si>
  <si>
    <t>Sos513bo</t>
  </si>
  <si>
    <t>SosK513bo</t>
  </si>
  <si>
    <t xml:space="preserve">Insatser i ordinärt boende för äldre per invånare 65- w år </t>
  </si>
  <si>
    <t xml:space="preserve">Insatser i ordinärt boende pers. m. funkneds. per inv 0-64 </t>
  </si>
  <si>
    <t>VKV510ord</t>
  </si>
  <si>
    <t>VKV520ord</t>
  </si>
  <si>
    <t>Lok513</t>
  </si>
  <si>
    <t>Lokalkostnad Insatser enligt LSS och LASS totalt</t>
  </si>
  <si>
    <t>Lok5103</t>
  </si>
  <si>
    <t>Korttidsvård äldre</t>
  </si>
  <si>
    <t>Lok5203</t>
  </si>
  <si>
    <t>Lok5105</t>
  </si>
  <si>
    <t>Särskilt boende äldre</t>
  </si>
  <si>
    <t>Lok5205</t>
  </si>
  <si>
    <t>Lok5106</t>
  </si>
  <si>
    <t>Öppen verksamhet äldre</t>
  </si>
  <si>
    <t>Lok5206</t>
  </si>
  <si>
    <t>Lok510</t>
  </si>
  <si>
    <t>Lok520</t>
  </si>
  <si>
    <t>Lokalkostnad äldre, totalt</t>
  </si>
  <si>
    <t>Lokalkostnad personer med funktionsnedsättning enl. SoL, totalt</t>
  </si>
  <si>
    <t>Korttidsvård personer med funktionsnedsättning enl. SoL</t>
  </si>
  <si>
    <t>Särskilt boende personer med funktionsnedsättning enl. SoL</t>
  </si>
  <si>
    <t>Öppen verksamhet personer med funktionsnedsättning enl. SoL</t>
  </si>
  <si>
    <t>Kostnader Sos</t>
  </si>
  <si>
    <t>Nyckeltal Sos</t>
  </si>
  <si>
    <t>Rad-</t>
  </si>
  <si>
    <t>Text</t>
  </si>
  <si>
    <t>Kommunen</t>
  </si>
  <si>
    <t>nr</t>
  </si>
  <si>
    <t>Verksamhetens nettokostnader</t>
  </si>
  <si>
    <t>Skatteintäkter</t>
  </si>
  <si>
    <t>Finansiella intäkter</t>
  </si>
  <si>
    <t>Finansiella kostnader</t>
  </si>
  <si>
    <t>Årets resultat</t>
  </si>
  <si>
    <t>Rad</t>
  </si>
  <si>
    <t>Anläggningstillgångar</t>
  </si>
  <si>
    <t>Immateriella anläggningstillgångar</t>
  </si>
  <si>
    <t>Mark, byggn. och tekn. anläggningar</t>
  </si>
  <si>
    <t>Maskiner och inventarier</t>
  </si>
  <si>
    <t>Aktier och andelar, bostadsrätter</t>
  </si>
  <si>
    <t>Långfristiga fordringar</t>
  </si>
  <si>
    <t>SUMMA ANLÄGGNINGSTILLGÅNGAR</t>
  </si>
  <si>
    <t>15</t>
  </si>
  <si>
    <t>Kundfordringar</t>
  </si>
  <si>
    <t>16</t>
  </si>
  <si>
    <t>Diverse kortfristiga fordringar</t>
  </si>
  <si>
    <t>165</t>
  </si>
  <si>
    <t>182</t>
  </si>
  <si>
    <t>183</t>
  </si>
  <si>
    <t>184</t>
  </si>
  <si>
    <t>Certifikat</t>
  </si>
  <si>
    <t>14-19</t>
  </si>
  <si>
    <t>10-19</t>
  </si>
  <si>
    <t>SUMMA TILLGÅNGAR</t>
  </si>
  <si>
    <t>Eget kapital, ingående värde</t>
  </si>
  <si>
    <t>221</t>
  </si>
  <si>
    <t>222</t>
  </si>
  <si>
    <t>Kommentarer grundskola:</t>
  </si>
  <si>
    <t>Kommentarer gymnasieskola:</t>
  </si>
  <si>
    <t>225</t>
  </si>
  <si>
    <t>228</t>
  </si>
  <si>
    <t>Andra avsättningar</t>
  </si>
  <si>
    <t>2281</t>
  </si>
  <si>
    <t>SUMMA AVSÄTTNINGAR</t>
  </si>
  <si>
    <t>Långfristiga skulder till koncernföretag</t>
  </si>
  <si>
    <t>237</t>
  </si>
  <si>
    <t>Långfristig leasingskuld</t>
  </si>
  <si>
    <t>Långfristiga skulder, totalt</t>
  </si>
  <si>
    <t>24</t>
  </si>
  <si>
    <t>Kortfristiga skulder till kreditinstitut och kunder</t>
  </si>
  <si>
    <t>25</t>
  </si>
  <si>
    <t>Leverantörsskulder</t>
  </si>
  <si>
    <t>292</t>
  </si>
  <si>
    <t>Upplupna semesterlöner</t>
  </si>
  <si>
    <t>2933</t>
  </si>
  <si>
    <t>296</t>
  </si>
  <si>
    <t>Not 1</t>
  </si>
  <si>
    <t>Not 2</t>
  </si>
  <si>
    <t>Övriga kortfristiga skulder</t>
  </si>
  <si>
    <t>24-29</t>
  </si>
  <si>
    <t>Kortfristiga skulder, totalt</t>
  </si>
  <si>
    <t>23-29</t>
  </si>
  <si>
    <t>SUMMA SKULDER</t>
  </si>
  <si>
    <t>20,22-29</t>
  </si>
  <si>
    <t>Borgen o andra förpliktelser gentemot kommunala bostadsföretag</t>
  </si>
  <si>
    <t>Borgen o andra förpliktelser gentemot övriga kommunala företag</t>
  </si>
  <si>
    <t>SUMMA ANSVARSFÖRBINDELSER</t>
  </si>
  <si>
    <t>Förrättnings- och granskningsavgifter</t>
  </si>
  <si>
    <t>Taxor och avgifter, övrigt</t>
  </si>
  <si>
    <t>Taxor och avgifter</t>
  </si>
  <si>
    <t>Bostads- och lokalhyror</t>
  </si>
  <si>
    <t>Markhyror och arrenden mm.</t>
  </si>
  <si>
    <t>343-349</t>
  </si>
  <si>
    <t>Hyror och arrenden</t>
  </si>
  <si>
    <t>Bidrag</t>
  </si>
  <si>
    <t>Bidrag till enskilda</t>
  </si>
  <si>
    <t>Bostadssociala bidrag</t>
  </si>
  <si>
    <t>Löner mm.</t>
  </si>
  <si>
    <t>Personal</t>
  </si>
  <si>
    <t>Livsmedel</t>
  </si>
  <si>
    <t>Kontorsmaterial</t>
  </si>
  <si>
    <t>Material, övrigt</t>
  </si>
  <si>
    <t>Material</t>
  </si>
  <si>
    <t>Markhyror</t>
  </si>
  <si>
    <t>Tjänster, övrigt</t>
  </si>
  <si>
    <t>Tjänster, inkl köp av verksamhet</t>
  </si>
  <si>
    <t>Allmän kommunalskatt</t>
  </si>
  <si>
    <t>Inkomstutjämningsavgift</t>
  </si>
  <si>
    <t>Regleringsavgift</t>
  </si>
  <si>
    <t>Kostnadsutjämningsavgift</t>
  </si>
  <si>
    <t>Avgift till LSS-utjämningen</t>
  </si>
  <si>
    <t>Avgifter i utjämningssystemen</t>
  </si>
  <si>
    <t>Inkomstutjämningsbidrag</t>
  </si>
  <si>
    <t>Strukturbidrag</t>
  </si>
  <si>
    <t>Införandebidrag</t>
  </si>
  <si>
    <t>Regleringsbidrag</t>
  </si>
  <si>
    <t>Kostnadsutjämningsbidrag</t>
  </si>
  <si>
    <t>Bidrag för LSS-utjämning</t>
  </si>
  <si>
    <t>Bidrag från utjämningssystemen och generella statliga bidrag</t>
  </si>
  <si>
    <t>Utdelning på aktier och andelar</t>
  </si>
  <si>
    <t>Ränteintäkter</t>
  </si>
  <si>
    <t>Ränteintäkter på kundfordringar</t>
  </si>
  <si>
    <t>U</t>
  </si>
  <si>
    <t>V</t>
  </si>
  <si>
    <t>W</t>
  </si>
  <si>
    <t>X</t>
  </si>
  <si>
    <t>Z</t>
  </si>
  <si>
    <t>ZF</t>
  </si>
  <si>
    <t>ZM</t>
  </si>
  <si>
    <t>Y</t>
  </si>
  <si>
    <t>YJ</t>
  </si>
  <si>
    <t>Koncernen</t>
  </si>
  <si>
    <t xml:space="preserve">Orealiserade valutakursvinster  </t>
  </si>
  <si>
    <t>Tillgångar</t>
  </si>
  <si>
    <t>1351</t>
  </si>
  <si>
    <t>246</t>
  </si>
  <si>
    <t>Investeringar i % av skatteintäkter, generella statsbidrag och utj.</t>
  </si>
  <si>
    <t xml:space="preserve">Bidrag från utjämningssystemen och generella </t>
  </si>
  <si>
    <t>statliga bidrag</t>
  </si>
  <si>
    <t xml:space="preserve">Realiserade valutakursförluster </t>
  </si>
  <si>
    <t>Orealiserade valutakursförluster</t>
  </si>
  <si>
    <t xml:space="preserve">Verksamhetens intäkter </t>
  </si>
  <si>
    <t xml:space="preserve">Verksamhetens kostnader </t>
  </si>
  <si>
    <t>Däravposter till verksamhetens kostnader</t>
  </si>
  <si>
    <t>Förändring</t>
  </si>
  <si>
    <t>procent</t>
  </si>
  <si>
    <t>Gråttmönster innebär automatisk beräkning</t>
  </si>
  <si>
    <t>Borgensförbindelser och övriga ansvarsförbindelser</t>
  </si>
  <si>
    <t>Gråttmönster  innebär automatisk beräkning</t>
  </si>
  <si>
    <t>Gråttmönster innebär automatisk beräkning/förprintning</t>
  </si>
  <si>
    <t>Förskola, fritidshem o annan pedagogisk verksamhet, totalt</t>
  </si>
  <si>
    <t>123</t>
  </si>
  <si>
    <t>Observera att jämförelsestörande poster i driften kan leda till kontroller här vilket inte är fel! Kommentera!</t>
  </si>
  <si>
    <t>Förklaring till kontrollerna:</t>
  </si>
  <si>
    <t>Gråttmönster innebär automatisk beräkning / förprintning</t>
  </si>
  <si>
    <t xml:space="preserve">Korttidsboende / Korttidsvård </t>
  </si>
  <si>
    <t>Elevhälsa</t>
  </si>
  <si>
    <t>563 [ej 5635]</t>
  </si>
  <si>
    <t>del av 15</t>
  </si>
  <si>
    <t>del av 25</t>
  </si>
  <si>
    <t>30, 369</t>
  </si>
  <si>
    <t>Övriga hyror och arrenden</t>
  </si>
  <si>
    <t>Däravposter till verksamhetens intäkter</t>
  </si>
  <si>
    <t>Försäljning av verksamhet, motpart kommun</t>
  </si>
  <si>
    <t>4541</t>
  </si>
  <si>
    <t>Förändring av avsättning</t>
  </si>
  <si>
    <t>Försäljn. av verksamheter och tjänster</t>
  </si>
  <si>
    <t>Lämnade bidrag</t>
  </si>
  <si>
    <t>Pensionsförsäkringspremier</t>
  </si>
  <si>
    <t>Köp av huvudverksamhet</t>
  </si>
  <si>
    <t>Reparation och underhåll</t>
  </si>
  <si>
    <t>Avsättning för särskild löneskatt på pensioner</t>
  </si>
  <si>
    <t>Upplupen pensionskostnad avgiftsbestämd ålderspension</t>
  </si>
  <si>
    <t>761</t>
  </si>
  <si>
    <t>Kommunal fastighetsavgift</t>
  </si>
  <si>
    <t>Förbrukningsinventarier</t>
  </si>
  <si>
    <t>Räntekostnader</t>
  </si>
  <si>
    <t>Aktier, andelar och bostadsrätter [132, 137]</t>
  </si>
  <si>
    <t xml:space="preserve">Köp av huvud-verksamhet </t>
  </si>
  <si>
    <t>[30, 34 ej 341, 35-36</t>
  </si>
  <si>
    <t>Lämnade bidrag  [45]</t>
  </si>
  <si>
    <t>Mortpart 85</t>
  </si>
  <si>
    <t>Extern motpart, interv.5-7</t>
  </si>
  <si>
    <t>Motpart 87</t>
  </si>
  <si>
    <t>Motpart 82</t>
  </si>
  <si>
    <t>Motpart 84</t>
  </si>
  <si>
    <t>Motpart 81</t>
  </si>
  <si>
    <t>Motpart 86</t>
  </si>
  <si>
    <t>Motpart 83</t>
  </si>
  <si>
    <t>Extern motpart interv. 9</t>
  </si>
  <si>
    <t>[361]                       Motpart 84</t>
  </si>
  <si>
    <t>[351]                       Motpart 81</t>
  </si>
  <si>
    <t>Köp av huvud-</t>
  </si>
  <si>
    <t>Köp av huvudverks, rad 950, kol F:</t>
  </si>
  <si>
    <t xml:space="preserve">     Köp av huvudverksamhet, rad 401</t>
  </si>
  <si>
    <t xml:space="preserve">   - Köp av huvudverksamhet, rad 401</t>
  </si>
  <si>
    <t xml:space="preserve">     Lämnade bidrag, rad 690:</t>
  </si>
  <si>
    <t xml:space="preserve">     Lämnade bidrag, rad 950, kol H:</t>
  </si>
  <si>
    <t>238</t>
  </si>
  <si>
    <t>232, 239</t>
  </si>
  <si>
    <t>Upplupna sociala avgifter</t>
  </si>
  <si>
    <t>62, 691</t>
  </si>
  <si>
    <t>Förklaring till kontroller:</t>
  </si>
  <si>
    <t>Lilamarkering innebär nytt konto eller ny definition</t>
  </si>
  <si>
    <t>Röd triangel visar att det finns en kommentar till cellen</t>
  </si>
  <si>
    <t>361, 363, 365</t>
  </si>
  <si>
    <t>Övriga främmande tjänster</t>
  </si>
  <si>
    <t>781, 782,784</t>
  </si>
  <si>
    <t>Pensionsutbetalningar intjänade fr.o.m.98</t>
  </si>
  <si>
    <t>Generella bidrag från staten  m.m.</t>
  </si>
  <si>
    <t>[46]</t>
  </si>
  <si>
    <t>Köp av huvudverksamhet [46]</t>
  </si>
  <si>
    <t>verksamhet [46]</t>
  </si>
  <si>
    <t>617, 618</t>
  </si>
  <si>
    <t>63, 695</t>
  </si>
  <si>
    <t>361, 363</t>
  </si>
  <si>
    <t>Förs. av verksamh. till annan komm.</t>
  </si>
  <si>
    <t>361</t>
  </si>
  <si>
    <t>Därav köp av huvudverksamhet</t>
  </si>
  <si>
    <t>Motpartsredovisning av köp av huvudverksamhet [46]</t>
  </si>
  <si>
    <t>341</t>
  </si>
  <si>
    <t>651</t>
  </si>
  <si>
    <t>317</t>
  </si>
  <si>
    <t>327</t>
  </si>
  <si>
    <t>087</t>
  </si>
  <si>
    <t>062</t>
  </si>
  <si>
    <t>064</t>
  </si>
  <si>
    <t>Lilamarkering innebär nytt konto, nytt radnummer eller ny definition</t>
  </si>
  <si>
    <t>Lilamarkering innebär förändrad eller ny uppgift</t>
  </si>
  <si>
    <t xml:space="preserve">6192, 692, 696 </t>
  </si>
  <si>
    <t>Differens mellan summan av rad 900-984 och RR rad 070</t>
  </si>
  <si>
    <t>Enskilda personer, hushåll</t>
  </si>
  <si>
    <t>Kommunalförbund och SKL</t>
  </si>
  <si>
    <t>Staten, statl. Myndigheter (inkl.FK)</t>
  </si>
  <si>
    <t xml:space="preserve"> [30, 34 ej 341, 35-36] </t>
  </si>
  <si>
    <t>Externa bostadshyror och lokalhyror</t>
  </si>
  <si>
    <t>inkomster</t>
  </si>
  <si>
    <t>Avsättningar för pensioner och liknande förpliktelser</t>
  </si>
  <si>
    <t>Avsättningar för särskild avtalspens, visstidspens.o liknande</t>
  </si>
  <si>
    <t>Reaförluster o div. period. [78 "ej 787,"]</t>
  </si>
  <si>
    <t>138</t>
  </si>
  <si>
    <t>Grundfondskapital</t>
  </si>
  <si>
    <t>133, 134</t>
  </si>
  <si>
    <t>132, 137</t>
  </si>
  <si>
    <t>104</t>
  </si>
  <si>
    <t>[31]</t>
  </si>
  <si>
    <t>Buss, bil och spårbundna persontransporter</t>
  </si>
  <si>
    <t>Väg- och järnvägsnät, parkering</t>
  </si>
  <si>
    <t xml:space="preserve">   + Husbyggnads-,anläggnings- o reparationsentreprenader, rad 345</t>
  </si>
  <si>
    <t xml:space="preserve">   - Husbyggnads-,anläggnings- o reparationsentreprenader, rad 345:</t>
  </si>
  <si>
    <t xml:space="preserve">Lärverktyg </t>
  </si>
  <si>
    <t>Varor m.m.</t>
  </si>
  <si>
    <t>Förklaring till kontroll:</t>
  </si>
  <si>
    <t>Nyckeltal huvudRS</t>
  </si>
  <si>
    <t>nklk_kn</t>
  </si>
  <si>
    <t>nklk_kc</t>
  </si>
  <si>
    <t>Kassalikviditet kommun</t>
  </si>
  <si>
    <t>Kassalikviditet koncern</t>
  </si>
  <si>
    <t>nsgi_kn</t>
  </si>
  <si>
    <t>Självfinaniseringsgrad för investeringar</t>
  </si>
  <si>
    <t>NtalVkv</t>
  </si>
  <si>
    <t>Kommun-                  nyckel</t>
  </si>
  <si>
    <t>SCB-             nyckel</t>
  </si>
  <si>
    <t xml:space="preserve">             Fördelning i kolumnen kommunnyckel </t>
  </si>
  <si>
    <t xml:space="preserve">             Fördelning i kolumnen SCB-nyckel</t>
  </si>
  <si>
    <t>'Verks int o kostn'!$D$76</t>
  </si>
  <si>
    <t>RR!$E$7</t>
  </si>
  <si>
    <t>'Verks int o kostn'!$E$20</t>
  </si>
  <si>
    <t>'Verks int o kostn'!$E$21</t>
  </si>
  <si>
    <t>'Verks int o kostn'!$J$45</t>
  </si>
  <si>
    <t>'Verks int o kostn'!$J$41</t>
  </si>
  <si>
    <t>'Skatter, bidrag o fin poster'!$E$11</t>
  </si>
  <si>
    <t>Investeringar!$C$16</t>
  </si>
  <si>
    <t>Investeringar!$D$16</t>
  </si>
  <si>
    <t>Investeringar!$E$16</t>
  </si>
  <si>
    <t>Investeringar!$F$16</t>
  </si>
  <si>
    <t>Drift!$AD$113</t>
  </si>
  <si>
    <t>Drift!$N$114</t>
  </si>
  <si>
    <t>Drift!$W$123</t>
  </si>
  <si>
    <t>Motpart!$AD$10</t>
  </si>
  <si>
    <t>'Pedagogisk verksamhet'!$P$43</t>
  </si>
  <si>
    <t>'Pedagogisk verksamhet'!$P$53</t>
  </si>
  <si>
    <t>'Pedagogisk verksamhet'!$P$67</t>
  </si>
  <si>
    <t>Kontrollblad!$F$128</t>
  </si>
  <si>
    <t>'Äldre o personer funktionsn'!$N$20</t>
  </si>
  <si>
    <t>'Äldre o personer funktionsn'!$D$59</t>
  </si>
  <si>
    <t>20</t>
  </si>
  <si>
    <t>Invånarantal 1-5 år</t>
  </si>
  <si>
    <t>Invånarantal 6-12 år</t>
  </si>
  <si>
    <t>Invånarantal 6 år</t>
  </si>
  <si>
    <t>Invånarantal 7-15 år</t>
  </si>
  <si>
    <t>Invånarantal 16-18 år</t>
  </si>
  <si>
    <t>Förskola, kostnad per invånare 1-5 år</t>
  </si>
  <si>
    <t>Förskola, kostnad per invånare 1-5 år kommunal regi</t>
  </si>
  <si>
    <t>Förskola, kostnad för lokaler/invånare 1-5 år kommunal regi</t>
  </si>
  <si>
    <t>Förskola, köp av platser i annan kommun per invånare 1-5 år</t>
  </si>
  <si>
    <t>Förskola, försäljning av platser till annan kommun per invånare 1-5 år</t>
  </si>
  <si>
    <t>Förskola, köp av platser i enskild regi per invånare 1-5 år</t>
  </si>
  <si>
    <t>Kostnad per invånare 16-18 år kommunal regi.</t>
  </si>
  <si>
    <t>Kostnad per invånare 16-18 år för undervisning kommunal regi.</t>
  </si>
  <si>
    <t>Kostnad per invånare 16-18 år för lärverktyg kommunal regi.</t>
  </si>
  <si>
    <t>Kostnad per invånare 16-18 år för skolmåltider kommunal regi.</t>
  </si>
  <si>
    <t>Kostnad per invånare 16-18 år skolskjuts hemkommunen.</t>
  </si>
  <si>
    <t>Kostnad per invånare 16-18 år för elevhälsa kommunal regi.</t>
  </si>
  <si>
    <t>Lokalkostnad per invånare 16-18 år kommunal regi.</t>
  </si>
  <si>
    <t>Kostnad per invånare 16-18 år för övrigt kommunal regi.</t>
  </si>
  <si>
    <t>Kostnad per invånare 16-18 år för hemkommunen.</t>
  </si>
  <si>
    <t>Köp av platser i fristående skola per invånare 16-18 år</t>
  </si>
  <si>
    <t>Köp av platser i fristående skola per invånare 16-18 år.</t>
  </si>
  <si>
    <t>Kostnad per invånare 19-64 år kommunal regi</t>
  </si>
  <si>
    <t>Kostnad per invånare 19-64 år för undervisning.</t>
  </si>
  <si>
    <t>Kostnad per invånare 19-64 år för lärverktyg</t>
  </si>
  <si>
    <t>Kostnad per invånare 19-64 år för elevhälsa.</t>
  </si>
  <si>
    <t>Kostnad per invånare 19-64 år för lokaler.</t>
  </si>
  <si>
    <t>Kostnad per invånare 19-64 år för övigt.</t>
  </si>
  <si>
    <t>Kostnad per invånare 19-64 år för hemkommunen, grundläggande och gymnasial vuxenutbildning.</t>
  </si>
  <si>
    <t>Kostnad per invånare 7-15 år kommunal regi.</t>
  </si>
  <si>
    <t>Kostnad per  invånare 7-15 år för undervisning kommunal regi.</t>
  </si>
  <si>
    <t>Kostnad per  invånare 7-15 år för lärverktyg kommunal regi.</t>
  </si>
  <si>
    <t>Kostnad per  invånare 7-15 år för skolmåltider kommunal regi.</t>
  </si>
  <si>
    <t>Kostnad per  invånare 7-15 år för skolskjuts hemkommun.</t>
  </si>
  <si>
    <t>Kostnad per  invånare 7-15 år för elevhälsa kommunal regi.</t>
  </si>
  <si>
    <t>Kostnad per  invånare 7-15 år för lokaler kommunal regi.</t>
  </si>
  <si>
    <t>Kostnad per  invånare 7-15 år för övrigt kommunal regi.</t>
  </si>
  <si>
    <t>Kostnad per  invånare 7-15 år för hemkommunen.</t>
  </si>
  <si>
    <t>Köp av platser i annan kommun per  invånare 7-15 år.</t>
  </si>
  <si>
    <t>Försäljning av platser till annan kommun per  invånare 7-15 år.</t>
  </si>
  <si>
    <t>Köp av platser i fristående skola per  invånare 7-15 år.</t>
  </si>
  <si>
    <t>Förskoleklass, kostnad per invånare 6 år för hemkommunen</t>
  </si>
  <si>
    <t>Förskoleklass, kostnad per invånare 6 år kommunal regi</t>
  </si>
  <si>
    <t>Förskolklass, kostnad för lokaler/invånare 6 år i kommunal regi.</t>
  </si>
  <si>
    <t>Förskoleklass, köp av platser i annan kommun per invånare 6 år</t>
  </si>
  <si>
    <t>Förskoleklass, försäljning av platser till annan kommun per invånare 6 år.</t>
  </si>
  <si>
    <t>Förskoleklass, köp av platser i enskild regi per invånare 6 år.</t>
  </si>
  <si>
    <t>Fritidshem, kostnad per invånare 6-12 år för hemkommunen</t>
  </si>
  <si>
    <t>Fritidshem, kostnad per invånare 6-12 år kommunal regi</t>
  </si>
  <si>
    <t>Fritidshem, kostnad för lokaler/invånare 6-12 år kommunal regi</t>
  </si>
  <si>
    <t>Fritidshem, köp av platser i annan kommun per invånare 6-12 år</t>
  </si>
  <si>
    <t>Fritidshem, försäljning av platser till annan kommun per invånare 6-12 år</t>
  </si>
  <si>
    <t>Fritidshem, köp av platser i enskild regi per invånare 6-12 år</t>
  </si>
  <si>
    <t>Lilamarkering innebär ny rad, nytt konto eller ny definition</t>
  </si>
  <si>
    <t>147</t>
  </si>
  <si>
    <t>+ Inköp / nyanskaffning inklusive pågående arbeten</t>
  </si>
  <si>
    <t>(Reavinst vid) försäljning av anläggningstillgångar</t>
  </si>
  <si>
    <t>Inköp av maskiner o</t>
  </si>
  <si>
    <t>Inköp av mark, byggn.</t>
  </si>
  <si>
    <t>Investerings-</t>
  </si>
  <si>
    <t>utgifter</t>
  </si>
  <si>
    <t>Därav borgensåtaganden för lån</t>
  </si>
  <si>
    <t xml:space="preserve">      varav för lån</t>
  </si>
  <si>
    <t>042</t>
  </si>
  <si>
    <t xml:space="preserve">           varav  för lån av offentligt ägda bolag</t>
  </si>
  <si>
    <t>Återbet borgensåt.</t>
  </si>
  <si>
    <t>161</t>
  </si>
  <si>
    <t>162</t>
  </si>
  <si>
    <t>Kostnad per invånare 7-15 år för undervisning kommunal regi.</t>
  </si>
  <si>
    <t>Kostnad per invånare 7-15 år för lärverktyg kommunal regi.</t>
  </si>
  <si>
    <t>Kostnad per invånare 7-15 år för skolmåltider kommunal regi.</t>
  </si>
  <si>
    <t>Kostnad per invånare 7-15 år skolskjuts hemkommunen.</t>
  </si>
  <si>
    <t>Kostnad per invånare 7-15 år för elevhälsa kommunal regi.</t>
  </si>
  <si>
    <t>Lokalkostnad per invånare 7-15 år kommunal regi.</t>
  </si>
  <si>
    <t>Kostnad per invånare 7-15 år för övrigt kommunal regi.</t>
  </si>
  <si>
    <t>Kostnad per invånare 7-15 år för hemkommunen.</t>
  </si>
  <si>
    <t>Köp av platser i annan kommun per invånare 7-15 år.</t>
  </si>
  <si>
    <t>Försäljning av platser till annan kommun per invånare 7-15 år.</t>
  </si>
  <si>
    <t>Köp av platser i fristående skola per invånare 7-15 år.</t>
  </si>
  <si>
    <t>Kommentarer till resultaträkningen:</t>
  </si>
  <si>
    <t>Pensionsutbetalningar</t>
  </si>
  <si>
    <t>Uppdragsutbildning m.m.</t>
  </si>
  <si>
    <t>Antal invånare 1-12</t>
  </si>
  <si>
    <t>Pedagogisk omsorg kommunal, kostnad per invånare 1-12 år.</t>
  </si>
  <si>
    <t>Pedagogisk omsorg köp i enskild regi kostnad per invånare 1-12 år.</t>
  </si>
  <si>
    <t>Pedagogisk omsorg hemkommun, kostnad per invånare 1-12 år.</t>
  </si>
  <si>
    <t>Fritidshem, förskoleklass och grundskola kostnad i skolkommun per invånare 6-15 år.</t>
  </si>
  <si>
    <t>Fritidshem, förskoleklass och grundskola kostnad exklusive lokaler i skolkommun per invånare 6-15 år.</t>
  </si>
  <si>
    <t>Gymnasieskolan, kostnad hemkommun kommunal huvudman per invånare 16-18 år.</t>
  </si>
  <si>
    <t>Avgifter till utjämningssystemen</t>
  </si>
  <si>
    <t>(Reavinst vid) Försälj. av anl.tillg.[38]</t>
  </si>
  <si>
    <t>Nyckeltal kostnad kr per invånare eller andel av verksamhet</t>
  </si>
  <si>
    <t>Kr/inv 1-12 år</t>
  </si>
  <si>
    <t>Kr/inv 6-15 år</t>
  </si>
  <si>
    <t>Kr/inv 16-18 år</t>
  </si>
  <si>
    <t>I071_exlokaler</t>
  </si>
  <si>
    <t>I251_exlokaler</t>
  </si>
  <si>
    <t>I351_exlokaler</t>
  </si>
  <si>
    <t>J40_exlokaler</t>
  </si>
  <si>
    <t>K43_exlokaler</t>
  </si>
  <si>
    <t>L50_exlokaler</t>
  </si>
  <si>
    <t>M53_exlokaler</t>
  </si>
  <si>
    <t>N70_exlokaler</t>
  </si>
  <si>
    <t>O72_exlokaler</t>
  </si>
  <si>
    <t>Förskola, kostnad exklusive lokaler skolkommun.</t>
  </si>
  <si>
    <t>Fritidshem, kostnad exklusive lokaler skolkommun.</t>
  </si>
  <si>
    <t>Förskoleklass, kostnad exklusive lokaler skolkommun.</t>
  </si>
  <si>
    <t>Grundskola, kostnad exklusive lokaler skolkommun.</t>
  </si>
  <si>
    <t>Gymnasieskola, kostnad exklusive lokaler skolkommun.</t>
  </si>
  <si>
    <t>Grundvux, kostnad exklusive lokaler skolkommun.</t>
  </si>
  <si>
    <t>Gymnasievux, kostnad exklusive lokaler skolkommun.</t>
  </si>
  <si>
    <t>Grund och gymnasievux, kostnad exklusive lokaler skolkommun.</t>
  </si>
  <si>
    <t>N70911</t>
  </si>
  <si>
    <t>N70912</t>
  </si>
  <si>
    <t>N70951</t>
  </si>
  <si>
    <t>O72911</t>
  </si>
  <si>
    <t>O72912</t>
  </si>
  <si>
    <t>O72921</t>
  </si>
  <si>
    <t>O72951</t>
  </si>
  <si>
    <t>Grund och gymnasievux, kostnad skolkommun</t>
  </si>
  <si>
    <t>Grund och gymnasievux, kostnad undervisning</t>
  </si>
  <si>
    <t xml:space="preserve">Grund och gymnasievux, kostnad lärverktyg </t>
  </si>
  <si>
    <t>Grund och gymnasievux, kostnad elevhälsa</t>
  </si>
  <si>
    <t>Grund och gymnasievux, kostnad lokaler</t>
  </si>
  <si>
    <t>Grund och gymnasievux, kostnad övrigt</t>
  </si>
  <si>
    <t xml:space="preserve">Grundvux köp av huvudversamhet från kommuner </t>
  </si>
  <si>
    <t>Grundvux försäljning av verksamhet till annan kommun</t>
  </si>
  <si>
    <t>Grundvux köp av huvudversamhet från privata utförare</t>
  </si>
  <si>
    <t xml:space="preserve">Gymnasievux köp av huvudversamhet från kommuner </t>
  </si>
  <si>
    <t>Gymnasievux försäljning av verksamhet till annan kommun</t>
  </si>
  <si>
    <t>Gymnasievux köp av huvudversamhet från privata utförare</t>
  </si>
  <si>
    <t>Gymnasievux köp av huvudversamhet från landsting</t>
  </si>
  <si>
    <t>Grundvux_inkannan_33</t>
  </si>
  <si>
    <t>Gymnasievux_inkannan_34</t>
  </si>
  <si>
    <t>Vux_inkannan_35</t>
  </si>
  <si>
    <t>Grundvux kostnad för skolkommun inklusive annan utbildningsanordnare</t>
  </si>
  <si>
    <t>Gymnasievux kostnad för skolkommun inklusive annan utbildningsanordnare</t>
  </si>
  <si>
    <t>Grund och gymnasievux kostnad för skolkommun inklusive annan utbildningsanordnare</t>
  </si>
  <si>
    <t>N70921</t>
  </si>
  <si>
    <t>Grundvux köp av huvudversamhet från landsting</t>
  </si>
  <si>
    <t>Grundvux_HK_30</t>
  </si>
  <si>
    <t>Gymnasievux_HK_31</t>
  </si>
  <si>
    <t>Gymnasievux kostnad för hemkommunen</t>
  </si>
  <si>
    <t>Grundvux kostnad för hemkommunen</t>
  </si>
  <si>
    <t>Barnomsorg_SK</t>
  </si>
  <si>
    <t>Barnomsorg_HK</t>
  </si>
  <si>
    <t>Barnomsorg, kostnad totalt för hemkommun</t>
  </si>
  <si>
    <t>Barnomsorg, kostnad totalt för skolkommun</t>
  </si>
  <si>
    <t>Kostnader</t>
  </si>
  <si>
    <t xml:space="preserve">Grund och gymnasievux köp av huvudversamhet från kommuner </t>
  </si>
  <si>
    <t>Grund och gymnasievux köp av huvudversamhet från landsting</t>
  </si>
  <si>
    <t>Grund och gymnasievux köp av huvudversamhet från privata utförare</t>
  </si>
  <si>
    <t>Vux_32_exlokaler</t>
  </si>
  <si>
    <t>Vux_32_00</t>
  </si>
  <si>
    <t>Vux_32_01</t>
  </si>
  <si>
    <t>Vux_32_02</t>
  </si>
  <si>
    <t>Vux_32_06</t>
  </si>
  <si>
    <t>Vux_32_07</t>
  </si>
  <si>
    <t>Vux_32_08</t>
  </si>
  <si>
    <t>Vux_32_70911_72911</t>
  </si>
  <si>
    <t>Vux_32_70921_72921</t>
  </si>
  <si>
    <t>Vux_32_70951_72951</t>
  </si>
  <si>
    <t>SFI, kostnad per invånare, skolkommun inkl privata utförare</t>
  </si>
  <si>
    <t>Föräldraravgift_10</t>
  </si>
  <si>
    <t>Föräldraravgift_15</t>
  </si>
  <si>
    <t>Föräldraravgift, förskolan</t>
  </si>
  <si>
    <t>Föräldraravgift, fritidshem</t>
  </si>
  <si>
    <t>Öppen förskola, kostnad totalt</t>
  </si>
  <si>
    <t>Motpart!$M$41</t>
  </si>
  <si>
    <t>Motpart!$X$41</t>
  </si>
  <si>
    <t>Motpart!$Y$43</t>
  </si>
  <si>
    <t>Motpart!$Z$43</t>
  </si>
  <si>
    <t>Motpart!$AA$43</t>
  </si>
  <si>
    <t>Motpart!$AB$43</t>
  </si>
  <si>
    <t>Motpart!$AC$43</t>
  </si>
  <si>
    <t>Motpart!$AD$39</t>
  </si>
  <si>
    <t>Bidrag till infrastruktur</t>
  </si>
  <si>
    <t>Kostnadsföring bidrag till infrastruktur</t>
  </si>
  <si>
    <t>Upplösning aktiverat bidrag till infrastruktur</t>
  </si>
  <si>
    <t>Däravposter till finansiella intäkter</t>
  </si>
  <si>
    <t>733,734, 765</t>
  </si>
  <si>
    <t>Kostnad för eget åtagande</t>
  </si>
  <si>
    <t>Kostnad för</t>
  </si>
  <si>
    <t xml:space="preserve">Kostnad för </t>
  </si>
  <si>
    <r>
      <t xml:space="preserve">Kontroller 
</t>
    </r>
    <r>
      <rPr>
        <sz val="7"/>
        <rFont val="Helvetica"/>
        <family val="2"/>
      </rPr>
      <t xml:space="preserve">Förklaring till kontroller         </t>
    </r>
    <r>
      <rPr>
        <b/>
        <sz val="7"/>
        <rFont val="Helvetica"/>
        <family val="2"/>
      </rPr>
      <t xml:space="preserve">             </t>
    </r>
  </si>
  <si>
    <t xml:space="preserve">BRUTTO- 
</t>
  </si>
  <si>
    <t>Begravningsavgift (Stockholm och Tranås)</t>
  </si>
  <si>
    <t>Netto-kostnad</t>
  </si>
  <si>
    <t xml:space="preserve">Produktions-kostnad </t>
  </si>
  <si>
    <t>Bruttokostnad ./. Bruttointäkt</t>
  </si>
  <si>
    <t>Bruttokostnad ./. Köp av huvud-verksamhet ./. Lämnade bidrag ./. Interna intäkter</t>
  </si>
  <si>
    <t xml:space="preserve">        kronor / invånare</t>
  </si>
  <si>
    <t xml:space="preserve">           Nyckeltal</t>
  </si>
  <si>
    <t>Bruttokostnad ./. Interna</t>
  </si>
  <si>
    <t xml:space="preserve">            Nyckeltal </t>
  </si>
  <si>
    <t>808, 809</t>
  </si>
  <si>
    <t>Kostnader för eget åtagande</t>
  </si>
  <si>
    <t>åtagande</t>
  </si>
  <si>
    <t>eget</t>
  </si>
  <si>
    <t>Intern hantering inom kommunen: Synnerliga skäl att inte täcka underskott eller andra interna justeringar</t>
  </si>
  <si>
    <t>avgår: övriga justeringar</t>
  </si>
  <si>
    <t>tillägg: övriga justeringar</t>
  </si>
  <si>
    <t>varav synnerliga skäl för att inte behöva återställa ett negativt resultat</t>
  </si>
  <si>
    <t>Kommentarer flyktingmott. o arbetsm.åtg:</t>
  </si>
  <si>
    <t>Kommentarer kultur o fritids-verksamhet:</t>
  </si>
  <si>
    <t>Kommentarer förskola, fritids-hem o annan ped.verks.:</t>
  </si>
  <si>
    <t xml:space="preserve">Kommentarer affärs-verksamhet: </t>
  </si>
  <si>
    <t>Kommentarer infrastruktur och skydd:</t>
  </si>
  <si>
    <t>Statsbidrag maxtaxa kolumn AB 
Statsbidrag kvalitetssäkran-de åtgärder kolumn AC</t>
  </si>
  <si>
    <r>
      <t xml:space="preserve">Nyckeltal, kronor / invånare
</t>
    </r>
    <r>
      <rPr>
        <sz val="7"/>
        <rFont val="Helvetica"/>
        <family val="2"/>
      </rPr>
      <t>och Kommentarrutor</t>
    </r>
  </si>
  <si>
    <t>Kommentarer VoO inkl. IFO</t>
  </si>
  <si>
    <t>342</t>
  </si>
  <si>
    <t xml:space="preserve">   - Anskaffningskostnad, försåld exploateringsfastighet, rad 342</t>
  </si>
  <si>
    <t>Avskrivningar, inklusive nedskrivningar</t>
  </si>
  <si>
    <t>Pedagogisk verksamhet'!$P$31</t>
  </si>
  <si>
    <t>Pedagogisk verksamhet'!$P$44</t>
  </si>
  <si>
    <t>Pedagogisk verksamhet'!$P$58</t>
  </si>
  <si>
    <t>Pedagogisk verksamhet'!$P$72</t>
  </si>
  <si>
    <t>Pedagogisk verksamhet'!$P$86</t>
  </si>
  <si>
    <t>Pedagogisk verksamhet'!$P$95</t>
  </si>
  <si>
    <t>Pedagogisk verksamhet'!$P$17</t>
  </si>
  <si>
    <t>Pedagogisk verksamhet'!$P$9</t>
  </si>
  <si>
    <t>Eliminera differens grundskola</t>
  </si>
  <si>
    <t>Pedagogisk verksamhet'!$P$57</t>
  </si>
  <si>
    <t xml:space="preserve">Kommentera gymnasieskola </t>
  </si>
  <si>
    <t>Pedagogisk verksamhet'!$P$71</t>
  </si>
  <si>
    <t>Eliminera differens gymnasieskola</t>
  </si>
  <si>
    <t>Pedagogisk verksamhet'!$P$85</t>
  </si>
  <si>
    <t>Pedagogisk verksamhet'!$P$93</t>
  </si>
  <si>
    <t xml:space="preserve">Eliminera differens grundläggande vuxenutbildning </t>
  </si>
  <si>
    <t>Pedagogisk verksamhet'!$P$102</t>
  </si>
  <si>
    <t xml:space="preserve">Eliminera gymnasial vuxen- och påbyggnadsutbildning </t>
  </si>
  <si>
    <t>Drift!$X$116</t>
  </si>
  <si>
    <t>Drift!$J$118</t>
  </si>
  <si>
    <t>Drift!$P$126</t>
  </si>
  <si>
    <r>
      <t xml:space="preserve">Därav interna intäkter
__________
</t>
    </r>
    <r>
      <rPr>
        <sz val="7"/>
        <color indexed="10"/>
        <rFont val="Helvetica"/>
        <family val="2"/>
      </rPr>
      <t>Röd siffra i kol G, därav</t>
    </r>
    <r>
      <rPr>
        <sz val="7"/>
        <color indexed="10"/>
        <rFont val="Helvetica"/>
        <family val="2"/>
      </rPr>
      <t xml:space="preserve"> interna intäkter om den är större än brutto-intäkten, kol E</t>
    </r>
  </si>
  <si>
    <t>bindelser (inklusive borgens- o förlustansvar                   småhus)</t>
  </si>
  <si>
    <t>Pensionsförplikt.    Inkl. löneskatt på</t>
  </si>
  <si>
    <t xml:space="preserve"> som inte har upptagits bland skulder el. avsättningar                pensionsförpliktelse</t>
  </si>
  <si>
    <t>Motpart!$U$42</t>
  </si>
  <si>
    <t>Landsting/ Regioner</t>
  </si>
  <si>
    <t xml:space="preserve">Entrepren., Konsulter </t>
  </si>
  <si>
    <t>[617,618,74,75]</t>
  </si>
  <si>
    <t>[402]</t>
  </si>
  <si>
    <t>[403]</t>
  </si>
  <si>
    <t>Samtliga invest. entrepr. och  invest.konsulter ingår)</t>
  </si>
  <si>
    <t>067</t>
  </si>
  <si>
    <t>15-17</t>
  </si>
  <si>
    <t>Summa kortfristiga fordringar</t>
  </si>
  <si>
    <t>18</t>
  </si>
  <si>
    <t>131</t>
  </si>
  <si>
    <t>132</t>
  </si>
  <si>
    <t>133</t>
  </si>
  <si>
    <t>134</t>
  </si>
  <si>
    <t>242</t>
  </si>
  <si>
    <r>
      <rPr>
        <b/>
        <sz val="7"/>
        <rFont val="Helvetica"/>
        <family val="2"/>
      </rPr>
      <t>Kommun</t>
    </r>
    <r>
      <rPr>
        <sz val="7"/>
        <rFont val="Helvetica"/>
        <family val="2"/>
      </rPr>
      <t xml:space="preserve">
Maskiner och inventarier [12]</t>
    </r>
  </si>
  <si>
    <t xml:space="preserve">
Därav</t>
  </si>
  <si>
    <r>
      <t xml:space="preserve">Koncern
</t>
    </r>
    <r>
      <rPr>
        <sz val="7"/>
        <color indexed="8"/>
        <rFont val="Helvetica"/>
        <family val="2"/>
      </rPr>
      <t>Materiella anläggningstillg.[11,12]</t>
    </r>
  </si>
  <si>
    <t>Kommentarer till investeringsredovisningen:</t>
  </si>
  <si>
    <t>Rad-nr</t>
  </si>
  <si>
    <t>Inköp och försäljning av mark oavsett bokfört som omsättningstillgång eller anläggningstillgång</t>
  </si>
  <si>
    <t xml:space="preserve">Vid redovisning av försäljning av mark ska enbart själva markens inkomst redovisas.  </t>
  </si>
  <si>
    <t>715</t>
  </si>
  <si>
    <t>720</t>
  </si>
  <si>
    <t>725</t>
  </si>
  <si>
    <t xml:space="preserve">Beloppen ska delas in utifrån den verksamhet som företagen klassificeras som enligt de alternativ som finns nedan.  T ex ska 50 % av ett bostadsföretags investeringsbelopp, som ägs </t>
  </si>
  <si>
    <t>Bransch</t>
  </si>
  <si>
    <t>Företagen/    dotterbolagen</t>
  </si>
  <si>
    <t>730</t>
  </si>
  <si>
    <t>Fastighetsverksamhet</t>
  </si>
  <si>
    <t>735</t>
  </si>
  <si>
    <t>Energi och vatten</t>
  </si>
  <si>
    <t>740</t>
  </si>
  <si>
    <t>Transport och kommunikation</t>
  </si>
  <si>
    <t>745</t>
  </si>
  <si>
    <t>Övriga</t>
  </si>
  <si>
    <t>750</t>
  </si>
  <si>
    <t>Summa</t>
  </si>
  <si>
    <t>(exkl. förs. av anl.tillgångar)</t>
  </si>
  <si>
    <t>Intäkter till Kolada</t>
  </si>
  <si>
    <t>Bruttointäkt minus Interna intäkter och försäljning till andra kommuner och landsting</t>
  </si>
  <si>
    <t>Därav personal-kostnader</t>
  </si>
  <si>
    <t>Netto-</t>
  </si>
  <si>
    <t>Dagverksamhet, ordinärt boende</t>
  </si>
  <si>
    <t>VKVK5133exkl</t>
  </si>
  <si>
    <t>Personlig assistans enl LSS/SFB exklusive ersättning från försäkringskassan</t>
  </si>
  <si>
    <t>del av 453   [ej 4538]</t>
  </si>
  <si>
    <t>- Försäljningspris / avyttringsbelopp</t>
  </si>
  <si>
    <t>Däravposter till avsättningar och skulder</t>
  </si>
  <si>
    <t>Därav köp av huvudverk-samhet</t>
  </si>
  <si>
    <r>
      <t>Bidrag motpart staten och statliga myndigheter</t>
    </r>
    <r>
      <rPr>
        <b/>
        <sz val="7"/>
        <rFont val="Helvetica"/>
        <family val="2"/>
      </rPr>
      <t xml:space="preserve"> exkl.</t>
    </r>
    <r>
      <rPr>
        <sz val="7"/>
        <rFont val="Helvetica"/>
        <family val="2"/>
      </rPr>
      <t xml:space="preserve"> ersättning till FK för pers.assistenter</t>
    </r>
  </si>
  <si>
    <t xml:space="preserve">   därav investeringsbidrag från staten o statl.myndigheter</t>
  </si>
  <si>
    <t xml:space="preserve">   därav investeringsbidrag från EU</t>
  </si>
  <si>
    <t>Kommentarer till tilläggsuppgifterna avseende kommunens investeringsredovisning:</t>
  </si>
  <si>
    <t>Kommentarer till tilläggsuppgifterna avseende investeringar i den sammanställda redovisningen:</t>
  </si>
  <si>
    <t>del av 238</t>
  </si>
  <si>
    <t>del av 23</t>
  </si>
  <si>
    <t>del av 228</t>
  </si>
  <si>
    <t>755</t>
  </si>
  <si>
    <t>lämnas nedan</t>
  </si>
  <si>
    <t xml:space="preserve">Uppgifterna för koncernen </t>
  </si>
  <si>
    <t>Checkkredit, övriga långfristiga skulder</t>
  </si>
  <si>
    <t>Om ingen exakt uppdelning finns mellan mark och eventuell byggnad/anläggning så får en uppskattning med utgångspunkt ur bokfört värde göras.</t>
  </si>
  <si>
    <r>
      <t xml:space="preserve">Det som avses är de investeringar som har gjorts av de företag/bolag/stiftelser/kommunalförbund som konsolideras i den sammanställda redovisningen. </t>
    </r>
    <r>
      <rPr>
        <b/>
        <sz val="8"/>
        <rFont val="Helvetica"/>
        <family val="2"/>
      </rPr>
      <t xml:space="preserve">Endast kommunens andel  anges. </t>
    </r>
  </si>
  <si>
    <t>- Förlust vid avyttring och utrangering av anl.tillgångar</t>
  </si>
  <si>
    <t>Hälso- och sjukvård, övrigt (utöver den hemsjukvård som ingår på radnr 510, 520 eller 513)</t>
  </si>
  <si>
    <t>Investeringar!$I$13</t>
  </si>
  <si>
    <t>Investeringar!$G$66</t>
  </si>
  <si>
    <t>Investeringar!$E$97</t>
  </si>
  <si>
    <t>Motpart!$D$44</t>
  </si>
  <si>
    <t>Motpart!$D$45</t>
  </si>
  <si>
    <t>Motpart!$F$44</t>
  </si>
  <si>
    <t>Motpart!$F$45</t>
  </si>
  <si>
    <t>Motpart!$I$44</t>
  </si>
  <si>
    <t>Motpart!$I$45</t>
  </si>
  <si>
    <t>Motpart!$K$44</t>
  </si>
  <si>
    <t>Motpart!$K$45</t>
  </si>
  <si>
    <t>Motpart!$O$44</t>
  </si>
  <si>
    <t>Motpart!$O$45</t>
  </si>
  <si>
    <t>Motpart!$Q$44</t>
  </si>
  <si>
    <t>Motpart!$Q$45</t>
  </si>
  <si>
    <t>Motpart!$S$44</t>
  </si>
  <si>
    <t>Motpart!$S$45</t>
  </si>
  <si>
    <t>Motpart!$T$44</t>
  </si>
  <si>
    <t>Motpart!$T$45</t>
  </si>
  <si>
    <t>Motpart!$V$43</t>
  </si>
  <si>
    <t xml:space="preserve"> förskola</t>
  </si>
  <si>
    <t xml:space="preserve"> fritidshem</t>
  </si>
  <si>
    <t xml:space="preserve"> förskoleklass</t>
  </si>
  <si>
    <t xml:space="preserve"> grundskola</t>
  </si>
  <si>
    <t xml:space="preserve"> gymnasieskolan</t>
  </si>
  <si>
    <t xml:space="preserve"> grundläggande vuxenutbildning </t>
  </si>
  <si>
    <t xml:space="preserve"> gymnasial vuxen- och påbyggnadsutbildning </t>
  </si>
  <si>
    <t xml:space="preserve">Kommentera  köp av platser i annan kommun gymnasieskola </t>
  </si>
  <si>
    <t>Äldre o personer funktionsn'!$N$30</t>
  </si>
  <si>
    <t>Äldre o personer funktionsn'!$N$38</t>
  </si>
  <si>
    <t>Totalt (exklusive försäljning av anl.tillg.)</t>
  </si>
  <si>
    <r>
      <t>Infrastruktur, skydd m.m.</t>
    </r>
    <r>
      <rPr>
        <sz val="7"/>
        <rFont val="Helvetica"/>
        <family val="2"/>
      </rPr>
      <t xml:space="preserve">                                                      Fysisk o. teknisk planering, bostadsförbättr.</t>
    </r>
  </si>
  <si>
    <t>inv. 65-w år</t>
  </si>
  <si>
    <t>inv. 0-64 år</t>
  </si>
  <si>
    <t>inv. 23-w år</t>
  </si>
  <si>
    <t>inv. 0-22 år</t>
  </si>
  <si>
    <t>inv. 23-64 år</t>
  </si>
  <si>
    <t>Enligt Verksamhetens intäkter och kostnader</t>
  </si>
  <si>
    <t>Driftbidrag fr. staten, statl. mynd. Inkl.AF</t>
  </si>
  <si>
    <t>Därav                                köp av huvud-verksamhet</t>
  </si>
  <si>
    <t>Differens mellan summan av rad 800-844 och RR rad 060:</t>
  </si>
  <si>
    <t>Självrisker</t>
  </si>
  <si>
    <t>Infriad borgen</t>
  </si>
  <si>
    <t>Avgifter</t>
  </si>
  <si>
    <r>
      <t xml:space="preserve">4. Kontroll av att beloppen i kol. "Övriga" i driften är lika med motsvarande tjänster i verksamhetskostnader:  </t>
    </r>
    <r>
      <rPr>
        <b/>
        <sz val="7"/>
        <color rgb="FFFF0000"/>
        <rFont val="Helvetica"/>
        <family val="2"/>
      </rPr>
      <t/>
    </r>
  </si>
  <si>
    <t>IFO!$L$30</t>
  </si>
  <si>
    <t>IFO!$L$20</t>
  </si>
  <si>
    <t>IFO!$L$28</t>
  </si>
  <si>
    <t>IFO!$L$36</t>
  </si>
  <si>
    <t xml:space="preserve">   - Kundförl.,straffavg.,förl.på kortfr.fordr.övr.riskkost.rad 476</t>
  </si>
  <si>
    <t>RS2017</t>
  </si>
  <si>
    <t>RS2016</t>
  </si>
  <si>
    <t>Interna lokalkostnader, rad 513, kol L:</t>
  </si>
  <si>
    <t>Fördelad gem.verks., Kommun-nyckel, rad 513, kol N</t>
  </si>
  <si>
    <t>Fördelad gem.verks., SCB-nyckel, rad 513, kol O,</t>
  </si>
  <si>
    <t>Bruttokostnad, rad 513, kol P</t>
  </si>
  <si>
    <t>Taxor och avgifter, rad 513, kol R</t>
  </si>
  <si>
    <t>Externa bostadshyror o lokalhyror, rad 513, kol S</t>
  </si>
  <si>
    <t>Övriga externa intäkter, rad 513, kol T</t>
  </si>
  <si>
    <t>Interna intäkter, rad 513, kol V</t>
  </si>
  <si>
    <t>Bruttointäkter, rad 513, kol W</t>
  </si>
  <si>
    <t>Lämnade bidrag, rad 513, kol H:</t>
  </si>
  <si>
    <t>Externa lokalhyror, rad 513, kol I:</t>
  </si>
  <si>
    <t>Kalkylerade kapitalkostnader, rad 513, kol J:</t>
  </si>
  <si>
    <t>Interna köp o övr.interna kostn., rad 513, kol M</t>
  </si>
  <si>
    <t>Förändring i 1000-tal kronor</t>
  </si>
  <si>
    <t>Kontroll</t>
  </si>
  <si>
    <t>Löner, rad 920, kol C:</t>
  </si>
  <si>
    <t>PO, rad 920, kol D:</t>
  </si>
  <si>
    <t>Varor, rad 920, kol E:</t>
  </si>
  <si>
    <t>Köp av huvudverks, rad 920, kol F:</t>
  </si>
  <si>
    <t>Övriga, rad 920, kol G:</t>
  </si>
  <si>
    <t>Lämnade bidrag, rad 920, kol H:</t>
  </si>
  <si>
    <t>Externa lokalhyror, rad 920, kol I:</t>
  </si>
  <si>
    <t>Kalkylerade kapitalkostnader, rad 920, kol J:</t>
  </si>
  <si>
    <t>Interna lokalkostnader, rad 920, kol L:</t>
  </si>
  <si>
    <t>Interna köp o övr.interna kostn., rad 920, kol M</t>
  </si>
  <si>
    <t>Bruttokostnad, rad 920, kol P</t>
  </si>
  <si>
    <t>Taxor och avgifter, rad 920, kol R</t>
  </si>
  <si>
    <t>Externa bostadshyror o lokalhyror, rad 920, kol S</t>
  </si>
  <si>
    <t>Övriga externa intäkter, rad 920, kol T</t>
  </si>
  <si>
    <t>Kontroll av förändringarna av motparter i fliken Motpart</t>
  </si>
  <si>
    <t>Kommentera orsaken till förändringarna i Motparten som leder till kontroll:</t>
  </si>
  <si>
    <t>Specificering av vissa intäkter</t>
  </si>
  <si>
    <t>Kommentera orsaken till förändringarna på rad 513 som leder till kontroll:</t>
  </si>
  <si>
    <t>Kommentera orsaken till förändringarna på rad 920 som leder till kontroll:</t>
  </si>
  <si>
    <t>Driftrad 513</t>
  </si>
  <si>
    <t>Driftrad 920</t>
  </si>
  <si>
    <t>minusbelopp i cellen ska kommenteras</t>
  </si>
  <si>
    <t>beloppet i därav-variabel är större än beloppet i huvud-variabel, ska åtgärdas eller kommenteras</t>
  </si>
  <si>
    <t>Nämnare nyckeltal och kommentar till kontroller</t>
  </si>
  <si>
    <t>Följande jämförelsestörande poster ingår i Resultaträkningen ovan:</t>
  </si>
  <si>
    <t>170</t>
  </si>
  <si>
    <t>175</t>
  </si>
  <si>
    <t>180</t>
  </si>
  <si>
    <t>Kommentarer till jämförelsestörande poster:</t>
  </si>
  <si>
    <t>Sambandskontroller mellan olika avdelningar i blanketten</t>
  </si>
  <si>
    <t>del av 16</t>
  </si>
  <si>
    <t>Fördelad gemensam verksamhet (rad 920)</t>
  </si>
  <si>
    <t>Röda siffror indikerar att ett belopp kan vara fel</t>
  </si>
  <si>
    <t>Investeringar!$I$14</t>
  </si>
  <si>
    <t>Pedagogisk verksamhet'!$P$24</t>
  </si>
  <si>
    <t>735, 736, 738, 739</t>
  </si>
  <si>
    <t>utgifter i mat.</t>
  </si>
  <si>
    <r>
      <t xml:space="preserve">o immat. anl.    tillg.              </t>
    </r>
    <r>
      <rPr>
        <sz val="7"/>
        <rFont val="Helvetica"/>
        <family val="2"/>
      </rPr>
      <t xml:space="preserve">  (före konsolidering)</t>
    </r>
  </si>
  <si>
    <t>2019</t>
  </si>
  <si>
    <t>Generella statsbidrag och utjämning</t>
  </si>
  <si>
    <t>Resultat efter finansiella poster</t>
  </si>
  <si>
    <t>Extraordinära poster (netto)</t>
  </si>
  <si>
    <t>Kommunal borgensavgift</t>
  </si>
  <si>
    <t>Regioner</t>
  </si>
  <si>
    <t>[361]                      Motpart 82 och 83</t>
  </si>
  <si>
    <t>Försälj.av v-het o konsult- o andra tjänster, MP kommun</t>
  </si>
  <si>
    <t>Försälj.av v-het o konsult- o andra tjänster, MP kommunalförbund</t>
  </si>
  <si>
    <t>Försäljning av verksamhet, motpart region</t>
  </si>
  <si>
    <t>Summa kortfristiga placeringar (i värdepapper)</t>
  </si>
  <si>
    <t>Kassa och bank</t>
  </si>
  <si>
    <t>Transporter/resor, ej anställda o förtroendevalda</t>
  </si>
  <si>
    <t>Lokal- och bostadshyror</t>
  </si>
  <si>
    <r>
      <rPr>
        <strike/>
        <sz val="7"/>
        <rFont val="Helvetica"/>
        <family val="2"/>
      </rPr>
      <t>I</t>
    </r>
    <r>
      <rPr>
        <sz val="7"/>
        <rFont val="Helvetica"/>
        <family val="2"/>
      </rPr>
      <t>nhyrd personal</t>
    </r>
  </si>
  <si>
    <r>
      <t>Försäkrings</t>
    </r>
    <r>
      <rPr>
        <sz val="7"/>
        <rFont val="Helvetica"/>
        <family val="2"/>
      </rPr>
      <t>premier</t>
    </r>
  </si>
  <si>
    <t>6192, 692, 696, 73, 76</t>
  </si>
  <si>
    <t>kommunalförb.</t>
  </si>
  <si>
    <t>och regioner</t>
  </si>
  <si>
    <r>
      <t>Därav försäljn. av v-het till kommuner, kommunalförb. och</t>
    </r>
    <r>
      <rPr>
        <strike/>
        <sz val="7"/>
        <color rgb="FFFF0000"/>
        <rFont val="Helvetica"/>
        <family val="2"/>
      </rPr>
      <t xml:space="preserve"> </t>
    </r>
    <r>
      <rPr>
        <sz val="7"/>
        <rFont val="Helvetica"/>
        <family val="2"/>
      </rPr>
      <t>regioner</t>
    </r>
  </si>
  <si>
    <t>intäkter o förs.</t>
  </si>
  <si>
    <t>till andra kommuner</t>
  </si>
  <si>
    <t>361 motpart 82, 83, 84</t>
  </si>
  <si>
    <t>[361] motpart 82, 83, 84</t>
  </si>
  <si>
    <t>Försäljning av verksamhet till andra kommuner, kommunalförb. och regioner</t>
  </si>
  <si>
    <t>Bruttokostnad ./. Interna intäkter o.</t>
  </si>
  <si>
    <t>förs. av v-samhet</t>
  </si>
  <si>
    <t>regioner</t>
  </si>
  <si>
    <t>kommunalförb och</t>
  </si>
  <si>
    <t>Bruttokostnad  ./. Interna intäkter och försäljning till andra kommuner, kommunalförb. och regioner</t>
  </si>
  <si>
    <t>Driftredovisning</t>
  </si>
  <si>
    <t xml:space="preserve"> + Infriad borgen, rad 477</t>
  </si>
  <si>
    <t xml:space="preserve">   Kundförl,, Straffavg. m.m., Förl, på kortfr.fordr,, Övr. riskkostnader,  rad 476</t>
  </si>
  <si>
    <t xml:space="preserve">     Förlust vid avyttring o utrang. av mat. o. immat. anl.tillg., rad 897</t>
  </si>
  <si>
    <t>15. Kontroll av samband mellan motpartsredovisning och verksamhetens intäkter</t>
  </si>
  <si>
    <t>16. Kontroll av samband mellan motpartsredovisning och verksamhetens intäkter</t>
  </si>
  <si>
    <t xml:space="preserve">     Försäljning av verksamhet, motpart kommun, rad 317</t>
  </si>
  <si>
    <t xml:space="preserve">     +Försäljning av verksamhet, motpart kommunalförbund, rad 3xx</t>
  </si>
  <si>
    <t xml:space="preserve">     Förs.av versamh. till region, kol Z</t>
  </si>
  <si>
    <t xml:space="preserve">    Försäljning av verksamhet, motpart region, rad 327</t>
  </si>
  <si>
    <t xml:space="preserve">     Driftbidrag från EU, kol. AB</t>
  </si>
  <si>
    <t xml:space="preserve">     EU-bidrag (driftbidrag), rad 550</t>
  </si>
  <si>
    <t>18. Kontroll av samband mellan motpartsredovisning och verksamhetens intäkter</t>
  </si>
  <si>
    <t>19. Kontroll av samband mellan motpartsredovisning och verksamhetens intäkter</t>
  </si>
  <si>
    <t xml:space="preserve">    Förs. av v-het. till annan komm.o kommunalförb, kol Y</t>
  </si>
  <si>
    <t xml:space="preserve">   + Erhållna ersättningar från FK för personlig assistent, rad 525</t>
  </si>
  <si>
    <t xml:space="preserve">   + Särskild momsers. vid köp av ej skattepliktig verksamhet, rad 527</t>
  </si>
  <si>
    <t xml:space="preserve">     Kostn.ers.o rikt.bidrag MP staten och statliga myndigheter, rad 500</t>
  </si>
  <si>
    <t xml:space="preserve">   + Kostn.ers.o rikt.bidrag MP AF, rad 510</t>
  </si>
  <si>
    <t xml:space="preserve">   + Kostn.ers.o rikt. bidr. MP kommuner, kommunalförb o regioner, rad 520</t>
  </si>
  <si>
    <t xml:space="preserve">     Försäljningsintäkter, övriga ersätt.o intäkter, rad 130:</t>
  </si>
  <si>
    <t>14. Kontroll av belopp mellan Drift och Verksamhetens intäkter och kostnader</t>
  </si>
  <si>
    <t>Differenser som beror på jämförelsestörande poster ska inte åtgärdas utan kommenteras.</t>
  </si>
  <si>
    <t xml:space="preserve">    Diverse förluster och övr. riskkostnader, rad 982, kol P:</t>
  </si>
  <si>
    <t xml:space="preserve">    Reaförluster o div. periodiseringar, rad 985, kol P</t>
  </si>
  <si>
    <t xml:space="preserve"> + Diverse periodiseringar, rad 900</t>
  </si>
  <si>
    <t>Anskaffningskostn, försåld exploat.fastigh., rad 988, kol P</t>
  </si>
  <si>
    <t xml:space="preserve">  Anskaffningskostn, försåld exploat.fastigh., rad 342</t>
  </si>
  <si>
    <t>Förs. expl.fastigheter, tomträtter, rad 982, kol W</t>
  </si>
  <si>
    <t>Försäljning av exploateringsfastigheter, tomträtter, rad 891</t>
  </si>
  <si>
    <t>(Reavinst vid) Försälj. av anl.tillg.[38],rad 985, kol W</t>
  </si>
  <si>
    <t>(Reavinst vid) försäljning av anläggningstillgångar, rad 892</t>
  </si>
  <si>
    <r>
      <t xml:space="preserve">Beloppet i kolumn D på rad 920 ska motsvara personal-omkostnaderna för gemen-samma verksamheter. Eventuella justeringar av för höga eller för låga PO på verksamheterna 100-910 ska </t>
    </r>
    <r>
      <rPr>
        <u/>
        <sz val="8"/>
        <color theme="0"/>
        <rFont val="Arial"/>
        <family val="2"/>
      </rPr>
      <t>göras på respektive verksamhet eftersom verksamheternas personalkostnader annars blir missvisande</t>
    </r>
  </si>
  <si>
    <r>
      <rPr>
        <b/>
        <sz val="7"/>
        <color indexed="10"/>
        <rFont val="Helvetica"/>
        <family val="2"/>
      </rPr>
      <t xml:space="preserve">Kommentera förändringen:   </t>
    </r>
    <r>
      <rPr>
        <sz val="7"/>
        <rFont val="Helvetica"/>
        <family val="2"/>
      </rPr>
      <t>Betyder att nyckeltalet avviker stort från föregående år. Kontrollera om det stämmer och skriv i så fall vad förändringen beror på.</t>
    </r>
  </si>
  <si>
    <r>
      <rPr>
        <b/>
        <sz val="7"/>
        <color rgb="FFFF0000"/>
        <rFont val="Helvetica"/>
        <family val="2"/>
      </rPr>
      <t xml:space="preserve">Kommentera förändringen: </t>
    </r>
    <r>
      <rPr>
        <sz val="7"/>
        <rFont val="Helvetica"/>
        <family val="2"/>
      </rPr>
      <t xml:space="preserve"> Nyckeltalet avviker stort från föregående år. Kontrollera om det stämmer och skriv i så fall vad förändringen beror på.</t>
    </r>
  </si>
  <si>
    <r>
      <rPr>
        <b/>
        <sz val="7"/>
        <color rgb="FFFF0000"/>
        <rFont val="Arial"/>
        <family val="2"/>
      </rPr>
      <t xml:space="preserve">Kommentera förändringen: </t>
    </r>
    <r>
      <rPr>
        <sz val="7"/>
        <rFont val="Arial"/>
        <family val="2"/>
      </rPr>
      <t xml:space="preserve">Betyder att nyckeltalet avviker stort från föregående år. </t>
    </r>
  </si>
  <si>
    <r>
      <t xml:space="preserve">_____________________
</t>
    </r>
    <r>
      <rPr>
        <b/>
        <sz val="7"/>
        <color indexed="10"/>
        <rFont val="Arial"/>
        <family val="2"/>
      </rPr>
      <t>Kommentarrutorna finns till höger, kol. R-W</t>
    </r>
  </si>
  <si>
    <t>Övriga finansiella intäkter</t>
  </si>
  <si>
    <t>Övriga finansiella kostnader</t>
  </si>
  <si>
    <t>Förlust vid avyttring o värdering, finansiella oms.tillg.</t>
  </si>
  <si>
    <t>0731</t>
  </si>
  <si>
    <t>524</t>
  </si>
  <si>
    <t>328</t>
  </si>
  <si>
    <t>Försälj.av v-het o konsult- o andra tjänster, MP region</t>
  </si>
  <si>
    <r>
      <t>Därav personal</t>
    </r>
    <r>
      <rPr>
        <sz val="7"/>
        <rFont val="Helvetica"/>
        <family val="2"/>
      </rPr>
      <t>kostnad</t>
    </r>
  </si>
  <si>
    <t>Därav personalkostnad</t>
  </si>
  <si>
    <t>577</t>
  </si>
  <si>
    <t>Likvida medel (kassa, bank)  i % av externa driftkostnader</t>
  </si>
  <si>
    <t>[50-51, 53, 54, 55x2, 5598, 591 samt PO]</t>
  </si>
  <si>
    <t>[50-51, 53, 54, 55x2, 5598, 591] samt PO</t>
  </si>
  <si>
    <t>Skuld för avgifter samt offentliga bidrag (investeringar)</t>
  </si>
  <si>
    <t>Anslutnings- och anläggningsavg. (investeringar)</t>
  </si>
  <si>
    <t>Offentliga bidrag (investeringar)</t>
  </si>
  <si>
    <t>50, 51, 53, 54, 55x2, 5598</t>
  </si>
  <si>
    <t>56 [ej 5635]</t>
  </si>
  <si>
    <t>572, 5635</t>
  </si>
  <si>
    <t xml:space="preserve">   - Aktivering, rad 103</t>
  </si>
  <si>
    <t>2. Kontroll av verksamhetens kostnader för varor i driften överensstämmer mellan flkarna</t>
  </si>
  <si>
    <t xml:space="preserve">     Sociala avgifter, rad 975, kol P:</t>
  </si>
  <si>
    <t xml:space="preserve"> + Sociala avgifter</t>
  </si>
  <si>
    <t xml:space="preserve">     Förändring pens.avs., rad 980, kol P:</t>
  </si>
  <si>
    <t xml:space="preserve"> + Förändring pensionsavs inkl.särsk.lönesk på avs. pens.</t>
  </si>
  <si>
    <t xml:space="preserve"> + Pensionsutbetalningar</t>
  </si>
  <si>
    <t xml:space="preserve"> + Pensionsförsäkringspremier</t>
  </si>
  <si>
    <t xml:space="preserve"> + Pensionskostnad, avgiftsbestämd ålderspension</t>
  </si>
  <si>
    <t xml:space="preserve"> + Förvaltningsavgifter</t>
  </si>
  <si>
    <t>Verksamhetens resultat</t>
  </si>
  <si>
    <t>[50-51, 53, 54, 55x2, 5598, del av 591]</t>
  </si>
  <si>
    <t>Soc.avg o pens.utbet./kostn. (56(ej 5635), del av 591, 57 (ej572)</t>
  </si>
  <si>
    <t>Förändr.pens.avs.[572] o.särsk.lönesk.pens.avs.[5635], del av 591</t>
  </si>
  <si>
    <t xml:space="preserve">1. Kontroll att verksamhetens personalkostnader överensstämmer mellan flikarna </t>
  </si>
  <si>
    <t>Därav försäljn. av verksamhet till annan kommun/kommunalförbund</t>
  </si>
  <si>
    <t>Försäljning av platser till annan kommun/kommunalförb. per invånare 16-18 år.</t>
  </si>
  <si>
    <t>Köp av platser i annan kommun/kommunalförb. per invånare 16-18 år.</t>
  </si>
  <si>
    <t>Köp av platser från region per invånare 7-15 år.</t>
  </si>
  <si>
    <t>Köp av plater från region per invånare 16-18 år.</t>
  </si>
  <si>
    <t xml:space="preserve">   + Förändr.avsättn, rad 899</t>
  </si>
  <si>
    <t xml:space="preserve">   + Förs.av verksamheter o tjänster rad 390</t>
  </si>
  <si>
    <t xml:space="preserve">   + Summa offentliga bidrag (investeringar), rad 560 och Övr. bidrag, rad 570</t>
  </si>
  <si>
    <t>10. Kontroll att rad 982 i Driften överensstämmer med motsvarande i verksamhetskostnader</t>
  </si>
  <si>
    <t>11. Kontroll av reaförluster och diverse periodiseringar</t>
  </si>
  <si>
    <t>12. Kontroll av anskaffningskostn, försåld exploat.fastigh.</t>
  </si>
  <si>
    <t>13. Kontroll av belopp mellan Drift och Verksamhetens intäkter och kostnader</t>
  </si>
  <si>
    <t>17. Kontroll av samband mellan motpartsredovisning och verksamhetens intäkter</t>
  </si>
  <si>
    <r>
      <t xml:space="preserve">OBS! Omklassificeringar </t>
    </r>
    <r>
      <rPr>
        <b/>
        <sz val="8"/>
        <color theme="0"/>
        <rFont val="Helvetica"/>
        <family val="2"/>
      </rPr>
      <t>inom</t>
    </r>
    <r>
      <rPr>
        <sz val="8"/>
        <color theme="0"/>
        <rFont val="Helvetica"/>
        <family val="2"/>
      </rPr>
      <t xml:space="preserve"> kontogrupp 11, 12 eller 13 ingår inte här.</t>
    </r>
    <r>
      <rPr>
        <b/>
        <sz val="8"/>
        <color theme="0"/>
        <rFont val="Helvetica"/>
        <family val="2"/>
      </rPr>
      <t xml:space="preserve"> Pågående arbeten ska redovisas på rad 987.</t>
    </r>
  </si>
  <si>
    <r>
      <rPr>
        <b/>
        <sz val="7"/>
        <color indexed="10"/>
        <rFont val="Helvetica"/>
        <family val="2"/>
      </rPr>
      <t>Kommentera riksavvikelsen</t>
    </r>
    <r>
      <rPr>
        <sz val="7"/>
        <rFont val="Helvetica"/>
        <family val="2"/>
      </rPr>
      <t>: Betyder att nyckeltalet avviker stort från riksgenomsnittet.  Intervallet för riksgenomsnittet visas i den inlagda kommentaren på aktuell rad</t>
    </r>
  </si>
  <si>
    <t>Kommunalförbund och SKR</t>
  </si>
  <si>
    <t>Kostn.ers. o rikt bidrag, MP Arbetsförmedlingen</t>
  </si>
  <si>
    <t>Kostn.ers. o rikt.bidrag, MP kommuner, komm.förb. o region</t>
  </si>
  <si>
    <t>Kostn.ers. o rikt. bidrag, MP staten o statl. myndigh exkl AF, ej invest</t>
  </si>
  <si>
    <t>Förs. av v-het. till region</t>
  </si>
  <si>
    <t>Verks int o kostn'!$D$36</t>
  </si>
  <si>
    <t>Kontrollblad!$F$14</t>
  </si>
  <si>
    <t>Kontrollblad!$F$25</t>
  </si>
  <si>
    <t>Kontrollblad!$F$33</t>
  </si>
  <si>
    <t>Kontrollblad!$F$50</t>
  </si>
  <si>
    <t>Kontrollblad!$F$58</t>
  </si>
  <si>
    <t>Kontrollblad!$F$66</t>
  </si>
  <si>
    <t>Kontrollblad!$F$74</t>
  </si>
  <si>
    <t>Kontrollblad!$F$82</t>
  </si>
  <si>
    <t>Kontrollblad!$F$95</t>
  </si>
  <si>
    <t>Kontrollblad!$F$103</t>
  </si>
  <si>
    <t>Kontrollblad!$F$112</t>
  </si>
  <si>
    <t>Kontrollblad!$F$120</t>
  </si>
  <si>
    <t>Kontrollblad!$F$136</t>
  </si>
  <si>
    <t>Kontrollblad!$F$145</t>
  </si>
  <si>
    <t>Kontrollblad!$F$153</t>
  </si>
  <si>
    <t>Kontrollblad!$F$162</t>
  </si>
  <si>
    <t>Kontrollblad!$F$170</t>
  </si>
  <si>
    <t>Kontrollblad!$F$182</t>
  </si>
  <si>
    <t>BR!$F$62</t>
  </si>
  <si>
    <t>BR!$F$80</t>
  </si>
  <si>
    <t xml:space="preserve">Investeringar fördelade på verksamheter </t>
  </si>
  <si>
    <t xml:space="preserve">Tilläggsuppgifter avseende kommunens investeringsredovisning </t>
  </si>
  <si>
    <t xml:space="preserve">Tilläggsuppgifter avseende investeringar i företag/bolag/stiftelser/kommunalförbund som konsolideras i den sammanställda redovisningen </t>
  </si>
  <si>
    <t>Skulder för statsbidrag, fastighetsavgift, fastighetsskatt mm.</t>
  </si>
  <si>
    <t>fordringar för statliga bidrag och kostnadsers.</t>
  </si>
  <si>
    <t>del av 24</t>
  </si>
  <si>
    <t>352</t>
  </si>
  <si>
    <t>352, 359</t>
  </si>
  <si>
    <t>Återvunna, tidigare avskrivna kundfordringar</t>
  </si>
  <si>
    <t>Intäkter från exploateringsverksamhet sam försälj. av OT</t>
  </si>
  <si>
    <t>22</t>
  </si>
  <si>
    <t>231</t>
  </si>
  <si>
    <t>Obligations- och förlagslån</t>
  </si>
  <si>
    <t>Övriga ersättningar, exploateringsverksamhet</t>
  </si>
  <si>
    <t xml:space="preserve">   därav investeringsinkomster från företag</t>
  </si>
  <si>
    <t xml:space="preserve">   därav övriga investeringsinkomster</t>
  </si>
  <si>
    <t>329</t>
  </si>
  <si>
    <t>105</t>
  </si>
  <si>
    <t>Investeringsinkomster som utbetalats till kommunen eller som kommunen erhållit, under året</t>
  </si>
  <si>
    <t>Bidrag/gåvor från privata aktörer</t>
  </si>
  <si>
    <t>[40"ej 401", 41"ej 418", 43, 617, 618, 62, 64-65, 691]</t>
  </si>
  <si>
    <t xml:space="preserve">På rad 740 borde det finnas ett belopp eller beloppet borde vara högre.
</t>
  </si>
  <si>
    <t>Försäljning och värdering, finans. omsättningstillg.</t>
  </si>
  <si>
    <t>Försäljning och värdering, finans. anläggningstillg.</t>
  </si>
  <si>
    <t>Aktier samt andelar i finansiella instrument</t>
  </si>
  <si>
    <t>Ersättningar från FK för personliga assistenter</t>
  </si>
  <si>
    <t>Bidrag till juridiska personer</t>
  </si>
  <si>
    <t>Ersättning till FK för personliga assistenter</t>
  </si>
  <si>
    <t>Anskaffningskostnad, såld exploateringsfastighet</t>
  </si>
  <si>
    <t>Anskaff.kostnad, såld exploat.fastig [418]</t>
  </si>
  <si>
    <t>[342, 351 [ej mp 81], 352, 354, 356, 357, 359]</t>
  </si>
  <si>
    <t>Obligationer och andra värdepapper (exkl certifikat)</t>
  </si>
  <si>
    <t>Instruktioner</t>
  </si>
  <si>
    <t>Länk till inloggningssidan</t>
  </si>
  <si>
    <t>Tidsplan</t>
  </si>
  <si>
    <t>Övriga information</t>
  </si>
  <si>
    <t>www.scb.se/rskommuner</t>
  </si>
  <si>
    <t>Uppgiftslämnarsida:</t>
  </si>
  <si>
    <t>På uppgiftslämnarsidan finns:</t>
  </si>
  <si>
    <r>
      <rPr>
        <b/>
        <sz val="10"/>
        <color indexed="8"/>
        <rFont val="Helvetica"/>
        <family val="2"/>
      </rPr>
      <t>Insändning:</t>
    </r>
    <r>
      <rPr>
        <sz val="10"/>
        <color indexed="8"/>
        <rFont val="Helvetica"/>
        <family val="2"/>
      </rPr>
      <t xml:space="preserve"> Blanketten skickas in via Uppgiftslämnarportalen som nås efter inloggning.</t>
    </r>
  </si>
  <si>
    <t>[55x1, 5597, 60,"ej 601", 61"ej 617,618", 63, 66, 68, 69"ej 691", 70-72, 731-734, 74, 75, 76, 787]</t>
  </si>
  <si>
    <t>[601 (interna poster)]</t>
  </si>
  <si>
    <t xml:space="preserve">Försäljning av mark, brutto </t>
  </si>
  <si>
    <t>79,                  852 (interna poster) ]</t>
  </si>
  <si>
    <t>+/- Omklassificeringar mellan kontogrupper</t>
  </si>
  <si>
    <t>Kontaktuppgifter till SCB</t>
  </si>
  <si>
    <t>2341</t>
  </si>
  <si>
    <t>2342</t>
  </si>
  <si>
    <t>Lån i banker och kreditinstitut utländsk valuta</t>
  </si>
  <si>
    <t>Lagstadgade sociala avgifter och särskild löneskatt</t>
  </si>
  <si>
    <t>Not 1: 26-27 (ej 271-272), 289, 29 (ej 292, 293, 296, 298)</t>
  </si>
  <si>
    <t>Inköp av mark (inköpspris)</t>
  </si>
  <si>
    <t>Nyckeltal kr/inv
Kommunen</t>
  </si>
  <si>
    <t>Rad
nr</t>
  </si>
  <si>
    <t xml:space="preserve">   + Kostn.ers. o rikt.bidrag, MP Föreningar och stiftelser, rad 521</t>
  </si>
  <si>
    <t>102</t>
  </si>
  <si>
    <t>Kostn.ers. o rikt.bidrag, MP föreningar och stiftelser</t>
  </si>
  <si>
    <r>
      <rPr>
        <b/>
        <sz val="7"/>
        <rFont val="Helvetica"/>
        <family val="2"/>
      </rPr>
      <t>Därav</t>
    </r>
    <r>
      <rPr>
        <sz val="7"/>
        <rFont val="Helvetica"/>
        <family val="2"/>
      </rPr>
      <t xml:space="preserve"> jämförelsestörande intäkter </t>
    </r>
    <r>
      <rPr>
        <b/>
        <sz val="7"/>
        <rFont val="Helvetica"/>
        <family val="2"/>
      </rPr>
      <t>på rad 010</t>
    </r>
  </si>
  <si>
    <r>
      <rPr>
        <b/>
        <sz val="7"/>
        <rFont val="Helvetica"/>
        <family val="2"/>
      </rPr>
      <t>Därav</t>
    </r>
    <r>
      <rPr>
        <sz val="7"/>
        <rFont val="Helvetica"/>
        <family val="2"/>
      </rPr>
      <t xml:space="preserve"> jämförelsestörande kostnader </t>
    </r>
    <r>
      <rPr>
        <b/>
        <sz val="7"/>
        <rFont val="Helvetica"/>
        <family val="2"/>
      </rPr>
      <t xml:space="preserve">på rad 020 </t>
    </r>
    <r>
      <rPr>
        <sz val="7"/>
        <rFont val="Helvetica"/>
        <family val="2"/>
      </rPr>
      <t xml:space="preserve"> </t>
    </r>
  </si>
  <si>
    <r>
      <rPr>
        <b/>
        <sz val="7"/>
        <rFont val="Helvetica"/>
        <family val="2"/>
      </rPr>
      <t>Därav</t>
    </r>
    <r>
      <rPr>
        <sz val="7"/>
        <rFont val="Helvetica"/>
        <family val="2"/>
      </rPr>
      <t xml:space="preserve"> jämförelsestörande av-/nedskrivningar </t>
    </r>
    <r>
      <rPr>
        <b/>
        <sz val="7"/>
        <rFont val="Helvetica"/>
        <family val="2"/>
      </rPr>
      <t>på rad 025</t>
    </r>
  </si>
  <si>
    <r>
      <rPr>
        <b/>
        <sz val="7"/>
        <rFont val="Helvetica"/>
        <family val="2"/>
      </rPr>
      <t xml:space="preserve">Därav </t>
    </r>
    <r>
      <rPr>
        <sz val="7"/>
        <rFont val="Helvetica"/>
        <family val="2"/>
      </rPr>
      <t>jämförelsestörande finansiella kostnader</t>
    </r>
    <r>
      <rPr>
        <b/>
        <sz val="7"/>
        <rFont val="Helvetica"/>
        <family val="2"/>
      </rPr>
      <t xml:space="preserve"> på rad 070</t>
    </r>
  </si>
  <si>
    <r>
      <rPr>
        <b/>
        <sz val="7"/>
        <rFont val="Helvetica"/>
        <family val="2"/>
      </rPr>
      <t>Därav</t>
    </r>
    <r>
      <rPr>
        <sz val="7"/>
        <rFont val="Helvetica"/>
        <family val="2"/>
      </rPr>
      <t xml:space="preserve"> jämförelsestörande finansiella intäkter</t>
    </r>
    <r>
      <rPr>
        <b/>
        <sz val="7"/>
        <rFont val="Helvetica"/>
        <family val="2"/>
      </rPr>
      <t xml:space="preserve"> på rad 060</t>
    </r>
  </si>
  <si>
    <t>Summa materiella anläggningstillgångar</t>
  </si>
  <si>
    <t>Summa finansiella anläggningstillgångar</t>
  </si>
  <si>
    <t>Förråd, lager, exploateringsfastigheter</t>
  </si>
  <si>
    <t>Förutbet. kost. o upplupna intäkter, exkl. upplupna skatteint.</t>
  </si>
  <si>
    <t>exploateringsfastigheter (avser kommun)</t>
  </si>
  <si>
    <t>SUMMA OMSÄTTNINGSTILLGÅNGAR</t>
  </si>
  <si>
    <t>Lån i banker och kreditinstitut svenska kronor</t>
  </si>
  <si>
    <t>EGET KAPITAL, UTGÅENDE VÄRDE</t>
  </si>
  <si>
    <t>Justering av eget kapital, ingående värde</t>
  </si>
  <si>
    <t>Övrig justeringar i eget kapital</t>
  </si>
  <si>
    <t xml:space="preserve">        därav resultatutjämningsreserv</t>
  </si>
  <si>
    <t>SKULDER, AVSÄTTNINGAR O. EGET KAPITAL</t>
  </si>
  <si>
    <t>avsättning för återställ. av deponier/soptippar</t>
  </si>
  <si>
    <t>avsättning bidrag till infrastruktur</t>
  </si>
  <si>
    <t>uppbokade offentliga bidrag (investeringar)</t>
  </si>
  <si>
    <t>nyupptagna långfristiga lån</t>
  </si>
  <si>
    <t xml:space="preserve">kortfristiga skulder till koncernföretag </t>
  </si>
  <si>
    <t>kortfristig del av långfristig skuld</t>
  </si>
  <si>
    <t>lev.skulder till kommunens koncernföretag</t>
  </si>
  <si>
    <t>för vidareutlåning till koncernföretag</t>
  </si>
  <si>
    <t>lån för vidarutlåning till koncernföretag</t>
  </si>
  <si>
    <t>upplupen särsk. löneskatt avgiftsbest. ålderspension</t>
  </si>
  <si>
    <t xml:space="preserve">                                varav kortfristig del av långfristig skuld</t>
  </si>
  <si>
    <r>
      <rPr>
        <b/>
        <sz val="7"/>
        <rFont val="Helvetica"/>
        <family val="2"/>
      </rPr>
      <t xml:space="preserve">koncern: </t>
    </r>
    <r>
      <rPr>
        <sz val="7"/>
        <rFont val="Helvetica"/>
        <family val="2"/>
      </rPr>
      <t>kortfristiga skulder till kreditinstitut och kunder</t>
    </r>
  </si>
  <si>
    <t>Borgen o andra förplikt. gentemot övriga bostadsföretag och bostadsrättsför.</t>
  </si>
  <si>
    <t>Övr. ansvarsför-  för egnahem o</t>
  </si>
  <si>
    <t>Bidrag/gåvor från privata aktörer och övriga bidrag</t>
  </si>
  <si>
    <t>SUMMERING AV VERKSAMHETENS INTÄKTER</t>
  </si>
  <si>
    <t>SUMMERING AV VERKSAMHETENS KOSTNADER</t>
  </si>
  <si>
    <t>Försäljning av verksamhet, motpart kommunalför.</t>
  </si>
  <si>
    <t>Förs. intäkter,  övriga ersättningar och intäkter</t>
  </si>
  <si>
    <t>Särskild momsersättning vid köp av ej skattepliktig verksamhet</t>
  </si>
  <si>
    <t>Försälj.av v-het o konsult- o andra tjänster, MP övr., återv. kundfo.</t>
  </si>
  <si>
    <t>Aktivering av eget arbete vid utveckling av anläggningstillgångar</t>
  </si>
  <si>
    <t>Förändring pensionsavs. inkl. särskild löneskatt på avsättning pens.</t>
  </si>
  <si>
    <t>Bränsle, energi och vatten, drivmedel</t>
  </si>
  <si>
    <t>Fastighets-, anläggnings- och reparationsentreprenader</t>
  </si>
  <si>
    <t>Operationell leasing/hyra av mask., invent., bilar o transp.medel</t>
  </si>
  <si>
    <t>Tele-, IT-kommunikation o. postbefordran</t>
  </si>
  <si>
    <t>Fastighetsskatt och fastighetsavgift, fordons- o trängselskatt, försäkringspremier o riskkostnader, diverse kostnader</t>
  </si>
  <si>
    <t>Förlust vid avyttring o utrangering av mat. o. immat. anl.tillgångar</t>
  </si>
  <si>
    <t>Kostnadsers.o.rikt. bidrag motpart regioner</t>
  </si>
  <si>
    <t>Pensionsutbetalningar intjänade före 98</t>
  </si>
  <si>
    <t>Pensionsutbet. särsk. avtalspens., visstidspens.</t>
  </si>
  <si>
    <t>Larm o bevakning, brandskydd, avgifter för kurser m.m.</t>
  </si>
  <si>
    <t>Kundförluster, straffavgifter m.m., förluster på kortfr.fordringar, övr. riskkostnader</t>
  </si>
  <si>
    <t>Fastighetsskatt o -avgift, fordons- o. trängselskatt</t>
  </si>
  <si>
    <t>Verksamhetens nettokostnader / Skatteintäkter, generella statsbidrag och utjämning</t>
  </si>
  <si>
    <t>Finansnetto / Skatteintäkter, generella statsbidrag och utjämning</t>
  </si>
  <si>
    <t>Resultat efter finansiella poster / Skatteintäkter, generella statsbidrag och utjämning</t>
  </si>
  <si>
    <t>Årets resultat / Skatteintäkter, generella statsbidrag och utjämning</t>
  </si>
  <si>
    <t>Särsk. löneskatt, exkl. särsk.löneskatt på avs. pens.</t>
  </si>
  <si>
    <t>Finansiell kostnad, förändring av pensionsavs.</t>
  </si>
  <si>
    <t>Förlust vid avyttring o värdering, finansiella anl.tillg</t>
  </si>
  <si>
    <t>Utdeln.aktier, andelar i konc.ftg.</t>
  </si>
  <si>
    <t xml:space="preserve">Mellankommunal kostn.utj., övriga skatter </t>
  </si>
  <si>
    <r>
      <rPr>
        <b/>
        <sz val="7"/>
        <rFont val="Helvetica"/>
        <family val="2"/>
      </rPr>
      <t>Kommun</t>
    </r>
    <r>
      <rPr>
        <sz val="7"/>
        <rFont val="Helvetica"/>
        <family val="2"/>
      </rPr>
      <t xml:space="preserve">
Mark, byggn. och tekn. anläggningar [11]</t>
    </r>
  </si>
  <si>
    <r>
      <rPr>
        <b/>
        <sz val="7"/>
        <rFont val="Helvetica"/>
        <family val="2"/>
      </rPr>
      <t>Kommun</t>
    </r>
    <r>
      <rPr>
        <sz val="7"/>
        <rFont val="Helvetica"/>
        <family val="2"/>
      </rPr>
      <t xml:space="preserve">
Finansiella anläggnings-tillgångar              [13 ej 139]</t>
    </r>
  </si>
  <si>
    <r>
      <t xml:space="preserve">Koncern
</t>
    </r>
    <r>
      <rPr>
        <sz val="7"/>
        <color indexed="8"/>
        <rFont val="Helvetica"/>
        <family val="2"/>
      </rPr>
      <t>Finansiella anläggningstillg. [13, ej 139]</t>
    </r>
  </si>
  <si>
    <t>Kommentarer till spec. av förändring av anl.tillgångar:</t>
  </si>
  <si>
    <r>
      <t xml:space="preserve">till 50 % av kommunen, anges på raden för fastighetsverksamhet. I beloppet ska bolagets samtliga investeringsutgifter/inkomster </t>
    </r>
    <r>
      <rPr>
        <i/>
        <sz val="8"/>
        <color rgb="FFFF0000"/>
        <rFont val="Helvetica"/>
        <family val="2"/>
      </rPr>
      <t>avseende materiella och immateriella anläggningstillgångar</t>
    </r>
    <r>
      <rPr>
        <sz val="8"/>
        <rFont val="Helvetica"/>
        <family val="2"/>
      </rPr>
      <t xml:space="preserve"> ingå, dvs. inte enbart fastighetsinvesteringar.</t>
    </r>
  </si>
  <si>
    <r>
      <rPr>
        <b/>
        <sz val="7"/>
        <rFont val="Helvetica"/>
        <family val="2"/>
      </rPr>
      <t xml:space="preserve">AFFÄRSVERKSAMHET  </t>
    </r>
    <r>
      <rPr>
        <sz val="7"/>
        <rFont val="Helvetica"/>
        <family val="2"/>
      </rPr>
      <t xml:space="preserve">                          
</t>
    </r>
    <r>
      <rPr>
        <b/>
        <sz val="7"/>
        <rFont val="Helvetica"/>
        <family val="2"/>
      </rPr>
      <t xml:space="preserve">Näringsliv och bostäder                                 </t>
    </r>
    <r>
      <rPr>
        <sz val="7"/>
        <rFont val="Helvetica"/>
        <family val="2"/>
      </rPr>
      <t>Arbetsområden och lokaler</t>
    </r>
  </si>
  <si>
    <t>Förskola, fritidshem o annan ped.verksamhet tot.</t>
  </si>
  <si>
    <r>
      <t>Därav utdebiterat till verksamheterna (raderna)</t>
    </r>
    <r>
      <rPr>
        <sz val="7"/>
        <color rgb="FFFFFFCC"/>
        <rFont val="Helvetica"/>
        <family val="2"/>
      </rPr>
      <t xml:space="preserve"> …………..</t>
    </r>
    <r>
      <rPr>
        <sz val="7"/>
        <rFont val="Helvetica"/>
        <family val="2"/>
      </rPr>
      <t xml:space="preserve">100-910 i regel i kol.M </t>
    </r>
  </si>
  <si>
    <t>Div. förluster, övr.risk. [735,736,737,738,739]</t>
  </si>
  <si>
    <t>Förs. av v-het. till annan kommun o kom.förbund</t>
  </si>
  <si>
    <t>Driftbidrag fr. staten, statl. mynd. inkl. AF</t>
  </si>
  <si>
    <t>Nedan fördelas summan av beloppen i kol. C och D på rad 987, inköp/nyansk. inkl. pågående arbeten och nyanskaffad finansiell leasing. Investeringar i immateriella anl.tillg. ska ingå. Finansiella anläggningstillgångar ska ej ingå.</t>
  </si>
  <si>
    <t>Anpassad grundskola, totalt</t>
  </si>
  <si>
    <t>Anpassad gymnasieskola, totalt</t>
  </si>
  <si>
    <t>Anpassad grundskola</t>
  </si>
  <si>
    <t>Anpassad gymnasieskola</t>
  </si>
  <si>
    <t>Differens anpassad grundskola</t>
  </si>
  <si>
    <t>Kommentarer anpassad grundskola:</t>
  </si>
  <si>
    <t>Kommentarer anpassad gymnasieskola:</t>
  </si>
  <si>
    <t>Differens anpassad gymnasieskolan</t>
  </si>
  <si>
    <r>
      <rPr>
        <b/>
        <sz val="7"/>
        <rFont val="Helvetica"/>
        <family val="2"/>
      </rPr>
      <t>Not 1:</t>
    </r>
    <r>
      <rPr>
        <sz val="7"/>
        <rFont val="Helvetica"/>
        <family val="2"/>
      </rPr>
      <t xml:space="preserve"> 41, 43, 64 ej 644, 654, 655  </t>
    </r>
  </si>
  <si>
    <r>
      <rPr>
        <b/>
        <sz val="7"/>
        <rFont val="Helvetica"/>
        <family val="2"/>
      </rPr>
      <t>Not 2</t>
    </r>
    <r>
      <rPr>
        <sz val="7"/>
        <rFont val="Helvetica"/>
        <family val="2"/>
      </rPr>
      <t>: 55x1, 5597, 61 ej [617, 618, 6192], 699, 705, 71-72</t>
    </r>
  </si>
  <si>
    <t>Räntekostnader för leverantörsskulder</t>
  </si>
  <si>
    <t>Kommentera köp av platser i annan kommun anpassad grundskola</t>
  </si>
  <si>
    <t>Eliminera differens anpassad grundskola</t>
  </si>
  <si>
    <t>Kommenetra köp av platser i annan kommun  anpassad gymnasieskola</t>
  </si>
  <si>
    <t>Eliminera differens anpassad gymnasieskola</t>
  </si>
  <si>
    <t xml:space="preserve"> anpassad grundskola</t>
  </si>
  <si>
    <t>Anpassad grundskola, kostnad exklusive lokaler skolkommun.</t>
  </si>
  <si>
    <t>Anpassad gymnasieskola, kostnad exklusive lokaler skolkommun.</t>
  </si>
  <si>
    <t>Komvux, anpassad utbildning</t>
  </si>
  <si>
    <t>Grundskola inkl förskoleklass och anpassad grundskola</t>
  </si>
  <si>
    <t>Gymnasieskola inkl anpassad gymnasieskola</t>
  </si>
  <si>
    <r>
      <rPr>
        <b/>
        <sz val="7"/>
        <color rgb="FFFF0000"/>
        <rFont val="Helvetica"/>
        <family val="2"/>
      </rPr>
      <t>Kontrollera förändringen</t>
    </r>
    <r>
      <rPr>
        <sz val="7"/>
        <rFont val="Helvetica"/>
        <family val="2"/>
      </rPr>
      <t>: Betyder att nyckeltalet avviker från föregående år. Kontrollera om det stämmer.Inga kommentarer behöver anges.</t>
    </r>
  </si>
  <si>
    <t>Olåst blankettexempel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</si>
</sst>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0\ &quot;kr&quot;;[Red]\-#,##0\ &quot;kr&quot;"/>
    <numFmt numFmtId="43" formatCode="_-* #,##0.00_-;\-* #,##0.00_-;_-* &quot;-&quot;??_-;_-@_-"/>
    <numFmt numFmtId="164" formatCode="000"/>
    <numFmt numFmtId="165" formatCode="###,###,###"/>
    <numFmt numFmtId="166" formatCode=";;;"/>
    <numFmt numFmtId="167" formatCode="#,##0.0000"/>
    <numFmt numFmtId="168" formatCode="0.0000"/>
    <numFmt numFmtId="169" formatCode="###,##0"/>
    <numFmt numFmtId="170" formatCode="#,###"/>
    <numFmt numFmtId="171" formatCode="#,##0.0000000"/>
  </numFmts>
  <fonts count="181">
    <font>
      <sz val="10"/>
      <name val="Arial"/>
    </font>
    <font>
      <sz val="10"/>
      <name val="Helvetica"/>
      <family val="2"/>
    </font>
    <font>
      <sz val="8"/>
      <name val="Helvetica"/>
      <family val="2"/>
    </font>
    <font>
      <sz val="7"/>
      <name val="Helvetica"/>
      <family val="2"/>
    </font>
    <font>
      <b/>
      <sz val="8"/>
      <name val="Helvetica"/>
      <family val="2"/>
    </font>
    <font>
      <b/>
      <sz val="7"/>
      <name val="Helvetica"/>
      <family val="2"/>
    </font>
    <font>
      <b/>
      <sz val="11"/>
      <name val="Helvetica"/>
      <family val="2"/>
    </font>
    <font>
      <sz val="7"/>
      <name val="Arial"/>
      <family val="2"/>
    </font>
    <font>
      <sz val="7"/>
      <name val="Helvetica"/>
      <family val="2"/>
    </font>
    <font>
      <sz val="8"/>
      <name val="Arial"/>
      <family val="2"/>
    </font>
    <font>
      <sz val="8"/>
      <color indexed="8"/>
      <name val="Helvetica"/>
      <family val="2"/>
    </font>
    <font>
      <sz val="7"/>
      <name val="Arial"/>
      <family val="2"/>
    </font>
    <font>
      <b/>
      <sz val="7"/>
      <name val="Arial"/>
      <family val="2"/>
    </font>
    <font>
      <sz val="8"/>
      <name val="Helvetica"/>
      <family val="2"/>
    </font>
    <font>
      <b/>
      <sz val="8"/>
      <color indexed="81"/>
      <name val="Tahoma"/>
      <family val="2"/>
    </font>
    <font>
      <sz val="8"/>
      <color indexed="81"/>
      <name val="Tahoma"/>
      <family val="2"/>
    </font>
    <font>
      <b/>
      <sz val="7"/>
      <name val="Helvetica"/>
      <family val="2"/>
    </font>
    <font>
      <b/>
      <sz val="10"/>
      <name val="Helvetica"/>
      <family val="2"/>
    </font>
    <font>
      <sz val="7"/>
      <color indexed="8"/>
      <name val="Helvetica"/>
      <family val="2"/>
    </font>
    <font>
      <sz val="12"/>
      <name val="Times New Roman"/>
      <family val="1"/>
    </font>
    <font>
      <b/>
      <sz val="12"/>
      <name val="Helvetica"/>
      <family val="2"/>
    </font>
    <font>
      <b/>
      <sz val="8"/>
      <name val="Arial"/>
      <family val="2"/>
    </font>
    <font>
      <sz val="12"/>
      <name val="Helvetica"/>
      <family val="2"/>
    </font>
    <font>
      <sz val="10"/>
      <name val="MS Sans Serif"/>
      <family val="2"/>
    </font>
    <font>
      <sz val="10"/>
      <name val="Arial"/>
      <family val="2"/>
    </font>
    <font>
      <sz val="8"/>
      <name val="Arial"/>
      <family val="2"/>
    </font>
    <font>
      <b/>
      <sz val="9"/>
      <name val="Helvetica"/>
      <family val="2"/>
    </font>
    <font>
      <b/>
      <sz val="7"/>
      <name val="Coronet"/>
      <family val="2"/>
    </font>
    <font>
      <b/>
      <sz val="8"/>
      <name val="Coronet"/>
      <family val="2"/>
    </font>
    <font>
      <b/>
      <sz val="11"/>
      <name val="Coronet"/>
      <family val="2"/>
    </font>
    <font>
      <b/>
      <sz val="12"/>
      <color indexed="9"/>
      <name val="Arial Black"/>
      <family val="2"/>
    </font>
    <font>
      <sz val="10"/>
      <color indexed="9"/>
      <name val="Coronet"/>
      <family val="2"/>
    </font>
    <font>
      <b/>
      <sz val="9"/>
      <color indexed="9"/>
      <name val="Coronet"/>
      <family val="2"/>
    </font>
    <font>
      <b/>
      <sz val="16"/>
      <color indexed="9"/>
      <name val="Arial"/>
      <family val="2"/>
    </font>
    <font>
      <sz val="10"/>
      <name val="Arial"/>
      <family val="2"/>
    </font>
    <font>
      <sz val="10"/>
      <name val="Helvetica"/>
      <family val="2"/>
    </font>
    <font>
      <sz val="10"/>
      <color indexed="47"/>
      <name val="Arial"/>
      <family val="2"/>
    </font>
    <font>
      <sz val="7"/>
      <color indexed="10"/>
      <name val="Helvetica"/>
      <family val="2"/>
    </font>
    <font>
      <sz val="8"/>
      <color indexed="10"/>
      <name val="Helvetica"/>
      <family val="2"/>
    </font>
    <font>
      <sz val="7"/>
      <color indexed="10"/>
      <name val="Arial"/>
      <family val="2"/>
    </font>
    <font>
      <sz val="9"/>
      <name val="Helvetica"/>
      <family val="2"/>
    </font>
    <font>
      <sz val="10"/>
      <color indexed="9"/>
      <name val="Arial"/>
      <family val="2"/>
    </font>
    <font>
      <sz val="8"/>
      <color indexed="47"/>
      <name val="Arial"/>
      <family val="2"/>
    </font>
    <font>
      <sz val="8"/>
      <color indexed="9"/>
      <name val="Arial"/>
      <family val="2"/>
    </font>
    <font>
      <sz val="7"/>
      <color indexed="37"/>
      <name val="Helvetica"/>
      <family val="2"/>
    </font>
    <font>
      <sz val="8"/>
      <color indexed="37"/>
      <name val="Helvetica"/>
      <family val="2"/>
    </font>
    <font>
      <sz val="7"/>
      <color indexed="8"/>
      <name val="Arial"/>
      <family val="2"/>
    </font>
    <font>
      <sz val="10"/>
      <color indexed="39"/>
      <name val="Arial"/>
      <family val="2"/>
    </font>
    <font>
      <sz val="8"/>
      <color indexed="39"/>
      <name val="Helvetica"/>
      <family val="2"/>
    </font>
    <font>
      <b/>
      <sz val="7"/>
      <color indexed="10"/>
      <name val="Helvetica"/>
      <family val="2"/>
    </font>
    <font>
      <sz val="7"/>
      <color indexed="39"/>
      <name val="Arial"/>
      <family val="2"/>
    </font>
    <font>
      <sz val="8"/>
      <color indexed="12"/>
      <name val="Helvetica"/>
      <family val="2"/>
    </font>
    <font>
      <sz val="8"/>
      <color indexed="39"/>
      <name val="Arial"/>
      <family val="2"/>
    </font>
    <font>
      <sz val="7"/>
      <color indexed="47"/>
      <name val="Arial"/>
      <family val="2"/>
    </font>
    <font>
      <b/>
      <sz val="7"/>
      <color indexed="10"/>
      <name val="Arial"/>
      <family val="2"/>
    </font>
    <font>
      <b/>
      <sz val="10"/>
      <name val="Arial"/>
      <family val="2"/>
    </font>
    <font>
      <sz val="9"/>
      <color indexed="39"/>
      <name val="Helvetica"/>
      <family val="2"/>
    </font>
    <font>
      <b/>
      <sz val="10"/>
      <color indexed="37"/>
      <name val="Helvetica"/>
      <family val="2"/>
    </font>
    <font>
      <b/>
      <sz val="10"/>
      <color indexed="47"/>
      <name val="Helvetica"/>
      <family val="2"/>
    </font>
    <font>
      <sz val="7"/>
      <color indexed="47"/>
      <name val="Helvetica"/>
      <family val="2"/>
    </font>
    <font>
      <b/>
      <sz val="9"/>
      <color indexed="8"/>
      <name val="Arial Black"/>
      <family val="2"/>
    </font>
    <font>
      <b/>
      <sz val="12"/>
      <name val="Arial"/>
      <family val="2"/>
    </font>
    <font>
      <b/>
      <sz val="10"/>
      <color indexed="37"/>
      <name val="Arial"/>
      <family val="2"/>
    </font>
    <font>
      <u/>
      <sz val="10"/>
      <color indexed="36"/>
      <name val="Arial"/>
      <family val="2"/>
    </font>
    <font>
      <sz val="7"/>
      <color indexed="10"/>
      <name val="Helvetica"/>
      <family val="2"/>
    </font>
    <font>
      <sz val="11"/>
      <color indexed="9"/>
      <name val="Calibri"/>
      <family val="2"/>
    </font>
    <font>
      <sz val="10"/>
      <color indexed="9"/>
      <name val="Helvetica"/>
      <family val="2"/>
    </font>
    <font>
      <b/>
      <sz val="9"/>
      <color indexed="9"/>
      <name val="Helvetica"/>
      <family val="2"/>
    </font>
    <font>
      <sz val="7"/>
      <color indexed="8"/>
      <name val="Helvetica"/>
      <family val="2"/>
    </font>
    <font>
      <b/>
      <sz val="8"/>
      <color indexed="8"/>
      <name val="Helvetica"/>
      <family val="2"/>
    </font>
    <font>
      <sz val="7"/>
      <color indexed="8"/>
      <name val="Calibri"/>
      <family val="2"/>
    </font>
    <font>
      <b/>
      <sz val="7"/>
      <color indexed="8"/>
      <name val="Helvetica"/>
      <family val="2"/>
    </font>
    <font>
      <sz val="10"/>
      <color indexed="8"/>
      <name val="Arial"/>
      <family val="2"/>
    </font>
    <font>
      <sz val="10"/>
      <color indexed="8"/>
      <name val="Helvetica"/>
      <family val="2"/>
    </font>
    <font>
      <sz val="7"/>
      <color indexed="10"/>
      <name val="Times New Roman"/>
      <family val="1"/>
    </font>
    <font>
      <sz val="8"/>
      <color indexed="10"/>
      <name val="Times New Roman"/>
      <family val="1"/>
    </font>
    <font>
      <sz val="8"/>
      <color indexed="10"/>
      <name val="Helvetica"/>
      <family val="2"/>
    </font>
    <font>
      <b/>
      <sz val="12"/>
      <color indexed="8"/>
      <name val="Arial"/>
      <family val="2"/>
    </font>
    <font>
      <b/>
      <sz val="8"/>
      <color indexed="8"/>
      <name val="Helvetica"/>
      <family val="2"/>
    </font>
    <font>
      <b/>
      <sz val="7"/>
      <name val="Calibri"/>
      <family val="2"/>
    </font>
    <font>
      <u/>
      <sz val="10"/>
      <color indexed="12"/>
      <name val="Arial"/>
      <family val="2"/>
    </font>
    <font>
      <b/>
      <sz val="12"/>
      <color indexed="8"/>
      <name val="Helvetica"/>
      <family val="2"/>
    </font>
    <font>
      <b/>
      <sz val="11"/>
      <color indexed="8"/>
      <name val="Helvetica"/>
      <family val="2"/>
    </font>
    <font>
      <b/>
      <sz val="10"/>
      <color indexed="8"/>
      <name val="Helvetica"/>
      <family val="2"/>
    </font>
    <font>
      <sz val="8"/>
      <color indexed="9"/>
      <name val="Helvetica"/>
      <family val="2"/>
    </font>
    <font>
      <b/>
      <sz val="16"/>
      <color indexed="10"/>
      <name val="Arial"/>
      <family val="2"/>
    </font>
    <font>
      <sz val="10"/>
      <color indexed="10"/>
      <name val="Arial"/>
      <family val="2"/>
    </font>
    <font>
      <sz val="8"/>
      <color indexed="10"/>
      <name val="Arial"/>
      <family val="2"/>
    </font>
    <font>
      <b/>
      <sz val="8"/>
      <color indexed="10"/>
      <name val="Helvetica"/>
      <family val="2"/>
    </font>
    <font>
      <sz val="7"/>
      <color indexed="16"/>
      <name val="Helvetica"/>
      <family val="2"/>
    </font>
    <font>
      <sz val="10"/>
      <color indexed="16"/>
      <name val="Cambria"/>
      <family val="1"/>
    </font>
    <font>
      <b/>
      <sz val="7"/>
      <color indexed="9"/>
      <name val="Helvetica"/>
      <family val="2"/>
    </font>
    <font>
      <b/>
      <vertAlign val="superscript"/>
      <sz val="7"/>
      <name val="Helvetica"/>
      <family val="2"/>
    </font>
    <font>
      <b/>
      <vertAlign val="superscript"/>
      <sz val="7"/>
      <name val="Calibri"/>
      <family val="2"/>
    </font>
    <font>
      <vertAlign val="superscript"/>
      <sz val="7"/>
      <name val="Helvetica"/>
      <family val="2"/>
    </font>
    <font>
      <sz val="8"/>
      <name val="Arial"/>
      <family val="2"/>
    </font>
    <font>
      <b/>
      <sz val="7"/>
      <color indexed="12"/>
      <name val="Helvetica"/>
      <family val="2"/>
    </font>
    <font>
      <sz val="7"/>
      <name val="MS Sans Serif"/>
      <family val="2"/>
    </font>
    <font>
      <sz val="7"/>
      <color indexed="12"/>
      <name val="Helvetica"/>
      <family val="2"/>
    </font>
    <font>
      <sz val="7"/>
      <color indexed="39"/>
      <name val="Helvetica"/>
      <family val="2"/>
    </font>
    <font>
      <b/>
      <sz val="8"/>
      <name val="Arial"/>
      <family val="2"/>
    </font>
    <font>
      <sz val="7"/>
      <color indexed="10"/>
      <name val="Arial"/>
      <family val="2"/>
    </font>
    <font>
      <sz val="8"/>
      <name val="Arial"/>
      <family val="2"/>
    </font>
    <font>
      <sz val="7"/>
      <color indexed="9"/>
      <name val="Arial"/>
      <family val="2"/>
    </font>
    <font>
      <sz val="10"/>
      <color indexed="39"/>
      <name val="Helvetica"/>
      <family val="2"/>
    </font>
    <font>
      <b/>
      <sz val="9"/>
      <name val="Arial"/>
      <family val="2"/>
    </font>
    <font>
      <sz val="10"/>
      <color indexed="9"/>
      <name val="Arial"/>
      <family val="2"/>
    </font>
    <font>
      <b/>
      <u/>
      <sz val="10"/>
      <name val="Arial"/>
      <family val="2"/>
    </font>
    <font>
      <sz val="10"/>
      <color indexed="9"/>
      <name val="Arial"/>
      <family val="2"/>
    </font>
    <font>
      <b/>
      <sz val="12"/>
      <color indexed="9"/>
      <name val="Arial"/>
      <family val="2"/>
    </font>
    <font>
      <b/>
      <sz val="10"/>
      <color indexed="9"/>
      <name val="Arial"/>
      <family val="2"/>
    </font>
    <font>
      <b/>
      <sz val="12"/>
      <color indexed="9"/>
      <name val="Arial"/>
      <family val="2"/>
    </font>
    <font>
      <sz val="14"/>
      <name val="Arial"/>
      <family val="2"/>
    </font>
    <font>
      <sz val="10"/>
      <color indexed="39"/>
      <name val="Arial"/>
      <family val="2"/>
    </font>
    <font>
      <sz val="6"/>
      <color indexed="10"/>
      <name val="Helvetica"/>
      <family val="2"/>
    </font>
    <font>
      <sz val="6"/>
      <color indexed="10"/>
      <name val="Arial"/>
      <family val="2"/>
    </font>
    <font>
      <b/>
      <sz val="8"/>
      <color indexed="25"/>
      <name val="Arial"/>
      <family val="2"/>
    </font>
    <font>
      <b/>
      <sz val="10"/>
      <color indexed="25"/>
      <name val="Arial"/>
      <family val="2"/>
    </font>
    <font>
      <sz val="7"/>
      <name val="Helvetica "/>
    </font>
    <font>
      <b/>
      <sz val="7"/>
      <name val="MS Sans Serif"/>
      <family val="2"/>
    </font>
    <font>
      <sz val="8"/>
      <color indexed="9"/>
      <name val="Helvetica"/>
      <family val="2"/>
    </font>
    <font>
      <sz val="7"/>
      <color indexed="9"/>
      <name val="Cambria"/>
      <family val="1"/>
    </font>
    <font>
      <sz val="8"/>
      <color indexed="9"/>
      <name val="Cambria"/>
      <family val="1"/>
    </font>
    <font>
      <sz val="10"/>
      <color indexed="9"/>
      <name val="Cambria"/>
      <family val="1"/>
    </font>
    <font>
      <sz val="7"/>
      <name val="Cambria"/>
      <family val="1"/>
    </font>
    <font>
      <u/>
      <sz val="10"/>
      <name val="Arial"/>
      <family val="2"/>
    </font>
    <font>
      <b/>
      <u/>
      <sz val="10"/>
      <color indexed="12"/>
      <name val="Arial"/>
      <family val="2"/>
    </font>
    <font>
      <u/>
      <sz val="8"/>
      <color indexed="81"/>
      <name val="Tahoma"/>
      <family val="2"/>
    </font>
    <font>
      <sz val="10"/>
      <name val="Cambria"/>
      <family val="1"/>
    </font>
    <font>
      <sz val="6.5"/>
      <name val="Helvetica"/>
      <family val="2"/>
    </font>
    <font>
      <sz val="9"/>
      <color indexed="81"/>
      <name val="Tahoma"/>
      <family val="2"/>
    </font>
    <font>
      <b/>
      <sz val="9"/>
      <color indexed="81"/>
      <name val="Tahoma"/>
      <family val="2"/>
    </font>
    <font>
      <sz val="10"/>
      <color indexed="12"/>
      <name val="Arial"/>
      <family val="2"/>
    </font>
    <font>
      <sz val="11"/>
      <color theme="1"/>
      <name val="Calibri"/>
      <family val="2"/>
      <scheme val="minor"/>
    </font>
    <font>
      <sz val="11"/>
      <color rgb="FF9C0006"/>
      <name val="Calibri"/>
      <family val="2"/>
      <scheme val="minor"/>
    </font>
    <font>
      <b/>
      <sz val="7"/>
      <color rgb="FFFF0000"/>
      <name val="Helvetica"/>
      <family val="2"/>
    </font>
    <font>
      <sz val="7"/>
      <color rgb="FFFF0000"/>
      <name val="Helvetica"/>
      <family val="2"/>
    </font>
    <font>
      <sz val="7"/>
      <color rgb="FFFF0000"/>
      <name val="Arial"/>
      <family val="2"/>
    </font>
    <font>
      <sz val="8"/>
      <color rgb="FFFF0000"/>
      <name val="Arial"/>
      <family val="2"/>
    </font>
    <font>
      <sz val="8"/>
      <color rgb="FFFF0000"/>
      <name val="Helvetica"/>
      <family val="2"/>
    </font>
    <font>
      <b/>
      <sz val="11"/>
      <color theme="0"/>
      <name val="Arial"/>
      <family val="2"/>
    </font>
    <font>
      <sz val="7"/>
      <color theme="0"/>
      <name val="Helvetica"/>
      <family val="2"/>
    </font>
    <font>
      <sz val="7"/>
      <color theme="7" tint="0.59999389629810485"/>
      <name val="Helvetica"/>
      <family val="2"/>
    </font>
    <font>
      <sz val="7"/>
      <color rgb="FFFFFFCC"/>
      <name val="Helvetica"/>
      <family val="2"/>
    </font>
    <font>
      <sz val="10"/>
      <color rgb="FFFFFFCC"/>
      <name val="Arial"/>
      <family val="2"/>
    </font>
    <font>
      <sz val="2"/>
      <color theme="0"/>
      <name val="Helvetica"/>
      <family val="2"/>
    </font>
    <font>
      <sz val="8"/>
      <color rgb="FF00B050"/>
      <name val="Helvetica"/>
      <family val="2"/>
    </font>
    <font>
      <sz val="8"/>
      <color theme="1"/>
      <name val="Helvetica"/>
      <family val="2"/>
    </font>
    <font>
      <b/>
      <sz val="7"/>
      <color theme="1"/>
      <name val="Helvetica"/>
      <family val="2"/>
    </font>
    <font>
      <b/>
      <sz val="8"/>
      <color theme="1"/>
      <name val="Helvetica"/>
      <family val="2"/>
    </font>
    <font>
      <b/>
      <sz val="8"/>
      <color rgb="FFFF0000"/>
      <name val="Arial"/>
      <family val="2"/>
    </font>
    <font>
      <sz val="8"/>
      <color rgb="FFFFFFCC"/>
      <name val="Helvetica"/>
      <family val="2"/>
    </font>
    <font>
      <b/>
      <sz val="7"/>
      <color rgb="FFFFFFCC"/>
      <name val="Helvetica"/>
      <family val="2"/>
    </font>
    <font>
      <sz val="7"/>
      <color rgb="FFFF0000"/>
      <name val="Helvetica"/>
      <family val="2"/>
    </font>
    <font>
      <sz val="7"/>
      <color indexed="10"/>
      <name val="Helvetica"/>
      <family val="2"/>
    </font>
    <font>
      <sz val="7"/>
      <name val="Helvetica"/>
      <family val="2"/>
    </font>
    <font>
      <b/>
      <sz val="7"/>
      <name val="Helvetica"/>
      <family val="2"/>
    </font>
    <font>
      <b/>
      <sz val="7"/>
      <color rgb="FFFFFFCC"/>
      <name val="Helvetica"/>
      <family val="2"/>
    </font>
    <font>
      <sz val="7"/>
      <color rgb="FFFFFFCC"/>
      <name val="Helvetica"/>
      <family val="2"/>
    </font>
    <font>
      <sz val="7"/>
      <color rgb="FFFFFFCC"/>
      <name val="Arial"/>
      <family val="2"/>
    </font>
    <font>
      <b/>
      <sz val="10"/>
      <color rgb="FFC00000"/>
      <name val="Arial"/>
      <family val="2"/>
    </font>
    <font>
      <sz val="7"/>
      <color rgb="FFFFFFCC"/>
      <name val="Helvetia"/>
    </font>
    <font>
      <sz val="7"/>
      <name val="Helvetia"/>
    </font>
    <font>
      <sz val="8"/>
      <color theme="0"/>
      <name val="Arial"/>
      <family val="2"/>
    </font>
    <font>
      <i/>
      <sz val="8"/>
      <color rgb="FFFF0000"/>
      <name val="Helvetica"/>
      <family val="2"/>
    </font>
    <font>
      <sz val="10"/>
      <color theme="0"/>
      <name val="Arial"/>
      <family val="2"/>
    </font>
    <font>
      <sz val="8"/>
      <color theme="0"/>
      <name val="Helvetica"/>
      <family val="2"/>
    </font>
    <font>
      <strike/>
      <sz val="7"/>
      <color rgb="FFFF0000"/>
      <name val="Helvetica"/>
      <family val="2"/>
    </font>
    <font>
      <strike/>
      <sz val="7"/>
      <name val="Helvetica"/>
      <family val="2"/>
    </font>
    <font>
      <b/>
      <sz val="8"/>
      <color theme="0"/>
      <name val="Helvetica"/>
      <family val="2"/>
    </font>
    <font>
      <sz val="7"/>
      <color theme="0"/>
      <name val="Arial"/>
      <family val="2"/>
    </font>
    <font>
      <u/>
      <sz val="8"/>
      <color theme="0"/>
      <name val="Arial"/>
      <family val="2"/>
    </font>
    <font>
      <b/>
      <sz val="7"/>
      <color rgb="FFFF0000"/>
      <name val="Arial"/>
      <family val="2"/>
    </font>
    <font>
      <b/>
      <sz val="7"/>
      <color theme="0"/>
      <name val="Helvetica"/>
      <family val="2"/>
    </font>
    <font>
      <b/>
      <sz val="8"/>
      <color indexed="10"/>
      <name val="Tahoma"/>
      <family val="2"/>
    </font>
    <font>
      <sz val="8"/>
      <color rgb="FFFFFFCC"/>
      <name val="Arial"/>
      <family val="2"/>
    </font>
    <font>
      <sz val="7"/>
      <color rgb="FFFF0000"/>
      <name val="Helvetica"/>
      <family val="2"/>
    </font>
    <font>
      <sz val="7"/>
      <color rgb="FFFF0000"/>
      <name val="Calibri"/>
      <family val="2"/>
      <scheme val="minor"/>
    </font>
    <font>
      <sz val="10"/>
      <name val="Arial"/>
      <family val="2"/>
    </font>
    <font>
      <sz val="6"/>
      <color rgb="FFFF0000"/>
      <name val="Helvetica"/>
      <family val="2"/>
    </font>
    <font>
      <sz val="7"/>
      <name val="Helvetica"/>
      <family val="2"/>
    </font>
  </fonts>
  <fills count="45">
    <fill>
      <patternFill patternType="none"/>
    </fill>
    <fill>
      <patternFill patternType="gray125"/>
    </fill>
    <fill>
      <patternFill patternType="solid">
        <fgColor indexed="9"/>
        <bgColor indexed="64"/>
      </patternFill>
    </fill>
    <fill>
      <patternFill patternType="gray125">
        <fgColor indexed="22"/>
        <bgColor indexed="9"/>
      </patternFill>
    </fill>
    <fill>
      <patternFill patternType="solid">
        <fgColor indexed="9"/>
        <bgColor indexed="9"/>
      </patternFill>
    </fill>
    <fill>
      <patternFill patternType="gray125">
        <fgColor indexed="9"/>
        <bgColor indexed="9"/>
      </patternFill>
    </fill>
    <fill>
      <patternFill patternType="solid">
        <fgColor indexed="9"/>
        <bgColor indexed="22"/>
      </patternFill>
    </fill>
    <fill>
      <patternFill patternType="solid">
        <fgColor indexed="56"/>
        <bgColor indexed="64"/>
      </patternFill>
    </fill>
    <fill>
      <patternFill patternType="lightGray">
        <fgColor indexed="22"/>
        <bgColor indexed="9"/>
      </patternFill>
    </fill>
    <fill>
      <patternFill patternType="lightGray">
        <fgColor indexed="40"/>
        <bgColor indexed="9"/>
      </patternFill>
    </fill>
    <fill>
      <patternFill patternType="solid">
        <fgColor indexed="26"/>
        <bgColor indexed="64"/>
      </patternFill>
    </fill>
    <fill>
      <patternFill patternType="solid">
        <fgColor indexed="65"/>
        <bgColor indexed="31"/>
      </patternFill>
    </fill>
    <fill>
      <patternFill patternType="lightGray">
        <fgColor indexed="22"/>
      </patternFill>
    </fill>
    <fill>
      <patternFill patternType="solid">
        <fgColor indexed="11"/>
        <bgColor indexed="22"/>
      </patternFill>
    </fill>
    <fill>
      <patternFill patternType="gray125">
        <fgColor indexed="22"/>
      </patternFill>
    </fill>
    <fill>
      <patternFill patternType="solid">
        <fgColor indexed="11"/>
        <bgColor indexed="64"/>
      </patternFill>
    </fill>
    <fill>
      <patternFill patternType="solid">
        <fgColor indexed="9"/>
        <bgColor indexed="40"/>
      </patternFill>
    </fill>
    <fill>
      <patternFill patternType="solid">
        <fgColor indexed="65"/>
        <bgColor indexed="64"/>
      </patternFill>
    </fill>
    <fill>
      <patternFill patternType="lightDown">
        <fgColor indexed="9"/>
        <bgColor indexed="26"/>
      </patternFill>
    </fill>
    <fill>
      <patternFill patternType="solid">
        <fgColor indexed="26"/>
        <bgColor indexed="22"/>
      </patternFill>
    </fill>
    <fill>
      <patternFill patternType="solid">
        <fgColor indexed="65"/>
        <bgColor indexed="22"/>
      </patternFill>
    </fill>
    <fill>
      <patternFill patternType="solid">
        <fgColor rgb="FFFFFFCC"/>
      </patternFill>
    </fill>
    <fill>
      <patternFill patternType="solid">
        <fgColor rgb="FFFFC7CE"/>
      </patternFill>
    </fill>
    <fill>
      <patternFill patternType="solid">
        <fgColor rgb="FFFFFFCC"/>
        <bgColor indexed="64"/>
      </patternFill>
    </fill>
    <fill>
      <patternFill patternType="solid">
        <fgColor rgb="FFFFFFCC"/>
        <bgColor indexed="22"/>
      </patternFill>
    </fill>
    <fill>
      <patternFill patternType="solid">
        <fgColor rgb="FFFFFFCC"/>
        <bgColor indexed="55"/>
      </patternFill>
    </fill>
    <fill>
      <patternFill patternType="solid">
        <fgColor rgb="FFFFFFCC"/>
        <bgColor indexed="31"/>
      </patternFill>
    </fill>
    <fill>
      <patternFill patternType="solid">
        <fgColor rgb="FFFFFFCC"/>
        <bgColor indexed="40"/>
      </patternFill>
    </fill>
    <fill>
      <patternFill patternType="gray125">
        <fgColor indexed="22"/>
        <bgColor rgb="FFFFFFFF"/>
      </patternFill>
    </fill>
    <fill>
      <patternFill patternType="lightGray">
        <fgColor indexed="40"/>
        <bgColor theme="0"/>
      </patternFill>
    </fill>
    <fill>
      <patternFill patternType="solid">
        <fgColor rgb="FFFFFF00"/>
        <bgColor indexed="64"/>
      </patternFill>
    </fill>
    <fill>
      <patternFill patternType="gray125">
        <fgColor indexed="22"/>
        <bgColor theme="0"/>
      </patternFill>
    </fill>
    <fill>
      <patternFill patternType="solid">
        <fgColor theme="0"/>
        <bgColor indexed="64"/>
      </patternFill>
    </fill>
    <fill>
      <patternFill patternType="solid">
        <fgColor theme="7" tint="0.59999389629810485"/>
        <bgColor indexed="64"/>
      </patternFill>
    </fill>
    <fill>
      <patternFill patternType="solid">
        <fgColor rgb="FFFFFFE5"/>
        <bgColor indexed="64"/>
      </patternFill>
    </fill>
    <fill>
      <patternFill patternType="lightGray">
        <fgColor rgb="FF00CCFF"/>
        <bgColor indexed="11"/>
      </patternFill>
    </fill>
    <fill>
      <patternFill patternType="solid">
        <fgColor theme="0" tint="-0.14999847407452621"/>
        <bgColor indexed="64"/>
      </patternFill>
    </fill>
    <fill>
      <patternFill patternType="solid">
        <fgColor rgb="FFFFFFCC"/>
        <bgColor indexed="26"/>
      </patternFill>
    </fill>
    <fill>
      <patternFill patternType="solid">
        <fgColor rgb="FFFFFFCC"/>
        <bgColor rgb="FFFFFFCC"/>
      </patternFill>
    </fill>
    <fill>
      <patternFill patternType="solid">
        <fgColor theme="9" tint="0.39997558519241921"/>
        <bgColor indexed="64"/>
      </patternFill>
    </fill>
    <fill>
      <patternFill patternType="solid">
        <fgColor rgb="FFFF0000"/>
        <bgColor indexed="64"/>
      </patternFill>
    </fill>
    <fill>
      <patternFill patternType="solid">
        <fgColor indexed="9"/>
        <bgColor theme="0"/>
      </patternFill>
    </fill>
    <fill>
      <patternFill patternType="solid">
        <fgColor theme="6" tint="0.59999389629810485"/>
        <bgColor indexed="64"/>
      </patternFill>
    </fill>
    <fill>
      <patternFill patternType="solid">
        <fgColor theme="7" tint="0.39997558519241921"/>
        <bgColor indexed="64"/>
      </patternFill>
    </fill>
    <fill>
      <patternFill patternType="solid">
        <fgColor theme="7" tint="0.39994506668294322"/>
        <bgColor indexed="64"/>
      </patternFill>
    </fill>
  </fills>
  <borders count="252">
    <border>
      <left/>
      <right/>
      <top/>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right/>
      <top/>
      <bottom style="medium">
        <color indexed="64"/>
      </bottom>
      <diagonal/>
    </border>
    <border>
      <left style="hair">
        <color indexed="64"/>
      </left>
      <right style="medium">
        <color indexed="64"/>
      </right>
      <top style="thin">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hair">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hair">
        <color indexed="64"/>
      </right>
      <top/>
      <bottom style="medium">
        <color indexed="64"/>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medium">
        <color indexed="64"/>
      </right>
      <top style="hair">
        <color indexed="64"/>
      </top>
      <bottom/>
      <diagonal/>
    </border>
    <border>
      <left style="hair">
        <color indexed="64"/>
      </left>
      <right style="medium">
        <color indexed="64"/>
      </right>
      <top style="medium">
        <color indexed="64"/>
      </top>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diagonal/>
    </border>
    <border>
      <left style="hair">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hair">
        <color indexed="64"/>
      </top>
      <bottom/>
      <diagonal/>
    </border>
    <border>
      <left/>
      <right/>
      <top style="medium">
        <color indexed="64"/>
      </top>
      <bottom/>
      <diagonal/>
    </border>
    <border>
      <left style="medium">
        <color indexed="64"/>
      </left>
      <right/>
      <top style="thin">
        <color indexed="64"/>
      </top>
      <bottom style="hair">
        <color indexed="64"/>
      </bottom>
      <diagonal/>
    </border>
    <border>
      <left/>
      <right style="thin">
        <color indexed="64"/>
      </right>
      <top style="thin">
        <color indexed="64"/>
      </top>
      <bottom/>
      <diagonal/>
    </border>
    <border>
      <left style="medium">
        <color indexed="64"/>
      </left>
      <right style="hair">
        <color indexed="64"/>
      </right>
      <top/>
      <bottom/>
      <diagonal/>
    </border>
    <border>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diagonal/>
    </border>
    <border>
      <left style="medium">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hair">
        <color indexed="64"/>
      </left>
      <right style="hair">
        <color indexed="64"/>
      </right>
      <top style="thin">
        <color indexed="39"/>
      </top>
      <bottom/>
      <diagonal/>
    </border>
    <border>
      <left style="medium">
        <color indexed="64"/>
      </left>
      <right style="hair">
        <color indexed="64"/>
      </right>
      <top style="medium">
        <color indexed="64"/>
      </top>
      <bottom style="medium">
        <color indexed="64"/>
      </bottom>
      <diagonal/>
    </border>
    <border>
      <left style="hair">
        <color indexed="64"/>
      </left>
      <right/>
      <top/>
      <bottom style="thin">
        <color indexed="64"/>
      </bottom>
      <diagonal/>
    </border>
    <border>
      <left style="hair">
        <color indexed="64"/>
      </left>
      <right/>
      <top style="thin">
        <color indexed="39"/>
      </top>
      <bottom/>
      <diagonal/>
    </border>
    <border>
      <left style="hair">
        <color indexed="64"/>
      </left>
      <right style="medium">
        <color indexed="64"/>
      </right>
      <top style="thin">
        <color indexed="39"/>
      </top>
      <bottom/>
      <diagonal/>
    </border>
    <border>
      <left style="thin">
        <color indexed="64"/>
      </left>
      <right style="hair">
        <color indexed="64"/>
      </right>
      <top/>
      <bottom style="thin">
        <color indexed="64"/>
      </bottom>
      <diagonal/>
    </border>
    <border>
      <left style="hair">
        <color indexed="64"/>
      </left>
      <right style="hair">
        <color indexed="64"/>
      </right>
      <top style="medium">
        <color indexed="12"/>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hair">
        <color indexed="64"/>
      </right>
      <top/>
      <bottom/>
      <diagonal/>
    </border>
    <border>
      <left/>
      <right style="hair">
        <color indexed="64"/>
      </right>
      <top style="hair">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hair">
        <color indexed="64"/>
      </right>
      <top style="hair">
        <color indexed="64"/>
      </top>
      <bottom/>
      <diagonal/>
    </border>
    <border>
      <left style="medium">
        <color indexed="64"/>
      </left>
      <right style="thin">
        <color indexed="64"/>
      </right>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hair">
        <color indexed="64"/>
      </left>
      <right/>
      <top style="hair">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bottom style="hair">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right style="hair">
        <color indexed="64"/>
      </right>
      <top style="hair">
        <color indexed="64"/>
      </top>
      <bottom style="thin">
        <color indexed="64"/>
      </bottom>
      <diagonal/>
    </border>
    <border>
      <left style="hair">
        <color indexed="64"/>
      </left>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diagonal/>
    </border>
    <border>
      <left style="hair">
        <color indexed="64"/>
      </left>
      <right style="thin">
        <color indexed="64"/>
      </right>
      <top/>
      <bottom style="thin">
        <color indexed="64"/>
      </bottom>
      <diagonal/>
    </border>
    <border>
      <left style="medium">
        <color indexed="64"/>
      </left>
      <right/>
      <top style="medium">
        <color indexed="64"/>
      </top>
      <bottom style="hair">
        <color indexed="64"/>
      </bottom>
      <diagonal/>
    </border>
    <border>
      <left style="hair">
        <color indexed="64"/>
      </left>
      <right/>
      <top style="thin">
        <color indexed="64"/>
      </top>
      <bottom/>
      <diagonal/>
    </border>
    <border>
      <left style="medium">
        <color indexed="64"/>
      </left>
      <right/>
      <top style="thin">
        <color indexed="64"/>
      </top>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style="hair">
        <color indexed="64"/>
      </top>
      <bottom/>
      <diagonal/>
    </border>
    <border>
      <left style="hair">
        <color indexed="64"/>
      </left>
      <right style="hair">
        <color indexed="64"/>
      </right>
      <top style="hair">
        <color indexed="64"/>
      </top>
      <bottom style="thick">
        <color indexed="64"/>
      </bottom>
      <diagonal/>
    </border>
    <border>
      <left style="medium">
        <color indexed="64"/>
      </left>
      <right style="medium">
        <color indexed="64"/>
      </right>
      <top style="hair">
        <color indexed="64"/>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bottom style="thick">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medium">
        <color indexed="64"/>
      </right>
      <top style="hair">
        <color indexed="64"/>
      </top>
      <bottom style="thick">
        <color indexed="64"/>
      </bottom>
      <diagonal/>
    </border>
    <border>
      <left style="thin">
        <color indexed="64"/>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64"/>
      </left>
      <right style="dotted">
        <color indexed="64"/>
      </right>
      <top style="hair">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s>
  <cellStyleXfs count="19">
    <xf numFmtId="0" fontId="0" fillId="0" borderId="0"/>
    <xf numFmtId="0" fontId="133" fillId="21" borderId="238" applyNumberFormat="0" applyFont="0" applyAlignment="0" applyProtection="0"/>
    <xf numFmtId="0" fontId="133" fillId="21" borderId="238" applyNumberFormat="0" applyFont="0" applyAlignment="0" applyProtection="0"/>
    <xf numFmtId="0" fontId="134" fillId="22" borderId="0" applyNumberFormat="0" applyBorder="0" applyAlignment="0" applyProtection="0"/>
    <xf numFmtId="0" fontId="6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24" fillId="0" borderId="0"/>
    <xf numFmtId="0" fontId="24" fillId="0" borderId="0"/>
    <xf numFmtId="0" fontId="133" fillId="0" borderId="0"/>
    <xf numFmtId="0" fontId="133" fillId="0" borderId="0"/>
    <xf numFmtId="0" fontId="19" fillId="0" borderId="0"/>
    <xf numFmtId="0" fontId="23" fillId="0" borderId="0"/>
    <xf numFmtId="0" fontId="35" fillId="0" borderId="0"/>
    <xf numFmtId="0" fontId="1" fillId="0" borderId="0"/>
    <xf numFmtId="9" fontId="34" fillId="0" borderId="0" applyFont="0" applyFill="0" applyBorder="0" applyAlignment="0" applyProtection="0"/>
    <xf numFmtId="9" fontId="24" fillId="0" borderId="0" applyFont="0" applyFill="0" applyBorder="0" applyAlignment="0" applyProtection="0"/>
    <xf numFmtId="38" fontId="23" fillId="0" borderId="0" applyFont="0" applyFill="0" applyBorder="0" applyAlignment="0" applyProtection="0"/>
    <xf numFmtId="6" fontId="23" fillId="0" borderId="0" applyFont="0" applyFill="0" applyBorder="0" applyAlignment="0" applyProtection="0"/>
    <xf numFmtId="43" fontId="178" fillId="0" borderId="0" applyFont="0" applyFill="0" applyBorder="0" applyAlignment="0" applyProtection="0"/>
  </cellStyleXfs>
  <cellXfs count="3145">
    <xf numFmtId="0" fontId="0" fillId="0" borderId="0" xfId="0"/>
    <xf numFmtId="0" fontId="1" fillId="0" borderId="0" xfId="0" applyFont="1" applyProtection="1"/>
    <xf numFmtId="0" fontId="20" fillId="2" borderId="0" xfId="0" applyFont="1" applyFill="1" applyBorder="1" applyAlignment="1" applyProtection="1">
      <alignment horizontal="left"/>
    </xf>
    <xf numFmtId="0" fontId="5" fillId="2" borderId="0" xfId="0" applyFont="1" applyFill="1" applyBorder="1" applyAlignment="1" applyProtection="1">
      <alignment horizontal="right"/>
    </xf>
    <xf numFmtId="0" fontId="0" fillId="2" borderId="0" xfId="0" applyFill="1"/>
    <xf numFmtId="0" fontId="0" fillId="2" borderId="0" xfId="0" applyFill="1" applyProtection="1"/>
    <xf numFmtId="0" fontId="1" fillId="2" borderId="0" xfId="0" applyFont="1" applyFill="1" applyProtection="1"/>
    <xf numFmtId="49" fontId="3" fillId="2" borderId="0" xfId="0" applyNumberFormat="1" applyFont="1" applyFill="1" applyBorder="1" applyAlignment="1" applyProtection="1">
      <alignment horizontal="left"/>
    </xf>
    <xf numFmtId="1" fontId="3" fillId="2" borderId="0" xfId="0" applyNumberFormat="1" applyFont="1" applyFill="1" applyBorder="1" applyAlignment="1" applyProtection="1">
      <alignment horizontal="left"/>
    </xf>
    <xf numFmtId="0" fontId="3" fillId="2" borderId="0" xfId="0" applyFont="1" applyFill="1" applyBorder="1" applyProtection="1"/>
    <xf numFmtId="3" fontId="1" fillId="2" borderId="0" xfId="0" applyNumberFormat="1" applyFont="1" applyFill="1" applyBorder="1" applyProtection="1"/>
    <xf numFmtId="0" fontId="7" fillId="2" borderId="0" xfId="0" applyFont="1" applyFill="1" applyBorder="1" applyProtection="1"/>
    <xf numFmtId="0" fontId="8" fillId="2" borderId="0" xfId="0" applyFont="1" applyFill="1" applyBorder="1" applyProtection="1"/>
    <xf numFmtId="0" fontId="1" fillId="2" borderId="0" xfId="0" applyFont="1" applyFill="1" applyBorder="1" applyProtection="1"/>
    <xf numFmtId="0" fontId="8" fillId="2" borderId="0" xfId="0" applyFont="1" applyFill="1" applyProtection="1"/>
    <xf numFmtId="3" fontId="4" fillId="2" borderId="0" xfId="0" applyNumberFormat="1" applyFont="1" applyFill="1" applyBorder="1" applyProtection="1"/>
    <xf numFmtId="164" fontId="11" fillId="0" borderId="1" xfId="0" applyNumberFormat="1" applyFont="1" applyFill="1" applyBorder="1" applyAlignment="1" applyProtection="1">
      <alignment horizontal="center" vertical="center"/>
    </xf>
    <xf numFmtId="0" fontId="13" fillId="2" borderId="0" xfId="0" applyFont="1" applyFill="1" applyBorder="1" applyAlignment="1" applyProtection="1">
      <alignment horizontal="left"/>
    </xf>
    <xf numFmtId="1" fontId="16" fillId="0" borderId="0" xfId="0" applyNumberFormat="1" applyFont="1" applyFill="1" applyBorder="1" applyAlignment="1" applyProtection="1">
      <alignment horizontal="center"/>
    </xf>
    <xf numFmtId="0" fontId="16" fillId="0" borderId="0" xfId="0" applyFont="1" applyFill="1" applyBorder="1" applyProtection="1"/>
    <xf numFmtId="3" fontId="13" fillId="0" borderId="0" xfId="0" applyNumberFormat="1" applyFont="1" applyFill="1" applyBorder="1" applyProtection="1"/>
    <xf numFmtId="3" fontId="13" fillId="2" borderId="2" xfId="0" applyNumberFormat="1" applyFont="1" applyFill="1" applyBorder="1" applyAlignment="1" applyProtection="1">
      <alignment horizontal="right"/>
      <protection locked="0"/>
    </xf>
    <xf numFmtId="3" fontId="13" fillId="2" borderId="3" xfId="0" applyNumberFormat="1" applyFont="1" applyFill="1" applyBorder="1" applyAlignment="1" applyProtection="1">
      <alignment horizontal="right"/>
      <protection locked="0"/>
    </xf>
    <xf numFmtId="3" fontId="13" fillId="2" borderId="4" xfId="0" applyNumberFormat="1" applyFont="1" applyFill="1" applyBorder="1" applyAlignment="1" applyProtection="1">
      <alignment horizontal="right"/>
      <protection locked="0"/>
    </xf>
    <xf numFmtId="3" fontId="13" fillId="2" borderId="5" xfId="0" applyNumberFormat="1" applyFont="1" applyFill="1" applyBorder="1" applyAlignment="1" applyProtection="1">
      <alignment horizontal="right"/>
      <protection locked="0"/>
    </xf>
    <xf numFmtId="3" fontId="13" fillId="2" borderId="6" xfId="0" applyNumberFormat="1" applyFont="1" applyFill="1" applyBorder="1" applyAlignment="1" applyProtection="1">
      <alignment horizontal="right"/>
      <protection locked="0"/>
    </xf>
    <xf numFmtId="3" fontId="13" fillId="2" borderId="7" xfId="0" applyNumberFormat="1" applyFont="1" applyFill="1" applyBorder="1" applyAlignment="1" applyProtection="1">
      <alignment horizontal="right"/>
      <protection locked="0"/>
    </xf>
    <xf numFmtId="3" fontId="13" fillId="3" borderId="6" xfId="0" applyNumberFormat="1" applyFont="1" applyFill="1" applyBorder="1" applyAlignment="1" applyProtection="1">
      <alignment horizontal="right"/>
    </xf>
    <xf numFmtId="3" fontId="13" fillId="2" borderId="8" xfId="0" applyNumberFormat="1" applyFont="1" applyFill="1" applyBorder="1" applyAlignment="1" applyProtection="1">
      <alignment horizontal="right"/>
      <protection locked="0"/>
    </xf>
    <xf numFmtId="3" fontId="13" fillId="2" borderId="9" xfId="0" applyNumberFormat="1" applyFont="1" applyFill="1" applyBorder="1" applyAlignment="1" applyProtection="1">
      <alignment horizontal="right"/>
      <protection locked="0"/>
    </xf>
    <xf numFmtId="3" fontId="13" fillId="2" borderId="10" xfId="0" applyNumberFormat="1" applyFont="1" applyFill="1" applyBorder="1" applyAlignment="1" applyProtection="1">
      <alignment horizontal="right"/>
      <protection locked="0"/>
    </xf>
    <xf numFmtId="3" fontId="13" fillId="2" borderId="0" xfId="0" applyNumberFormat="1" applyFont="1" applyFill="1" applyBorder="1" applyProtection="1"/>
    <xf numFmtId="3" fontId="13" fillId="2" borderId="0" xfId="0" applyNumberFormat="1" applyFont="1" applyFill="1" applyBorder="1" applyAlignment="1" applyProtection="1">
      <alignment horizontal="right"/>
    </xf>
    <xf numFmtId="0" fontId="25" fillId="2" borderId="0" xfId="0" applyFont="1" applyFill="1" applyBorder="1" applyProtection="1"/>
    <xf numFmtId="3" fontId="8" fillId="2" borderId="0" xfId="0" applyNumberFormat="1" applyFont="1" applyFill="1" applyBorder="1" applyProtection="1"/>
    <xf numFmtId="3" fontId="8" fillId="2" borderId="0" xfId="0" applyNumberFormat="1" applyFont="1" applyFill="1" applyBorder="1" applyAlignment="1" applyProtection="1"/>
    <xf numFmtId="0" fontId="25" fillId="2" borderId="0" xfId="0" applyFont="1" applyFill="1" applyProtection="1"/>
    <xf numFmtId="0" fontId="61" fillId="2" borderId="0" xfId="0" applyFont="1" applyFill="1" applyBorder="1" applyAlignment="1" applyProtection="1">
      <alignment vertical="top"/>
    </xf>
    <xf numFmtId="166" fontId="8" fillId="2" borderId="0" xfId="0" applyNumberFormat="1" applyFont="1" applyFill="1" applyBorder="1" applyProtection="1"/>
    <xf numFmtId="3" fontId="13" fillId="2" borderId="0" xfId="0" applyNumberFormat="1" applyFont="1" applyFill="1" applyBorder="1" applyAlignment="1" applyProtection="1">
      <alignment horizontal="left"/>
    </xf>
    <xf numFmtId="3" fontId="5" fillId="2" borderId="0" xfId="0" applyNumberFormat="1" applyFont="1" applyFill="1" applyBorder="1" applyProtection="1"/>
    <xf numFmtId="0" fontId="13" fillId="2" borderId="0" xfId="0" applyFont="1" applyFill="1" applyBorder="1" applyProtection="1"/>
    <xf numFmtId="1" fontId="40" fillId="2" borderId="0" xfId="0" applyNumberFormat="1" applyFont="1" applyFill="1" applyBorder="1" applyAlignment="1" applyProtection="1">
      <alignment horizontal="left"/>
    </xf>
    <xf numFmtId="165" fontId="49" fillId="2" borderId="0" xfId="0" applyNumberFormat="1" applyFont="1" applyFill="1" applyBorder="1" applyProtection="1"/>
    <xf numFmtId="3" fontId="37" fillId="2" borderId="0" xfId="0" applyNumberFormat="1" applyFont="1" applyFill="1" applyProtection="1"/>
    <xf numFmtId="0" fontId="7" fillId="2" borderId="0" xfId="0" applyFont="1" applyFill="1" applyProtection="1"/>
    <xf numFmtId="0" fontId="53" fillId="2" borderId="0" xfId="0" applyNumberFormat="1" applyFont="1" applyFill="1" applyProtection="1"/>
    <xf numFmtId="0" fontId="59" fillId="2" borderId="0" xfId="0" applyNumberFormat="1" applyFont="1" applyFill="1" applyProtection="1"/>
    <xf numFmtId="0" fontId="3" fillId="2" borderId="0" xfId="0" applyFont="1" applyFill="1" applyProtection="1"/>
    <xf numFmtId="3" fontId="54" fillId="2" borderId="0" xfId="0" applyNumberFormat="1" applyFont="1" applyFill="1" applyProtection="1"/>
    <xf numFmtId="3" fontId="54" fillId="2" borderId="0" xfId="0" applyNumberFormat="1" applyFont="1" applyFill="1" applyBorder="1" applyAlignment="1" applyProtection="1">
      <alignment horizontal="left"/>
    </xf>
    <xf numFmtId="3" fontId="7" fillId="2" borderId="11" xfId="0" applyNumberFormat="1" applyFont="1" applyFill="1" applyBorder="1" applyProtection="1"/>
    <xf numFmtId="3" fontId="7" fillId="2" borderId="0" xfId="0" applyNumberFormat="1" applyFont="1" applyFill="1" applyBorder="1" applyProtection="1"/>
    <xf numFmtId="3" fontId="8" fillId="4" borderId="0" xfId="0" applyNumberFormat="1" applyFont="1" applyFill="1" applyBorder="1" applyProtection="1"/>
    <xf numFmtId="3" fontId="13" fillId="5" borderId="0" xfId="0" applyNumberFormat="1" applyFont="1" applyFill="1" applyBorder="1" applyAlignment="1" applyProtection="1">
      <alignment horizontal="right"/>
    </xf>
    <xf numFmtId="3" fontId="13" fillId="4" borderId="0" xfId="0" applyNumberFormat="1" applyFont="1" applyFill="1" applyBorder="1" applyAlignment="1" applyProtection="1">
      <alignment horizontal="right"/>
    </xf>
    <xf numFmtId="3" fontId="13" fillId="4" borderId="0" xfId="0" applyNumberFormat="1" applyFont="1" applyFill="1" applyBorder="1" applyAlignment="1" applyProtection="1">
      <alignment horizontal="left"/>
    </xf>
    <xf numFmtId="3" fontId="13" fillId="5" borderId="0" xfId="0" applyNumberFormat="1" applyFont="1" applyFill="1" applyBorder="1" applyAlignment="1" applyProtection="1"/>
    <xf numFmtId="3" fontId="2" fillId="2" borderId="5" xfId="0" applyNumberFormat="1" applyFont="1" applyFill="1" applyBorder="1" applyAlignment="1" applyProtection="1">
      <alignment horizontal="right"/>
      <protection locked="0"/>
    </xf>
    <xf numFmtId="3" fontId="2" fillId="2" borderId="12" xfId="0" applyNumberFormat="1" applyFont="1" applyFill="1" applyBorder="1" applyAlignment="1" applyProtection="1">
      <alignment horizontal="right"/>
      <protection locked="0"/>
    </xf>
    <xf numFmtId="3" fontId="56" fillId="2" borderId="0" xfId="0" applyNumberFormat="1" applyFont="1" applyFill="1" applyBorder="1" applyProtection="1"/>
    <xf numFmtId="3" fontId="13" fillId="6" borderId="0" xfId="0" applyNumberFormat="1" applyFont="1" applyFill="1" applyBorder="1" applyAlignment="1" applyProtection="1">
      <alignment horizontal="right"/>
    </xf>
    <xf numFmtId="3" fontId="13" fillId="6" borderId="0" xfId="0" applyNumberFormat="1" applyFont="1" applyFill="1" applyBorder="1" applyAlignment="1" applyProtection="1"/>
    <xf numFmtId="0" fontId="67" fillId="2" borderId="0" xfId="0" applyFont="1" applyFill="1" applyProtection="1"/>
    <xf numFmtId="0" fontId="69" fillId="2" borderId="0" xfId="0" applyFont="1" applyFill="1" applyBorder="1" applyAlignment="1" applyProtection="1"/>
    <xf numFmtId="0" fontId="71" fillId="2" borderId="0" xfId="0" quotePrefix="1" applyFont="1" applyFill="1" applyBorder="1" applyAlignment="1" applyProtection="1"/>
    <xf numFmtId="0" fontId="72" fillId="2" borderId="0" xfId="0" applyNumberFormat="1" applyFont="1" applyFill="1" applyProtection="1">
      <protection hidden="1"/>
    </xf>
    <xf numFmtId="0" fontId="72" fillId="2" borderId="0" xfId="0" applyNumberFormat="1" applyFont="1" applyFill="1" applyProtection="1"/>
    <xf numFmtId="0" fontId="73" fillId="2" borderId="0" xfId="0" applyNumberFormat="1" applyFont="1" applyFill="1" applyProtection="1"/>
    <xf numFmtId="0" fontId="73" fillId="2" borderId="0" xfId="0" applyFont="1" applyFill="1" applyProtection="1"/>
    <xf numFmtId="3" fontId="3" fillId="2" borderId="0" xfId="0" applyNumberFormat="1" applyFont="1" applyFill="1" applyBorder="1" applyProtection="1"/>
    <xf numFmtId="3" fontId="2" fillId="2" borderId="2" xfId="0" applyNumberFormat="1" applyFont="1" applyFill="1" applyBorder="1" applyAlignment="1" applyProtection="1">
      <alignment horizontal="right"/>
      <protection locked="0"/>
    </xf>
    <xf numFmtId="3" fontId="18" fillId="2" borderId="0" xfId="0" applyNumberFormat="1" applyFont="1" applyFill="1" applyBorder="1" applyProtection="1"/>
    <xf numFmtId="3" fontId="38" fillId="2" borderId="0" xfId="0" applyNumberFormat="1" applyFont="1" applyFill="1" applyBorder="1" applyAlignment="1" applyProtection="1">
      <alignment horizontal="left"/>
    </xf>
    <xf numFmtId="0" fontId="9" fillId="2" borderId="0" xfId="0" applyFont="1" applyFill="1" applyProtection="1"/>
    <xf numFmtId="166" fontId="9" fillId="2" borderId="0" xfId="0" applyNumberFormat="1" applyFont="1" applyFill="1" applyProtection="1"/>
    <xf numFmtId="0" fontId="38" fillId="2" borderId="0" xfId="0" applyFont="1" applyFill="1" applyProtection="1"/>
    <xf numFmtId="0" fontId="74" fillId="2" borderId="0" xfId="0" applyFont="1" applyFill="1" applyProtection="1"/>
    <xf numFmtId="0" fontId="37" fillId="2" borderId="0" xfId="0" applyFont="1" applyFill="1" applyBorder="1" applyAlignment="1" applyProtection="1">
      <alignment horizontal="left" vertical="top"/>
    </xf>
    <xf numFmtId="0" fontId="33" fillId="0" borderId="0" xfId="0" applyFont="1" applyFill="1" applyBorder="1" applyAlignment="1" applyProtection="1">
      <alignment horizontal="left"/>
    </xf>
    <xf numFmtId="0" fontId="30" fillId="0" borderId="0" xfId="0" applyFont="1" applyFill="1" applyBorder="1" applyAlignment="1" applyProtection="1">
      <alignment horizontal="left"/>
    </xf>
    <xf numFmtId="3" fontId="2" fillId="0" borderId="0" xfId="0" applyNumberFormat="1" applyFont="1" applyFill="1" applyBorder="1" applyAlignment="1" applyProtection="1">
      <alignment horizontal="right"/>
    </xf>
    <xf numFmtId="3" fontId="5" fillId="4" borderId="0" xfId="0" applyNumberFormat="1" applyFont="1" applyFill="1" applyBorder="1" applyProtection="1"/>
    <xf numFmtId="0" fontId="61" fillId="2" borderId="0" xfId="0" applyFont="1" applyFill="1" applyAlignment="1" applyProtection="1">
      <alignment vertical="top"/>
    </xf>
    <xf numFmtId="0" fontId="55" fillId="2" borderId="0" xfId="0" applyFont="1" applyFill="1" applyAlignment="1" applyProtection="1"/>
    <xf numFmtId="0" fontId="55" fillId="2" borderId="0" xfId="0" applyFont="1" applyFill="1" applyAlignment="1" applyProtection="1">
      <alignment vertical="top"/>
    </xf>
    <xf numFmtId="0" fontId="33" fillId="7" borderId="0" xfId="0" applyFont="1" applyFill="1" applyBorder="1" applyAlignment="1" applyProtection="1">
      <alignment horizontal="left"/>
    </xf>
    <xf numFmtId="0" fontId="30" fillId="7" borderId="0" xfId="0" applyFont="1" applyFill="1" applyBorder="1" applyAlignment="1" applyProtection="1">
      <alignment horizontal="left"/>
    </xf>
    <xf numFmtId="0" fontId="3" fillId="0" borderId="0" xfId="0" applyFont="1" applyFill="1" applyProtection="1"/>
    <xf numFmtId="3" fontId="2" fillId="8" borderId="13" xfId="0" applyNumberFormat="1" applyFont="1" applyFill="1" applyBorder="1" applyAlignment="1" applyProtection="1">
      <alignment horizontal="right"/>
    </xf>
    <xf numFmtId="3" fontId="2" fillId="9" borderId="14" xfId="0" applyNumberFormat="1" applyFont="1" applyFill="1" applyBorder="1" applyAlignment="1" applyProtection="1">
      <alignment horizontal="right"/>
    </xf>
    <xf numFmtId="3" fontId="2" fillId="9" borderId="9" xfId="0" applyNumberFormat="1" applyFont="1" applyFill="1" applyBorder="1" applyAlignment="1" applyProtection="1">
      <alignment horizontal="right"/>
    </xf>
    <xf numFmtId="3" fontId="2" fillId="9" borderId="7" xfId="0" applyNumberFormat="1" applyFont="1" applyFill="1" applyBorder="1" applyAlignment="1" applyProtection="1">
      <alignment horizontal="right"/>
    </xf>
    <xf numFmtId="3" fontId="2" fillId="9" borderId="15" xfId="0" applyNumberFormat="1" applyFont="1" applyFill="1" applyBorder="1" applyAlignment="1" applyProtection="1">
      <alignment horizontal="right"/>
    </xf>
    <xf numFmtId="3" fontId="2" fillId="9" borderId="17" xfId="0" applyNumberFormat="1" applyFont="1" applyFill="1" applyBorder="1" applyAlignment="1" applyProtection="1">
      <alignment horizontal="right"/>
    </xf>
    <xf numFmtId="3" fontId="2" fillId="9" borderId="5" xfId="0" applyNumberFormat="1" applyFont="1" applyFill="1" applyBorder="1" applyAlignment="1" applyProtection="1">
      <alignment horizontal="right"/>
    </xf>
    <xf numFmtId="0" fontId="5" fillId="0" borderId="0" xfId="0" applyFont="1" applyFill="1" applyBorder="1" applyAlignment="1" applyProtection="1">
      <alignment horizontal="left"/>
    </xf>
    <xf numFmtId="0" fontId="5" fillId="0" borderId="0" xfId="0" applyFont="1" applyFill="1" applyBorder="1" applyProtection="1"/>
    <xf numFmtId="0" fontId="3" fillId="0" borderId="0" xfId="0" applyFont="1" applyFill="1" applyBorder="1" applyAlignment="1" applyProtection="1">
      <alignment horizontal="left"/>
    </xf>
    <xf numFmtId="0" fontId="33" fillId="7" borderId="0" xfId="0" applyFont="1" applyFill="1" applyAlignment="1" applyProtection="1">
      <alignment vertical="top"/>
    </xf>
    <xf numFmtId="0" fontId="31" fillId="7" borderId="0" xfId="0" applyFont="1" applyFill="1" applyProtection="1"/>
    <xf numFmtId="0" fontId="32" fillId="7" borderId="0" xfId="0" applyFont="1" applyFill="1" applyProtection="1"/>
    <xf numFmtId="0" fontId="33" fillId="7" borderId="0" xfId="0" quotePrefix="1" applyFont="1" applyFill="1" applyBorder="1" applyAlignment="1" applyProtection="1">
      <alignment horizontal="left"/>
    </xf>
    <xf numFmtId="0" fontId="66" fillId="7" borderId="0" xfId="0" applyFont="1" applyFill="1" applyProtection="1"/>
    <xf numFmtId="0" fontId="67" fillId="7" borderId="0" xfId="0" applyFont="1" applyFill="1" applyProtection="1"/>
    <xf numFmtId="166" fontId="67" fillId="7" borderId="0" xfId="0" applyNumberFormat="1" applyFont="1" applyFill="1" applyProtection="1"/>
    <xf numFmtId="3" fontId="2" fillId="9" borderId="9" xfId="0" applyNumberFormat="1" applyFont="1" applyFill="1" applyBorder="1" applyProtection="1"/>
    <xf numFmtId="3" fontId="2" fillId="9" borderId="5" xfId="0" applyNumberFormat="1" applyFont="1" applyFill="1" applyBorder="1" applyProtection="1"/>
    <xf numFmtId="3" fontId="2" fillId="2" borderId="18" xfId="0" applyNumberFormat="1" applyFont="1" applyFill="1" applyBorder="1" applyAlignment="1" applyProtection="1">
      <alignment horizontal="right"/>
      <protection locked="0"/>
    </xf>
    <xf numFmtId="3" fontId="13" fillId="2" borderId="18" xfId="0" applyNumberFormat="1" applyFont="1" applyFill="1" applyBorder="1" applyAlignment="1" applyProtection="1">
      <alignment horizontal="right"/>
      <protection locked="0"/>
    </xf>
    <xf numFmtId="3" fontId="13" fillId="2" borderId="19" xfId="0" applyNumberFormat="1" applyFont="1" applyFill="1" applyBorder="1" applyAlignment="1" applyProtection="1">
      <alignment horizontal="right"/>
      <protection locked="0"/>
    </xf>
    <xf numFmtId="3" fontId="13" fillId="2" borderId="20" xfId="0" applyNumberFormat="1" applyFont="1" applyFill="1" applyBorder="1" applyAlignment="1" applyProtection="1">
      <alignment horizontal="right"/>
      <protection locked="0"/>
    </xf>
    <xf numFmtId="3" fontId="13" fillId="2" borderId="21" xfId="0" applyNumberFormat="1" applyFont="1" applyFill="1" applyBorder="1" applyAlignment="1" applyProtection="1">
      <alignment horizontal="right"/>
      <protection locked="0"/>
    </xf>
    <xf numFmtId="3" fontId="13" fillId="2" borderId="22" xfId="0" applyNumberFormat="1" applyFont="1" applyFill="1" applyBorder="1" applyAlignment="1" applyProtection="1">
      <alignment horizontal="right"/>
      <protection locked="0"/>
    </xf>
    <xf numFmtId="3" fontId="13" fillId="3" borderId="19" xfId="0" applyNumberFormat="1" applyFont="1" applyFill="1" applyBorder="1" applyAlignment="1" applyProtection="1">
      <alignment horizontal="right"/>
    </xf>
    <xf numFmtId="3" fontId="13" fillId="2" borderId="23" xfId="0" applyNumberFormat="1" applyFont="1" applyFill="1" applyBorder="1" applyAlignment="1" applyProtection="1">
      <alignment horizontal="right"/>
      <protection locked="0"/>
    </xf>
    <xf numFmtId="3" fontId="13" fillId="2" borderId="24" xfId="0" applyNumberFormat="1" applyFont="1" applyFill="1" applyBorder="1" applyAlignment="1" applyProtection="1">
      <alignment horizontal="right"/>
      <protection locked="0"/>
    </xf>
    <xf numFmtId="3" fontId="13" fillId="2" borderId="25" xfId="0" applyNumberFormat="1" applyFont="1" applyFill="1" applyBorder="1" applyAlignment="1" applyProtection="1">
      <alignment horizontal="right"/>
      <protection locked="0"/>
    </xf>
    <xf numFmtId="3" fontId="13" fillId="2" borderId="26" xfId="0" applyNumberFormat="1" applyFont="1" applyFill="1" applyBorder="1" applyAlignment="1" applyProtection="1">
      <alignment horizontal="right"/>
      <protection locked="0"/>
    </xf>
    <xf numFmtId="0" fontId="5" fillId="2" borderId="0" xfId="0" applyFont="1" applyFill="1" applyBorder="1" applyProtection="1"/>
    <xf numFmtId="0" fontId="8" fillId="4" borderId="0" xfId="0" applyFont="1" applyFill="1" applyBorder="1" applyProtection="1"/>
    <xf numFmtId="3" fontId="13" fillId="5" borderId="27" xfId="0" applyNumberFormat="1" applyFont="1" applyFill="1" applyBorder="1" applyAlignment="1" applyProtection="1">
      <alignment horizontal="right"/>
    </xf>
    <xf numFmtId="3" fontId="13" fillId="2" borderId="28" xfId="0" applyNumberFormat="1" applyFont="1" applyFill="1" applyBorder="1" applyAlignment="1" applyProtection="1">
      <alignment horizontal="right"/>
      <protection locked="0"/>
    </xf>
    <xf numFmtId="3" fontId="13" fillId="2" borderId="29" xfId="0" applyNumberFormat="1" applyFont="1" applyFill="1" applyBorder="1" applyAlignment="1" applyProtection="1">
      <alignment horizontal="right"/>
      <protection locked="0"/>
    </xf>
    <xf numFmtId="3" fontId="13" fillId="2" borderId="30" xfId="0" applyNumberFormat="1" applyFont="1" applyFill="1" applyBorder="1" applyAlignment="1" applyProtection="1">
      <alignment horizontal="right"/>
      <protection locked="0"/>
    </xf>
    <xf numFmtId="3" fontId="13" fillId="3" borderId="31" xfId="0" applyNumberFormat="1" applyFont="1" applyFill="1" applyBorder="1" applyAlignment="1" applyProtection="1">
      <alignment horizontal="right"/>
    </xf>
    <xf numFmtId="3" fontId="13" fillId="3" borderId="29" xfId="0" applyNumberFormat="1" applyFont="1" applyFill="1" applyBorder="1" applyAlignment="1" applyProtection="1">
      <alignment horizontal="right"/>
    </xf>
    <xf numFmtId="3" fontId="13" fillId="3" borderId="32" xfId="0" applyNumberFormat="1" applyFont="1" applyFill="1" applyBorder="1" applyAlignment="1" applyProtection="1">
      <alignment horizontal="right"/>
    </xf>
    <xf numFmtId="3" fontId="13" fillId="2" borderId="32" xfId="0" applyNumberFormat="1" applyFont="1" applyFill="1" applyBorder="1" applyAlignment="1" applyProtection="1">
      <alignment horizontal="right"/>
      <protection locked="0"/>
    </xf>
    <xf numFmtId="3" fontId="2" fillId="9" borderId="33" xfId="0" applyNumberFormat="1" applyFont="1" applyFill="1" applyBorder="1" applyProtection="1"/>
    <xf numFmtId="3" fontId="2" fillId="9" borderId="34" xfId="0" applyNumberFormat="1" applyFont="1" applyFill="1" applyBorder="1" applyAlignment="1" applyProtection="1">
      <alignment horizontal="right"/>
    </xf>
    <xf numFmtId="3" fontId="2" fillId="9" borderId="35" xfId="0" applyNumberFormat="1" applyFont="1" applyFill="1" applyBorder="1" applyAlignment="1" applyProtection="1">
      <alignment horizontal="right"/>
    </xf>
    <xf numFmtId="0" fontId="3" fillId="10" borderId="36" xfId="0" applyFont="1" applyFill="1" applyBorder="1" applyAlignment="1" applyProtection="1">
      <alignment horizontal="center"/>
    </xf>
    <xf numFmtId="0" fontId="3" fillId="10" borderId="37" xfId="0" applyFont="1" applyFill="1" applyBorder="1" applyAlignment="1" applyProtection="1">
      <alignment horizontal="center"/>
    </xf>
    <xf numFmtId="0" fontId="3" fillId="10" borderId="38" xfId="0" applyFont="1" applyFill="1" applyBorder="1" applyAlignment="1" applyProtection="1">
      <alignment horizontal="center"/>
    </xf>
    <xf numFmtId="0" fontId="37" fillId="2" borderId="0" xfId="0" applyFont="1" applyFill="1" applyBorder="1" applyProtection="1"/>
    <xf numFmtId="0" fontId="53" fillId="2" borderId="0" xfId="0" applyNumberFormat="1" applyFont="1" applyFill="1" applyBorder="1" applyProtection="1"/>
    <xf numFmtId="3" fontId="7" fillId="2" borderId="39" xfId="0" applyNumberFormat="1" applyFont="1" applyFill="1" applyBorder="1" applyProtection="1"/>
    <xf numFmtId="3" fontId="39" fillId="2" borderId="39" xfId="0" applyNumberFormat="1" applyFont="1" applyFill="1" applyBorder="1" applyAlignment="1" applyProtection="1">
      <alignment horizontal="left"/>
    </xf>
    <xf numFmtId="3" fontId="2" fillId="9" borderId="40" xfId="0" applyNumberFormat="1" applyFont="1" applyFill="1" applyBorder="1" applyAlignment="1" applyProtection="1">
      <alignment horizontal="right"/>
    </xf>
    <xf numFmtId="3" fontId="2" fillId="9" borderId="20" xfId="0" applyNumberFormat="1" applyFont="1" applyFill="1" applyBorder="1" applyAlignment="1" applyProtection="1">
      <alignment horizontal="right"/>
    </xf>
    <xf numFmtId="3" fontId="2" fillId="9" borderId="41" xfId="0" applyNumberFormat="1" applyFont="1" applyFill="1" applyBorder="1" applyAlignment="1" applyProtection="1">
      <alignment horizontal="right"/>
    </xf>
    <xf numFmtId="0" fontId="33" fillId="7" borderId="0" xfId="6" applyFont="1" applyFill="1" applyBorder="1" applyAlignment="1" applyProtection="1">
      <alignment horizontal="left"/>
    </xf>
    <xf numFmtId="0" fontId="30" fillId="7" borderId="0" xfId="6" applyFont="1" applyFill="1" applyBorder="1" applyAlignment="1" applyProtection="1">
      <alignment horizontal="left"/>
    </xf>
    <xf numFmtId="0" fontId="3" fillId="0" borderId="0" xfId="6" applyFont="1" applyFill="1" applyProtection="1"/>
    <xf numFmtId="3" fontId="2" fillId="2" borderId="5" xfId="6" applyNumberFormat="1" applyFont="1" applyFill="1" applyBorder="1" applyAlignment="1" applyProtection="1">
      <alignment horizontal="right"/>
      <protection locked="0"/>
    </xf>
    <xf numFmtId="3" fontId="2" fillId="9" borderId="5" xfId="6" applyNumberFormat="1" applyFont="1" applyFill="1" applyBorder="1" applyAlignment="1" applyProtection="1">
      <alignment horizontal="right"/>
    </xf>
    <xf numFmtId="3" fontId="38" fillId="8" borderId="5" xfId="6" applyNumberFormat="1" applyFont="1" applyFill="1" applyBorder="1" applyProtection="1"/>
    <xf numFmtId="3" fontId="38" fillId="8" borderId="2" xfId="6" applyNumberFormat="1" applyFont="1" applyFill="1" applyBorder="1" applyProtection="1"/>
    <xf numFmtId="3" fontId="38" fillId="8" borderId="42" xfId="6" applyNumberFormat="1" applyFont="1" applyFill="1" applyBorder="1" applyProtection="1"/>
    <xf numFmtId="0" fontId="83" fillId="10" borderId="0" xfId="0" applyFont="1" applyFill="1" applyBorder="1" applyAlignment="1">
      <alignment wrapText="1"/>
    </xf>
    <xf numFmtId="0" fontId="81" fillId="10" borderId="0" xfId="0" applyFont="1" applyFill="1" applyBorder="1" applyAlignment="1">
      <alignment wrapText="1"/>
    </xf>
    <xf numFmtId="0" fontId="78" fillId="10" borderId="0" xfId="0" applyFont="1" applyFill="1" applyBorder="1" applyAlignment="1">
      <alignment horizontal="center" wrapText="1"/>
    </xf>
    <xf numFmtId="0" fontId="85" fillId="7" borderId="0" xfId="0" applyFont="1" applyFill="1" applyBorder="1" applyAlignment="1" applyProtection="1">
      <alignment horizontal="left"/>
    </xf>
    <xf numFmtId="3" fontId="64" fillId="2" borderId="0" xfId="0" applyNumberFormat="1" applyFont="1" applyFill="1" applyBorder="1" applyAlignment="1" applyProtection="1"/>
    <xf numFmtId="3" fontId="37" fillId="0" borderId="0" xfId="0" applyNumberFormat="1" applyFont="1" applyFill="1" applyBorder="1" applyProtection="1"/>
    <xf numFmtId="49" fontId="5" fillId="0" borderId="0" xfId="0" applyNumberFormat="1" applyFont="1" applyFill="1" applyBorder="1" applyAlignment="1" applyProtection="1">
      <alignment horizontal="left"/>
    </xf>
    <xf numFmtId="0" fontId="1" fillId="0" borderId="0" xfId="0" applyFont="1" applyFill="1" applyBorder="1" applyProtection="1"/>
    <xf numFmtId="0" fontId="7" fillId="0" borderId="0" xfId="0" applyFont="1" applyFill="1" applyBorder="1" applyProtection="1"/>
    <xf numFmtId="3" fontId="3" fillId="0" borderId="0" xfId="0" applyNumberFormat="1" applyFont="1" applyFill="1" applyBorder="1" applyProtection="1"/>
    <xf numFmtId="0" fontId="3" fillId="0" borderId="0" xfId="0" applyFont="1" applyFill="1" applyBorder="1" applyProtection="1"/>
    <xf numFmtId="3" fontId="13" fillId="0" borderId="0" xfId="0" applyNumberFormat="1" applyFont="1" applyFill="1" applyBorder="1" applyAlignment="1" applyProtection="1">
      <alignment horizontal="right"/>
    </xf>
    <xf numFmtId="3" fontId="13" fillId="0" borderId="0" xfId="0" applyNumberFormat="1" applyFont="1" applyFill="1" applyBorder="1" applyAlignment="1" applyProtection="1"/>
    <xf numFmtId="49" fontId="2" fillId="10" borderId="44" xfId="0" applyNumberFormat="1" applyFont="1" applyFill="1" applyBorder="1" applyAlignment="1" applyProtection="1"/>
    <xf numFmtId="49" fontId="2" fillId="10" borderId="28" xfId="0" applyNumberFormat="1" applyFont="1" applyFill="1" applyBorder="1" applyAlignment="1" applyProtection="1"/>
    <xf numFmtId="49" fontId="2" fillId="10" borderId="29" xfId="0" applyNumberFormat="1" applyFont="1" applyFill="1" applyBorder="1" applyAlignment="1" applyProtection="1"/>
    <xf numFmtId="49" fontId="2" fillId="10" borderId="45" xfId="0" applyNumberFormat="1" applyFont="1" applyFill="1" applyBorder="1" applyAlignment="1" applyProtection="1"/>
    <xf numFmtId="49" fontId="2" fillId="10" borderId="46" xfId="0" applyNumberFormat="1" applyFont="1" applyFill="1" applyBorder="1" applyAlignment="1" applyProtection="1"/>
    <xf numFmtId="49" fontId="2" fillId="10" borderId="47" xfId="0" applyNumberFormat="1" applyFont="1" applyFill="1" applyBorder="1" applyAlignment="1" applyProtection="1"/>
    <xf numFmtId="49" fontId="2" fillId="10" borderId="30" xfId="0" applyNumberFormat="1" applyFont="1" applyFill="1" applyBorder="1" applyAlignment="1" applyProtection="1"/>
    <xf numFmtId="3" fontId="89" fillId="0" borderId="0" xfId="0" applyNumberFormat="1" applyFont="1" applyFill="1" applyBorder="1" applyProtection="1"/>
    <xf numFmtId="0" fontId="68" fillId="2" borderId="0" xfId="0" applyFont="1" applyFill="1" applyProtection="1"/>
    <xf numFmtId="0" fontId="91" fillId="7" borderId="0" xfId="0" applyFont="1" applyFill="1" applyProtection="1"/>
    <xf numFmtId="0" fontId="91" fillId="2" borderId="0" xfId="0" applyFont="1" applyFill="1" applyProtection="1"/>
    <xf numFmtId="0" fontId="68" fillId="2" borderId="0" xfId="0" applyNumberFormat="1" applyFont="1" applyFill="1" applyBorder="1" applyProtection="1"/>
    <xf numFmtId="169" fontId="89" fillId="2" borderId="0" xfId="0" applyNumberFormat="1" applyFont="1" applyFill="1" applyBorder="1" applyAlignment="1" applyProtection="1">
      <alignment horizontal="left"/>
    </xf>
    <xf numFmtId="3" fontId="89" fillId="2" borderId="0" xfId="0" applyNumberFormat="1" applyFont="1" applyFill="1" applyBorder="1" applyProtection="1"/>
    <xf numFmtId="0" fontId="89" fillId="2" borderId="0" xfId="0" applyFont="1" applyFill="1" applyProtection="1"/>
    <xf numFmtId="3" fontId="2" fillId="9" borderId="48" xfId="0" applyNumberFormat="1" applyFont="1" applyFill="1" applyBorder="1" applyAlignment="1" applyProtection="1">
      <alignment horizontal="right"/>
    </xf>
    <xf numFmtId="3" fontId="2" fillId="9" borderId="49" xfId="0" applyNumberFormat="1" applyFont="1" applyFill="1" applyBorder="1" applyAlignment="1" applyProtection="1">
      <alignment horizontal="right"/>
    </xf>
    <xf numFmtId="49" fontId="2" fillId="10" borderId="0" xfId="0" applyNumberFormat="1" applyFont="1" applyFill="1" applyBorder="1" applyAlignment="1" applyProtection="1"/>
    <xf numFmtId="49" fontId="2" fillId="10" borderId="50" xfId="0" applyNumberFormat="1" applyFont="1" applyFill="1" applyBorder="1" applyAlignment="1" applyProtection="1"/>
    <xf numFmtId="49" fontId="2" fillId="10" borderId="51" xfId="0" applyNumberFormat="1" applyFont="1" applyFill="1" applyBorder="1" applyAlignment="1" applyProtection="1"/>
    <xf numFmtId="3" fontId="54" fillId="2" borderId="0" xfId="0" applyNumberFormat="1" applyFont="1" applyFill="1" applyBorder="1" applyProtection="1"/>
    <xf numFmtId="3" fontId="7" fillId="0" borderId="0" xfId="0" applyNumberFormat="1" applyFont="1" applyFill="1" applyBorder="1" applyProtection="1"/>
    <xf numFmtId="3" fontId="39" fillId="2" borderId="0" xfId="0" applyNumberFormat="1" applyFont="1" applyFill="1" applyBorder="1" applyAlignment="1" applyProtection="1">
      <alignment horizontal="left"/>
    </xf>
    <xf numFmtId="0" fontId="0" fillId="7" borderId="0" xfId="0" applyFill="1" applyProtection="1"/>
    <xf numFmtId="0" fontId="0" fillId="0" borderId="0" xfId="0" applyFill="1" applyBorder="1" applyProtection="1"/>
    <xf numFmtId="0" fontId="0" fillId="0" borderId="0" xfId="0" applyProtection="1"/>
    <xf numFmtId="0" fontId="0" fillId="2" borderId="0" xfId="0" applyFill="1" applyBorder="1" applyProtection="1"/>
    <xf numFmtId="0" fontId="2" fillId="2" borderId="0" xfId="0" applyFont="1" applyFill="1" applyBorder="1" applyProtection="1"/>
    <xf numFmtId="0" fontId="0" fillId="0" borderId="0" xfId="0" applyBorder="1" applyAlignment="1" applyProtection="1"/>
    <xf numFmtId="3" fontId="2" fillId="0" borderId="5" xfId="0" applyNumberFormat="1" applyFont="1" applyFill="1" applyBorder="1" applyAlignment="1" applyProtection="1">
      <alignment horizontal="right"/>
      <protection locked="0"/>
    </xf>
    <xf numFmtId="3" fontId="2" fillId="0" borderId="52" xfId="0" applyNumberFormat="1" applyFont="1" applyFill="1" applyBorder="1" applyAlignment="1" applyProtection="1">
      <alignment horizontal="right"/>
      <protection locked="0"/>
    </xf>
    <xf numFmtId="3" fontId="2" fillId="2" borderId="53" xfId="0" applyNumberFormat="1" applyFont="1" applyFill="1" applyBorder="1" applyAlignment="1" applyProtection="1">
      <alignment horizontal="right"/>
      <protection locked="0"/>
    </xf>
    <xf numFmtId="3" fontId="2" fillId="2" borderId="19" xfId="0" applyNumberFormat="1" applyFont="1" applyFill="1" applyBorder="1" applyAlignment="1" applyProtection="1">
      <alignment horizontal="right"/>
      <protection locked="0"/>
    </xf>
    <xf numFmtId="165" fontId="37" fillId="0" borderId="0" xfId="0" applyNumberFormat="1" applyFont="1" applyFill="1" applyBorder="1" applyProtection="1"/>
    <xf numFmtId="0" fontId="37" fillId="2" borderId="0" xfId="0" applyFont="1" applyFill="1" applyProtection="1"/>
    <xf numFmtId="0" fontId="37" fillId="2" borderId="0" xfId="0" applyFont="1" applyFill="1" applyBorder="1" applyAlignment="1" applyProtection="1">
      <alignment horizontal="left"/>
    </xf>
    <xf numFmtId="0" fontId="3" fillId="2" borderId="0" xfId="0" applyFont="1" applyFill="1" applyAlignment="1" applyProtection="1"/>
    <xf numFmtId="0" fontId="55" fillId="2" borderId="0" xfId="0" applyFont="1" applyFill="1" applyProtection="1"/>
    <xf numFmtId="0" fontId="55" fillId="0" borderId="0" xfId="0" applyFont="1" applyFill="1" applyBorder="1" applyProtection="1"/>
    <xf numFmtId="49" fontId="0" fillId="2" borderId="0" xfId="0" applyNumberFormat="1" applyFill="1" applyProtection="1"/>
    <xf numFmtId="0" fontId="90" fillId="2" borderId="0" xfId="0" applyFont="1" applyFill="1" applyProtection="1"/>
    <xf numFmtId="0" fontId="24" fillId="2" borderId="0" xfId="0" applyFont="1" applyFill="1" applyProtection="1"/>
    <xf numFmtId="3" fontId="2" fillId="2" borderId="54" xfId="0" applyNumberFormat="1" applyFont="1" applyFill="1" applyBorder="1" applyAlignment="1" applyProtection="1">
      <alignment horizontal="right"/>
      <protection locked="0"/>
    </xf>
    <xf numFmtId="3" fontId="2" fillId="6" borderId="18" xfId="0" applyNumberFormat="1" applyFont="1" applyFill="1" applyBorder="1" applyAlignment="1" applyProtection="1">
      <alignment horizontal="right"/>
      <protection locked="0"/>
    </xf>
    <xf numFmtId="3" fontId="2" fillId="2" borderId="55" xfId="0" applyNumberFormat="1" applyFont="1" applyFill="1" applyBorder="1" applyAlignment="1" applyProtection="1">
      <alignment horizontal="right"/>
      <protection locked="0"/>
    </xf>
    <xf numFmtId="3" fontId="2" fillId="6" borderId="19" xfId="0" applyNumberFormat="1" applyFont="1" applyFill="1" applyBorder="1" applyAlignment="1" applyProtection="1">
      <alignment horizontal="right"/>
      <protection locked="0"/>
    </xf>
    <xf numFmtId="3" fontId="2" fillId="11" borderId="18" xfId="0" applyNumberFormat="1" applyFont="1" applyFill="1" applyBorder="1" applyAlignment="1" applyProtection="1">
      <alignment horizontal="right"/>
      <protection locked="0"/>
    </xf>
    <xf numFmtId="3" fontId="2" fillId="6" borderId="54" xfId="0" applyNumberFormat="1" applyFont="1" applyFill="1" applyBorder="1" applyAlignment="1" applyProtection="1">
      <alignment horizontal="right"/>
      <protection locked="0"/>
    </xf>
    <xf numFmtId="3" fontId="2" fillId="6" borderId="12" xfId="0" applyNumberFormat="1" applyFont="1" applyFill="1" applyBorder="1" applyAlignment="1" applyProtection="1">
      <alignment horizontal="right"/>
      <protection locked="0"/>
    </xf>
    <xf numFmtId="3" fontId="2" fillId="6" borderId="56" xfId="0" applyNumberFormat="1" applyFont="1" applyFill="1" applyBorder="1" applyAlignment="1" applyProtection="1">
      <alignment horizontal="right"/>
      <protection locked="0"/>
    </xf>
    <xf numFmtId="0" fontId="0" fillId="7" borderId="0" xfId="0" applyFill="1" applyBorder="1" applyProtection="1"/>
    <xf numFmtId="0" fontId="41" fillId="2" borderId="0" xfId="0" applyFont="1" applyFill="1" applyProtection="1"/>
    <xf numFmtId="0" fontId="0" fillId="4" borderId="0" xfId="0" applyFill="1" applyProtection="1"/>
    <xf numFmtId="0" fontId="24" fillId="2" borderId="0" xfId="0" applyFont="1" applyFill="1" applyBorder="1" applyProtection="1"/>
    <xf numFmtId="0" fontId="60" fillId="2" borderId="0" xfId="0" quotePrefix="1" applyFont="1" applyFill="1" applyAlignment="1" applyProtection="1">
      <alignment horizontal="left"/>
    </xf>
    <xf numFmtId="0" fontId="42" fillId="2" borderId="0" xfId="0" applyFont="1" applyFill="1" applyAlignment="1" applyProtection="1">
      <alignment horizontal="center"/>
    </xf>
    <xf numFmtId="0" fontId="42" fillId="4" borderId="0" xfId="0" applyFont="1" applyFill="1" applyBorder="1" applyAlignment="1" applyProtection="1">
      <alignment horizontal="center"/>
    </xf>
    <xf numFmtId="0" fontId="42" fillId="2" borderId="0" xfId="0" applyFont="1" applyFill="1" applyBorder="1" applyAlignment="1" applyProtection="1">
      <alignment horizontal="center"/>
    </xf>
    <xf numFmtId="0" fontId="43" fillId="2" borderId="0" xfId="0" applyFont="1" applyFill="1" applyBorder="1" applyAlignment="1" applyProtection="1">
      <alignment horizontal="center"/>
    </xf>
    <xf numFmtId="0" fontId="41" fillId="0" borderId="0" xfId="0" applyFont="1" applyFill="1" applyBorder="1" applyProtection="1"/>
    <xf numFmtId="0" fontId="55" fillId="0" borderId="0" xfId="0" applyFont="1" applyFill="1" applyProtection="1"/>
    <xf numFmtId="0" fontId="0" fillId="0" borderId="0" xfId="0" applyFill="1" applyProtection="1"/>
    <xf numFmtId="0" fontId="11" fillId="4" borderId="0" xfId="0" applyFont="1" applyFill="1" applyBorder="1" applyProtection="1"/>
    <xf numFmtId="49" fontId="11" fillId="0" borderId="58" xfId="0" applyNumberFormat="1" applyFont="1" applyFill="1" applyBorder="1" applyProtection="1"/>
    <xf numFmtId="0" fontId="24" fillId="0" borderId="0" xfId="0" applyFont="1" applyFill="1" applyBorder="1" applyProtection="1"/>
    <xf numFmtId="0" fontId="25" fillId="4" borderId="0" xfId="0" applyFont="1" applyFill="1" applyBorder="1" applyProtection="1"/>
    <xf numFmtId="3" fontId="13" fillId="4" borderId="0" xfId="0" applyNumberFormat="1" applyFont="1" applyFill="1" applyBorder="1" applyProtection="1"/>
    <xf numFmtId="0" fontId="55" fillId="2" borderId="0" xfId="0" applyFont="1" applyFill="1" applyBorder="1" applyProtection="1"/>
    <xf numFmtId="0" fontId="21" fillId="2" borderId="0" xfId="0" applyFont="1" applyFill="1" applyBorder="1" applyProtection="1"/>
    <xf numFmtId="0" fontId="11" fillId="2" borderId="0" xfId="0" applyFont="1" applyFill="1" applyBorder="1" applyProtection="1"/>
    <xf numFmtId="49" fontId="11" fillId="2" borderId="0" xfId="0" applyNumberFormat="1" applyFont="1" applyFill="1" applyBorder="1" applyAlignment="1" applyProtection="1">
      <alignment horizontal="center"/>
    </xf>
    <xf numFmtId="0" fontId="0" fillId="2" borderId="0" xfId="0" applyFill="1" applyBorder="1" applyAlignment="1" applyProtection="1"/>
    <xf numFmtId="3" fontId="18" fillId="0" borderId="0" xfId="0" applyNumberFormat="1" applyFont="1" applyFill="1" applyBorder="1" applyProtection="1"/>
    <xf numFmtId="0" fontId="24" fillId="0" borderId="0" xfId="0" applyFont="1" applyProtection="1"/>
    <xf numFmtId="0" fontId="24" fillId="0" borderId="0" xfId="0" applyFont="1" applyBorder="1" applyProtection="1"/>
    <xf numFmtId="0" fontId="87" fillId="0" borderId="0" xfId="0" applyFont="1" applyFill="1" applyBorder="1" applyProtection="1"/>
    <xf numFmtId="3" fontId="2" fillId="0" borderId="32" xfId="0" applyNumberFormat="1" applyFont="1" applyFill="1" applyBorder="1" applyAlignment="1" applyProtection="1">
      <alignment horizontal="right"/>
      <protection locked="0"/>
    </xf>
    <xf numFmtId="0" fontId="9" fillId="2" borderId="0" xfId="0" applyFont="1" applyFill="1" applyBorder="1" applyProtection="1"/>
    <xf numFmtId="0" fontId="9" fillId="2" borderId="1" xfId="0" applyFont="1" applyFill="1" applyBorder="1" applyProtection="1"/>
    <xf numFmtId="0" fontId="21" fillId="2" borderId="0" xfId="0" applyFont="1" applyFill="1" applyProtection="1"/>
    <xf numFmtId="0" fontId="9" fillId="0" borderId="0" xfId="0" applyFont="1" applyFill="1" applyBorder="1" applyProtection="1"/>
    <xf numFmtId="3" fontId="2" fillId="2" borderId="59" xfId="0" applyNumberFormat="1" applyFont="1" applyFill="1" applyBorder="1" applyAlignment="1" applyProtection="1">
      <alignment horizontal="right"/>
      <protection locked="0"/>
    </xf>
    <xf numFmtId="3" fontId="13" fillId="2" borderId="53" xfId="0" applyNumberFormat="1" applyFont="1" applyFill="1" applyBorder="1" applyAlignment="1" applyProtection="1">
      <alignment horizontal="right"/>
      <protection locked="0"/>
    </xf>
    <xf numFmtId="3" fontId="13" fillId="0" borderId="20" xfId="0" applyNumberFormat="1" applyFont="1" applyFill="1" applyBorder="1" applyAlignment="1" applyProtection="1">
      <alignment horizontal="right"/>
      <protection locked="0"/>
    </xf>
    <xf numFmtId="3" fontId="13" fillId="0" borderId="19" xfId="0" applyNumberFormat="1" applyFont="1" applyFill="1" applyBorder="1" applyAlignment="1" applyProtection="1">
      <alignment horizontal="right"/>
      <protection locked="0"/>
    </xf>
    <xf numFmtId="3" fontId="2" fillId="2" borderId="60" xfId="0" applyNumberFormat="1" applyFont="1" applyFill="1" applyBorder="1" applyAlignment="1" applyProtection="1">
      <alignment horizontal="right"/>
      <protection locked="0"/>
    </xf>
    <xf numFmtId="3" fontId="10" fillId="2" borderId="18" xfId="0" applyNumberFormat="1" applyFont="1" applyFill="1" applyBorder="1" applyAlignment="1" applyProtection="1">
      <alignment horizontal="right"/>
      <protection locked="0"/>
    </xf>
    <xf numFmtId="3" fontId="13" fillId="0" borderId="18" xfId="0" applyNumberFormat="1" applyFont="1" applyFill="1" applyBorder="1" applyAlignment="1" applyProtection="1">
      <alignment horizontal="right"/>
      <protection locked="0"/>
    </xf>
    <xf numFmtId="3" fontId="13" fillId="0" borderId="26" xfId="0" applyNumberFormat="1" applyFont="1" applyFill="1" applyBorder="1" applyAlignment="1" applyProtection="1">
      <alignment horizontal="right"/>
      <protection locked="0"/>
    </xf>
    <xf numFmtId="3" fontId="13" fillId="2" borderId="61" xfId="0" applyNumberFormat="1" applyFont="1" applyFill="1" applyBorder="1" applyAlignment="1" applyProtection="1">
      <alignment horizontal="right"/>
      <protection locked="0"/>
    </xf>
    <xf numFmtId="3" fontId="13" fillId="0" borderId="62" xfId="0" applyNumberFormat="1" applyFont="1" applyFill="1" applyBorder="1" applyAlignment="1" applyProtection="1">
      <alignment horizontal="right"/>
      <protection locked="0"/>
    </xf>
    <xf numFmtId="0" fontId="8" fillId="2" borderId="0" xfId="0" applyFont="1" applyFill="1" applyAlignment="1" applyProtection="1"/>
    <xf numFmtId="0" fontId="37" fillId="0" borderId="0" xfId="0" applyFont="1" applyProtection="1"/>
    <xf numFmtId="0" fontId="37" fillId="0" borderId="0" xfId="0" applyFont="1" applyFill="1" applyProtection="1"/>
    <xf numFmtId="0" fontId="11" fillId="0" borderId="0" xfId="0" applyFont="1" applyFill="1" applyBorder="1" applyAlignment="1" applyProtection="1">
      <alignment horizontal="center"/>
    </xf>
    <xf numFmtId="3" fontId="13" fillId="0" borderId="63" xfId="0" applyNumberFormat="1" applyFont="1" applyFill="1" applyBorder="1" applyAlignment="1" applyProtection="1">
      <alignment horizontal="right"/>
      <protection locked="0"/>
    </xf>
    <xf numFmtId="0" fontId="65" fillId="0" borderId="0" xfId="0" applyFont="1" applyFill="1" applyBorder="1" applyProtection="1"/>
    <xf numFmtId="0" fontId="65" fillId="0" borderId="0" xfId="0" applyFont="1" applyFill="1" applyProtection="1"/>
    <xf numFmtId="0" fontId="65" fillId="2" borderId="0" xfId="0" applyFont="1" applyFill="1" applyProtection="1"/>
    <xf numFmtId="0" fontId="70" fillId="2" borderId="0" xfId="0" applyFont="1" applyFill="1" applyAlignment="1" applyProtection="1"/>
    <xf numFmtId="0" fontId="70" fillId="0" borderId="0" xfId="0" applyFont="1" applyFill="1" applyBorder="1" applyAlignment="1" applyProtection="1"/>
    <xf numFmtId="0" fontId="0" fillId="2" borderId="0" xfId="0" applyFont="1" applyFill="1" applyProtection="1"/>
    <xf numFmtId="0" fontId="0" fillId="0" borderId="0" xfId="0" applyFont="1" applyFill="1" applyBorder="1" applyProtection="1"/>
    <xf numFmtId="0" fontId="0" fillId="2" borderId="0" xfId="0" applyFill="1" applyBorder="1" applyAlignment="1" applyProtection="1">
      <alignment horizontal="left"/>
    </xf>
    <xf numFmtId="49" fontId="3" fillId="0" borderId="0" xfId="0" applyNumberFormat="1" applyFont="1" applyFill="1" applyBorder="1" applyProtection="1"/>
    <xf numFmtId="3" fontId="10" fillId="2" borderId="8" xfId="0" applyNumberFormat="1" applyFont="1" applyFill="1" applyBorder="1" applyAlignment="1" applyProtection="1">
      <alignment horizontal="right"/>
      <protection locked="0"/>
    </xf>
    <xf numFmtId="3" fontId="10" fillId="2" borderId="5" xfId="0" applyNumberFormat="1" applyFont="1" applyFill="1" applyBorder="1" applyAlignment="1" applyProtection="1">
      <alignment horizontal="right"/>
      <protection locked="0"/>
    </xf>
    <xf numFmtId="3" fontId="10" fillId="2" borderId="5" xfId="0" quotePrefix="1" applyNumberFormat="1" applyFont="1" applyFill="1" applyBorder="1" applyAlignment="1" applyProtection="1">
      <alignment horizontal="right"/>
      <protection locked="0"/>
    </xf>
    <xf numFmtId="3" fontId="10" fillId="0" borderId="8" xfId="0" applyNumberFormat="1" applyFont="1" applyFill="1" applyBorder="1" applyAlignment="1" applyProtection="1">
      <alignment horizontal="right"/>
      <protection locked="0"/>
    </xf>
    <xf numFmtId="3" fontId="10" fillId="0" borderId="5" xfId="0" applyNumberFormat="1" applyFont="1" applyFill="1" applyBorder="1" applyAlignment="1" applyProtection="1">
      <alignment horizontal="right"/>
      <protection locked="0"/>
    </xf>
    <xf numFmtId="3" fontId="13" fillId="2" borderId="42" xfId="0" applyNumberFormat="1" applyFont="1" applyFill="1" applyBorder="1" applyAlignment="1" applyProtection="1">
      <alignment horizontal="right"/>
      <protection locked="0"/>
    </xf>
    <xf numFmtId="3" fontId="13" fillId="6" borderId="42" xfId="0" applyNumberFormat="1" applyFont="1" applyFill="1" applyBorder="1" applyAlignment="1" applyProtection="1">
      <alignment horizontal="right"/>
      <protection locked="0"/>
    </xf>
    <xf numFmtId="3" fontId="13" fillId="2" borderId="13" xfId="0" applyNumberFormat="1" applyFont="1" applyFill="1" applyBorder="1" applyAlignment="1" applyProtection="1">
      <alignment horizontal="right"/>
      <protection locked="0"/>
    </xf>
    <xf numFmtId="0" fontId="7" fillId="2" borderId="39" xfId="0" applyFont="1" applyFill="1" applyBorder="1" applyProtection="1"/>
    <xf numFmtId="0" fontId="88" fillId="0" borderId="39" xfId="13" applyFont="1" applyFill="1" applyBorder="1" applyProtection="1"/>
    <xf numFmtId="0" fontId="88" fillId="0" borderId="0" xfId="13" applyFont="1" applyFill="1" applyBorder="1" applyProtection="1"/>
    <xf numFmtId="49" fontId="7" fillId="2" borderId="0" xfId="0" applyNumberFormat="1" applyFont="1" applyFill="1" applyBorder="1" applyAlignment="1" applyProtection="1">
      <alignment vertical="top" wrapText="1"/>
    </xf>
    <xf numFmtId="3" fontId="2" fillId="9" borderId="19" xfId="0" applyNumberFormat="1" applyFont="1" applyFill="1" applyBorder="1" applyAlignment="1" applyProtection="1">
      <alignment horizontal="right"/>
    </xf>
    <xf numFmtId="3" fontId="9" fillId="2" borderId="0" xfId="0" applyNumberFormat="1" applyFont="1" applyFill="1" applyBorder="1" applyProtection="1"/>
    <xf numFmtId="3" fontId="87" fillId="2" borderId="0" xfId="0" applyNumberFormat="1" applyFont="1" applyFill="1" applyBorder="1" applyProtection="1"/>
    <xf numFmtId="49" fontId="24" fillId="7" borderId="0" xfId="0" applyNumberFormat="1" applyFont="1" applyFill="1" applyProtection="1"/>
    <xf numFmtId="49" fontId="24" fillId="2" borderId="0" xfId="0" applyNumberFormat="1" applyFont="1" applyFill="1" applyAlignment="1" applyProtection="1">
      <alignment horizontal="left"/>
    </xf>
    <xf numFmtId="0" fontId="36" fillId="2" borderId="0" xfId="0" applyNumberFormat="1" applyFont="1" applyFill="1" applyAlignment="1" applyProtection="1">
      <alignment horizontal="center"/>
    </xf>
    <xf numFmtId="49" fontId="24" fillId="2" borderId="0" xfId="0" applyNumberFormat="1" applyFont="1" applyFill="1" applyAlignment="1" applyProtection="1">
      <alignment horizontal="center"/>
    </xf>
    <xf numFmtId="0" fontId="36" fillId="2" borderId="39" xfId="0" applyNumberFormat="1" applyFont="1" applyFill="1" applyBorder="1" applyAlignment="1" applyProtection="1">
      <alignment horizontal="center"/>
    </xf>
    <xf numFmtId="49" fontId="3" fillId="10" borderId="47" xfId="0" applyNumberFormat="1" applyFont="1" applyFill="1" applyBorder="1" applyAlignment="1" applyProtection="1">
      <alignment vertical="top" wrapText="1"/>
    </xf>
    <xf numFmtId="0" fontId="44" fillId="0" borderId="0" xfId="0" applyFont="1" applyFill="1" applyBorder="1" applyAlignment="1" applyProtection="1">
      <alignment horizontal="left"/>
    </xf>
    <xf numFmtId="0" fontId="2" fillId="0" borderId="0" xfId="0" applyFont="1" applyFill="1" applyBorder="1" applyProtection="1"/>
    <xf numFmtId="0" fontId="5" fillId="0" borderId="0" xfId="0" applyFont="1" applyFill="1" applyBorder="1" applyAlignment="1" applyProtection="1">
      <alignment vertical="top"/>
    </xf>
    <xf numFmtId="49" fontId="5" fillId="0" borderId="0" xfId="0" applyNumberFormat="1" applyFont="1" applyFill="1" applyBorder="1" applyAlignment="1" applyProtection="1">
      <alignment vertical="top"/>
    </xf>
    <xf numFmtId="0" fontId="3" fillId="0" borderId="0" xfId="0" applyFont="1" applyFill="1" applyBorder="1" applyAlignment="1" applyProtection="1">
      <alignment vertical="top"/>
    </xf>
    <xf numFmtId="0" fontId="64" fillId="0" borderId="0" xfId="0" applyFont="1" applyFill="1" applyBorder="1" applyAlignment="1" applyProtection="1">
      <alignment vertical="top"/>
    </xf>
    <xf numFmtId="168" fontId="3" fillId="0" borderId="0" xfId="13" applyNumberFormat="1" applyFont="1" applyFill="1" applyBorder="1" applyAlignment="1" applyProtection="1">
      <alignment horizontal="left"/>
    </xf>
    <xf numFmtId="49" fontId="24" fillId="0" borderId="0" xfId="0" applyNumberFormat="1" applyFont="1" applyAlignment="1" applyProtection="1">
      <alignment horizontal="left"/>
    </xf>
    <xf numFmtId="49" fontId="24" fillId="0" borderId="0" xfId="0" applyNumberFormat="1" applyFont="1" applyProtection="1"/>
    <xf numFmtId="0" fontId="86" fillId="0" borderId="0" xfId="0" applyFont="1" applyProtection="1"/>
    <xf numFmtId="3" fontId="10" fillId="0" borderId="19" xfId="0" applyNumberFormat="1" applyFont="1" applyFill="1" applyBorder="1" applyAlignment="1" applyProtection="1">
      <alignment horizontal="right"/>
      <protection locked="0"/>
    </xf>
    <xf numFmtId="3" fontId="10" fillId="0" borderId="4" xfId="0" applyNumberFormat="1" applyFont="1" applyFill="1" applyBorder="1" applyAlignment="1" applyProtection="1">
      <alignment horizontal="right"/>
      <protection locked="0"/>
    </xf>
    <xf numFmtId="0" fontId="24" fillId="7" borderId="0" xfId="6" applyFill="1" applyProtection="1"/>
    <xf numFmtId="1" fontId="24" fillId="7" borderId="0" xfId="6" applyNumberFormat="1" applyFill="1" applyProtection="1"/>
    <xf numFmtId="0" fontId="24" fillId="0" borderId="0" xfId="6" applyFill="1" applyBorder="1" applyProtection="1"/>
    <xf numFmtId="0" fontId="24" fillId="0" borderId="0" xfId="6" applyFill="1" applyProtection="1"/>
    <xf numFmtId="0" fontId="24" fillId="2" borderId="0" xfId="6" applyFill="1" applyProtection="1"/>
    <xf numFmtId="0" fontId="43" fillId="2" borderId="0" xfId="6" applyFont="1" applyFill="1" applyBorder="1" applyAlignment="1" applyProtection="1">
      <alignment horizontal="center"/>
    </xf>
    <xf numFmtId="1" fontId="58" fillId="2" borderId="0" xfId="6" applyNumberFormat="1" applyFont="1" applyFill="1" applyAlignment="1" applyProtection="1">
      <alignment horizontal="center"/>
    </xf>
    <xf numFmtId="0" fontId="24" fillId="0" borderId="0" xfId="6" applyProtection="1"/>
    <xf numFmtId="1" fontId="57" fillId="2" borderId="0" xfId="6" applyNumberFormat="1" applyFont="1" applyFill="1" applyAlignment="1" applyProtection="1">
      <alignment horizontal="left"/>
    </xf>
    <xf numFmtId="0" fontId="24" fillId="0" borderId="0" xfId="6" applyBorder="1" applyProtection="1"/>
    <xf numFmtId="1" fontId="57" fillId="2" borderId="0" xfId="13" applyNumberFormat="1" applyFont="1" applyFill="1" applyBorder="1" applyAlignment="1" applyProtection="1">
      <alignment horizontal="left"/>
    </xf>
    <xf numFmtId="0" fontId="24" fillId="2" borderId="0" xfId="6" applyFont="1" applyFill="1" applyProtection="1"/>
    <xf numFmtId="0" fontId="55" fillId="2" borderId="0" xfId="6" applyFont="1" applyFill="1" applyProtection="1"/>
    <xf numFmtId="1" fontId="24" fillId="0" borderId="0" xfId="6" applyNumberFormat="1" applyProtection="1"/>
    <xf numFmtId="0" fontId="24" fillId="0" borderId="0" xfId="6" applyFont="1" applyProtection="1"/>
    <xf numFmtId="3" fontId="2" fillId="2" borderId="2" xfId="6" applyNumberFormat="1" applyFont="1" applyFill="1" applyBorder="1" applyAlignment="1" applyProtection="1">
      <alignment horizontal="right"/>
      <protection locked="0"/>
    </xf>
    <xf numFmtId="3" fontId="2" fillId="2" borderId="15" xfId="6" applyNumberFormat="1" applyFont="1" applyFill="1" applyBorder="1" applyAlignment="1" applyProtection="1">
      <alignment horizontal="right"/>
      <protection locked="0"/>
    </xf>
    <xf numFmtId="0" fontId="3" fillId="0" borderId="0" xfId="6" applyFont="1" applyProtection="1"/>
    <xf numFmtId="0" fontId="3" fillId="0" borderId="0" xfId="6" applyFont="1" applyBorder="1" applyProtection="1"/>
    <xf numFmtId="0" fontId="24" fillId="0" borderId="0" xfId="0" applyFont="1" applyFill="1" applyProtection="1"/>
    <xf numFmtId="49" fontId="24" fillId="0" borderId="0" xfId="0" applyNumberFormat="1" applyFont="1" applyFill="1" applyBorder="1" applyAlignment="1" applyProtection="1">
      <alignment horizontal="left"/>
    </xf>
    <xf numFmtId="0" fontId="0" fillId="7" borderId="0" xfId="0" applyFill="1" applyAlignment="1" applyProtection="1"/>
    <xf numFmtId="0" fontId="0" fillId="0" borderId="0" xfId="0" applyFill="1" applyAlignment="1" applyProtection="1"/>
    <xf numFmtId="0" fontId="0" fillId="0" borderId="0" xfId="0" applyFill="1" applyBorder="1" applyAlignment="1" applyProtection="1"/>
    <xf numFmtId="0" fontId="0" fillId="0" borderId="0" xfId="0" applyAlignment="1" applyProtection="1"/>
    <xf numFmtId="3" fontId="2" fillId="2" borderId="61" xfId="0" applyNumberFormat="1" applyFont="1" applyFill="1" applyBorder="1" applyAlignment="1" applyProtection="1">
      <alignment horizontal="right"/>
      <protection locked="0"/>
    </xf>
    <xf numFmtId="3" fontId="2" fillId="2" borderId="62" xfId="0" applyNumberFormat="1" applyFont="1" applyFill="1" applyBorder="1" applyAlignment="1" applyProtection="1">
      <alignment horizontal="right"/>
      <protection locked="0"/>
    </xf>
    <xf numFmtId="3" fontId="2" fillId="2" borderId="64" xfId="0" applyNumberFormat="1" applyFont="1" applyFill="1" applyBorder="1" applyAlignment="1" applyProtection="1">
      <alignment horizontal="right"/>
      <protection locked="0"/>
    </xf>
    <xf numFmtId="3" fontId="2" fillId="2" borderId="65" xfId="0" applyNumberFormat="1" applyFont="1" applyFill="1" applyBorder="1" applyAlignment="1" applyProtection="1">
      <alignment horizontal="right"/>
      <protection locked="0"/>
    </xf>
    <xf numFmtId="3" fontId="13" fillId="2" borderId="62" xfId="0" applyNumberFormat="1" applyFont="1" applyFill="1" applyBorder="1" applyAlignment="1" applyProtection="1">
      <alignment horizontal="right"/>
      <protection locked="0"/>
    </xf>
    <xf numFmtId="3" fontId="2" fillId="6" borderId="63" xfId="0" applyNumberFormat="1" applyFont="1" applyFill="1" applyBorder="1" applyAlignment="1" applyProtection="1">
      <alignment horizontal="right"/>
      <protection locked="0"/>
    </xf>
    <xf numFmtId="170" fontId="37" fillId="0" borderId="0" xfId="6" applyNumberFormat="1" applyFont="1" applyFill="1" applyBorder="1" applyAlignment="1" applyProtection="1">
      <alignment vertical="top" wrapText="1"/>
    </xf>
    <xf numFmtId="3" fontId="2" fillId="9" borderId="66" xfId="0" applyNumberFormat="1" applyFont="1" applyFill="1" applyBorder="1" applyAlignment="1" applyProtection="1"/>
    <xf numFmtId="3" fontId="2" fillId="9" borderId="13" xfId="0" applyNumberFormat="1" applyFont="1" applyFill="1" applyBorder="1" applyAlignment="1" applyProtection="1"/>
    <xf numFmtId="0" fontId="39" fillId="2" borderId="0" xfId="0" applyFont="1" applyFill="1" applyProtection="1"/>
    <xf numFmtId="20" fontId="96" fillId="2" borderId="0" xfId="10" quotePrefix="1" applyNumberFormat="1" applyFont="1" applyFill="1" applyProtection="1"/>
    <xf numFmtId="20" fontId="96" fillId="2" borderId="0" xfId="10" quotePrefix="1" applyNumberFormat="1" applyFont="1" applyFill="1" applyAlignment="1" applyProtection="1"/>
    <xf numFmtId="0" fontId="96" fillId="2" borderId="0" xfId="10" applyFont="1" applyFill="1" applyAlignment="1" applyProtection="1">
      <alignment horizontal="center"/>
    </xf>
    <xf numFmtId="0" fontId="96" fillId="2" borderId="0" xfId="10" applyFont="1" applyFill="1" applyAlignment="1" applyProtection="1"/>
    <xf numFmtId="0" fontId="96" fillId="2" borderId="0" xfId="10" applyFont="1" applyFill="1" applyProtection="1"/>
    <xf numFmtId="166" fontId="3" fillId="2" borderId="0" xfId="10" applyNumberFormat="1" applyFont="1" applyFill="1" applyProtection="1"/>
    <xf numFmtId="0" fontId="3" fillId="2" borderId="0" xfId="10" applyFont="1" applyFill="1" applyProtection="1"/>
    <xf numFmtId="0" fontId="97" fillId="2" borderId="0" xfId="11" applyFont="1" applyFill="1"/>
    <xf numFmtId="3" fontId="98" fillId="2" borderId="0" xfId="10" applyNumberFormat="1" applyFont="1" applyFill="1" applyAlignment="1" applyProtection="1"/>
    <xf numFmtId="3" fontId="98" fillId="2" borderId="0" xfId="10" applyNumberFormat="1" applyFont="1" applyFill="1" applyAlignment="1" applyProtection="1">
      <alignment horizontal="center"/>
    </xf>
    <xf numFmtId="3" fontId="49" fillId="2" borderId="0" xfId="10" applyNumberFormat="1" applyFont="1" applyFill="1" applyAlignment="1" applyProtection="1">
      <alignment horizontal="center"/>
    </xf>
    <xf numFmtId="166" fontId="97" fillId="2" borderId="0" xfId="11" applyNumberFormat="1" applyFont="1" applyFill="1"/>
    <xf numFmtId="0" fontId="3" fillId="2" borderId="0" xfId="10" applyFont="1" applyFill="1" applyAlignment="1" applyProtection="1"/>
    <xf numFmtId="0" fontId="3" fillId="2" borderId="0" xfId="10" applyFont="1" applyFill="1" applyAlignment="1" applyProtection="1">
      <alignment horizontal="center"/>
    </xf>
    <xf numFmtId="3" fontId="99" fillId="2" borderId="0" xfId="10" applyNumberFormat="1" applyFont="1" applyFill="1" applyAlignment="1" applyProtection="1"/>
    <xf numFmtId="0" fontId="97" fillId="2" borderId="0" xfId="11" applyFont="1" applyFill="1" applyAlignment="1" applyProtection="1">
      <alignment horizontal="center"/>
    </xf>
    <xf numFmtId="3" fontId="98" fillId="2" borderId="0" xfId="10" applyNumberFormat="1" applyFont="1" applyFill="1" applyBorder="1" applyAlignment="1" applyProtection="1"/>
    <xf numFmtId="0" fontId="3" fillId="2" borderId="0" xfId="10" quotePrefix="1" applyFont="1" applyFill="1" applyAlignment="1" applyProtection="1">
      <alignment horizontal="center"/>
    </xf>
    <xf numFmtId="3" fontId="3" fillId="2" borderId="0" xfId="10" quotePrefix="1" applyNumberFormat="1" applyFont="1" applyFill="1" applyAlignment="1" applyProtection="1"/>
    <xf numFmtId="3" fontId="3" fillId="2" borderId="0" xfId="10" applyNumberFormat="1" applyFont="1" applyFill="1" applyAlignment="1" applyProtection="1">
      <alignment horizontal="left"/>
    </xf>
    <xf numFmtId="3" fontId="98" fillId="2" borderId="67" xfId="10" applyNumberFormat="1" applyFont="1" applyFill="1" applyBorder="1" applyAlignment="1" applyProtection="1"/>
    <xf numFmtId="0" fontId="3" fillId="2" borderId="0" xfId="10" applyFont="1" applyFill="1" applyAlignment="1" applyProtection="1">
      <alignment horizontal="left"/>
    </xf>
    <xf numFmtId="3" fontId="99" fillId="2" borderId="0" xfId="0" applyNumberFormat="1" applyFont="1" applyFill="1"/>
    <xf numFmtId="3" fontId="38" fillId="8" borderId="68" xfId="6" applyNumberFormat="1" applyFont="1" applyFill="1" applyBorder="1" applyProtection="1"/>
    <xf numFmtId="3" fontId="38" fillId="8" borderId="35" xfId="6" applyNumberFormat="1" applyFont="1" applyFill="1" applyBorder="1" applyProtection="1"/>
    <xf numFmtId="3" fontId="38" fillId="8" borderId="25" xfId="6" applyNumberFormat="1" applyFont="1" applyFill="1" applyBorder="1" applyProtection="1"/>
    <xf numFmtId="20" fontId="96" fillId="2" borderId="67" xfId="10" quotePrefix="1" applyNumberFormat="1" applyFont="1" applyFill="1" applyBorder="1" applyProtection="1"/>
    <xf numFmtId="20" fontId="96" fillId="2" borderId="67" xfId="10" quotePrefix="1" applyNumberFormat="1" applyFont="1" applyFill="1" applyBorder="1" applyAlignment="1" applyProtection="1"/>
    <xf numFmtId="0" fontId="96" fillId="2" borderId="67" xfId="10" applyFont="1" applyFill="1" applyBorder="1" applyAlignment="1" applyProtection="1">
      <alignment horizontal="center"/>
    </xf>
    <xf numFmtId="0" fontId="96" fillId="2" borderId="67" xfId="10" applyFont="1" applyFill="1" applyBorder="1" applyAlignment="1" applyProtection="1"/>
    <xf numFmtId="0" fontId="96" fillId="2" borderId="67" xfId="10" applyFont="1" applyFill="1" applyBorder="1" applyProtection="1"/>
    <xf numFmtId="166" fontId="3" fillId="2" borderId="67" xfId="10" applyNumberFormat="1" applyFont="1" applyFill="1" applyBorder="1" applyProtection="1"/>
    <xf numFmtId="164" fontId="9"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xf>
    <xf numFmtId="3" fontId="13" fillId="0" borderId="69" xfId="0" applyNumberFormat="1" applyFont="1" applyFill="1" applyBorder="1" applyAlignment="1" applyProtection="1">
      <alignment horizontal="right"/>
      <protection locked="0"/>
    </xf>
    <xf numFmtId="3" fontId="13" fillId="9" borderId="26" xfId="0" applyNumberFormat="1" applyFont="1" applyFill="1" applyBorder="1" applyProtection="1"/>
    <xf numFmtId="0" fontId="10" fillId="0" borderId="0" xfId="6" applyFont="1" applyFill="1" applyBorder="1" applyProtection="1"/>
    <xf numFmtId="3" fontId="38" fillId="0" borderId="0" xfId="6" applyNumberFormat="1" applyFont="1" applyFill="1" applyBorder="1" applyProtection="1"/>
    <xf numFmtId="0" fontId="24" fillId="0" borderId="0" xfId="6" applyFont="1" applyFill="1" applyProtection="1"/>
    <xf numFmtId="0" fontId="37" fillId="0" borderId="0" xfId="0" applyFont="1" applyFill="1" applyBorder="1" applyProtection="1"/>
    <xf numFmtId="0" fontId="97" fillId="2" borderId="0" xfId="11" applyFont="1" applyFill="1" applyAlignment="1">
      <alignment horizontal="center"/>
    </xf>
    <xf numFmtId="20" fontId="96" fillId="0" borderId="67" xfId="10" quotePrefix="1" applyNumberFormat="1" applyFont="1" applyFill="1" applyBorder="1" applyProtection="1"/>
    <xf numFmtId="0" fontId="0" fillId="0" borderId="1" xfId="0" applyBorder="1"/>
    <xf numFmtId="0" fontId="0" fillId="2" borderId="1" xfId="0" applyFill="1" applyBorder="1"/>
    <xf numFmtId="3" fontId="13" fillId="2" borderId="19" xfId="0" applyNumberFormat="1" applyFont="1" applyFill="1" applyBorder="1" applyAlignment="1" applyProtection="1">
      <protection locked="0"/>
    </xf>
    <xf numFmtId="170" fontId="37" fillId="0" borderId="0" xfId="0" applyNumberFormat="1" applyFont="1" applyFill="1" applyProtection="1"/>
    <xf numFmtId="170" fontId="37" fillId="2" borderId="0" xfId="0" applyNumberFormat="1" applyFont="1" applyFill="1" applyProtection="1"/>
    <xf numFmtId="0" fontId="37" fillId="2" borderId="0" xfId="0" applyFont="1" applyFill="1" applyBorder="1" applyAlignment="1" applyProtection="1">
      <alignment horizontal="left" vertical="top" wrapText="1"/>
    </xf>
    <xf numFmtId="0" fontId="21" fillId="0" borderId="0" xfId="0" applyFont="1"/>
    <xf numFmtId="3" fontId="2" fillId="2" borderId="8" xfId="0" applyNumberFormat="1" applyFont="1" applyFill="1" applyBorder="1" applyAlignment="1" applyProtection="1">
      <alignment horizontal="right"/>
      <protection locked="0"/>
    </xf>
    <xf numFmtId="3" fontId="2" fillId="2" borderId="70" xfId="6" applyNumberFormat="1" applyFont="1" applyFill="1" applyBorder="1" applyAlignment="1" applyProtection="1">
      <alignment horizontal="right"/>
      <protection locked="0"/>
    </xf>
    <xf numFmtId="3" fontId="2" fillId="2" borderId="6" xfId="6" applyNumberFormat="1" applyFont="1" applyFill="1" applyBorder="1" applyAlignment="1" applyProtection="1">
      <alignment horizontal="right"/>
      <protection locked="0"/>
    </xf>
    <xf numFmtId="3" fontId="2" fillId="2" borderId="71" xfId="6" applyNumberFormat="1" applyFont="1" applyFill="1" applyBorder="1" applyAlignment="1" applyProtection="1">
      <alignment horizontal="right"/>
      <protection locked="0"/>
    </xf>
    <xf numFmtId="3" fontId="2" fillId="2" borderId="25" xfId="6" applyNumberFormat="1" applyFont="1" applyFill="1" applyBorder="1" applyAlignment="1" applyProtection="1">
      <alignment horizontal="right"/>
      <protection locked="0"/>
    </xf>
    <xf numFmtId="3" fontId="2" fillId="2" borderId="72" xfId="6" applyNumberFormat="1" applyFont="1" applyFill="1" applyBorder="1" applyAlignment="1" applyProtection="1">
      <alignment horizontal="right"/>
      <protection locked="0"/>
    </xf>
    <xf numFmtId="0" fontId="39" fillId="0" borderId="0" xfId="6" applyFont="1" applyProtection="1"/>
    <xf numFmtId="0" fontId="54" fillId="2" borderId="0" xfId="6" applyFont="1" applyFill="1" applyProtection="1"/>
    <xf numFmtId="0" fontId="37" fillId="0" borderId="0" xfId="6" quotePrefix="1" applyNumberFormat="1" applyFont="1" applyProtection="1"/>
    <xf numFmtId="3" fontId="0" fillId="0" borderId="0" xfId="0" applyNumberFormat="1"/>
    <xf numFmtId="3" fontId="103" fillId="2" borderId="0" xfId="0" applyNumberFormat="1" applyFont="1" applyFill="1" applyBorder="1" applyAlignment="1" applyProtection="1">
      <alignment horizontal="left"/>
    </xf>
    <xf numFmtId="3" fontId="76" fillId="8" borderId="25" xfId="6" applyNumberFormat="1" applyFont="1" applyFill="1" applyBorder="1" applyAlignment="1" applyProtection="1">
      <alignment horizontal="right"/>
    </xf>
    <xf numFmtId="3" fontId="2" fillId="8" borderId="5" xfId="6" applyNumberFormat="1" applyFont="1" applyFill="1" applyBorder="1" applyAlignment="1" applyProtection="1"/>
    <xf numFmtId="3" fontId="76" fillId="12" borderId="25" xfId="6" applyNumberFormat="1" applyFont="1" applyFill="1" applyBorder="1" applyAlignment="1" applyProtection="1">
      <alignment horizontal="right"/>
    </xf>
    <xf numFmtId="3" fontId="76" fillId="8" borderId="25" xfId="6" quotePrefix="1" applyNumberFormat="1" applyFont="1" applyFill="1" applyBorder="1" applyAlignment="1" applyProtection="1">
      <alignment horizontal="right"/>
    </xf>
    <xf numFmtId="3" fontId="2" fillId="8" borderId="5" xfId="0" applyNumberFormat="1" applyFont="1" applyFill="1" applyBorder="1" applyAlignment="1" applyProtection="1">
      <alignment horizontal="right"/>
    </xf>
    <xf numFmtId="3" fontId="76" fillId="8" borderId="25" xfId="0" applyNumberFormat="1" applyFont="1" applyFill="1" applyBorder="1" applyAlignment="1" applyProtection="1">
      <alignment horizontal="right"/>
    </xf>
    <xf numFmtId="3" fontId="99" fillId="2" borderId="0" xfId="0" applyNumberFormat="1" applyFont="1" applyFill="1" applyBorder="1"/>
    <xf numFmtId="3" fontId="99" fillId="2" borderId="0" xfId="10" applyNumberFormat="1" applyFont="1" applyFill="1" applyBorder="1" applyAlignment="1" applyProtection="1"/>
    <xf numFmtId="0" fontId="0" fillId="2" borderId="0" xfId="0" applyFill="1" applyBorder="1" applyAlignment="1">
      <alignment vertical="top"/>
    </xf>
    <xf numFmtId="0" fontId="0" fillId="2" borderId="0" xfId="0" applyFill="1" applyBorder="1"/>
    <xf numFmtId="0" fontId="38" fillId="2" borderId="0" xfId="0" applyFont="1" applyFill="1" applyAlignment="1" applyProtection="1">
      <alignment horizontal="right"/>
    </xf>
    <xf numFmtId="3" fontId="2" fillId="2" borderId="3" xfId="6" applyNumberFormat="1" applyFont="1" applyFill="1" applyBorder="1" applyAlignment="1" applyProtection="1">
      <alignment horizontal="right"/>
      <protection locked="0"/>
    </xf>
    <xf numFmtId="3" fontId="37" fillId="0" borderId="74" xfId="6" quotePrefix="1" applyNumberFormat="1" applyFont="1" applyFill="1" applyBorder="1" applyAlignment="1" applyProtection="1">
      <alignment horizontal="left"/>
    </xf>
    <xf numFmtId="0" fontId="39" fillId="0" borderId="76" xfId="6" applyFont="1" applyBorder="1" applyProtection="1"/>
    <xf numFmtId="0" fontId="101" fillId="0" borderId="76" xfId="6" applyFont="1" applyBorder="1" applyProtection="1"/>
    <xf numFmtId="3" fontId="37" fillId="0" borderId="78" xfId="6" quotePrefix="1" applyNumberFormat="1" applyFont="1" applyFill="1" applyBorder="1" applyAlignment="1" applyProtection="1">
      <alignment horizontal="left"/>
    </xf>
    <xf numFmtId="0" fontId="24" fillId="0" borderId="79" xfId="6" applyBorder="1" applyProtection="1"/>
    <xf numFmtId="0" fontId="24" fillId="0" borderId="52" xfId="6" applyBorder="1" applyProtection="1"/>
    <xf numFmtId="0" fontId="24" fillId="0" borderId="80" xfId="6" applyBorder="1" applyProtection="1"/>
    <xf numFmtId="0" fontId="37" fillId="0" borderId="0" xfId="6" applyFont="1" applyProtection="1"/>
    <xf numFmtId="3" fontId="37" fillId="0" borderId="0" xfId="6" quotePrefix="1" applyNumberFormat="1" applyFont="1" applyFill="1" applyBorder="1" applyAlignment="1" applyProtection="1">
      <alignment horizontal="left"/>
    </xf>
    <xf numFmtId="3" fontId="2" fillId="9" borderId="81" xfId="6" applyNumberFormat="1" applyFont="1" applyFill="1" applyBorder="1" applyProtection="1"/>
    <xf numFmtId="3" fontId="2" fillId="9" borderId="82" xfId="6" applyNumberFormat="1" applyFont="1" applyFill="1" applyBorder="1" applyProtection="1"/>
    <xf numFmtId="3" fontId="2" fillId="3" borderId="13" xfId="0" applyNumberFormat="1" applyFont="1" applyFill="1" applyBorder="1" applyProtection="1"/>
    <xf numFmtId="3" fontId="2" fillId="3" borderId="26" xfId="0" applyNumberFormat="1" applyFont="1" applyFill="1" applyBorder="1" applyProtection="1"/>
    <xf numFmtId="3" fontId="2" fillId="3" borderId="20" xfId="0" applyNumberFormat="1" applyFont="1" applyFill="1" applyBorder="1" applyProtection="1"/>
    <xf numFmtId="3" fontId="2" fillId="3" borderId="83" xfId="0" applyNumberFormat="1" applyFont="1" applyFill="1" applyBorder="1" applyProtection="1"/>
    <xf numFmtId="3" fontId="2" fillId="3" borderId="54" xfId="0" applyNumberFormat="1" applyFont="1" applyFill="1" applyBorder="1" applyProtection="1"/>
    <xf numFmtId="3" fontId="2" fillId="3" borderId="56" xfId="0" applyNumberFormat="1" applyFont="1" applyFill="1" applyBorder="1" applyProtection="1"/>
    <xf numFmtId="3" fontId="2" fillId="3" borderId="69" xfId="0" applyNumberFormat="1" applyFont="1" applyFill="1" applyBorder="1" applyProtection="1"/>
    <xf numFmtId="3" fontId="2" fillId="3" borderId="25" xfId="0" applyNumberFormat="1" applyFont="1" applyFill="1" applyBorder="1" applyProtection="1"/>
    <xf numFmtId="3" fontId="2" fillId="3" borderId="19" xfId="0" applyNumberFormat="1" applyFont="1" applyFill="1" applyBorder="1" applyProtection="1"/>
    <xf numFmtId="3" fontId="2" fillId="3" borderId="63" xfId="0" applyNumberFormat="1" applyFont="1" applyFill="1" applyBorder="1" applyProtection="1"/>
    <xf numFmtId="3" fontId="2" fillId="3" borderId="84" xfId="0" applyNumberFormat="1" applyFont="1" applyFill="1" applyBorder="1" applyProtection="1"/>
    <xf numFmtId="3" fontId="2" fillId="3" borderId="5" xfId="0" applyNumberFormat="1" applyFont="1" applyFill="1" applyBorder="1" applyProtection="1"/>
    <xf numFmtId="3" fontId="2" fillId="3" borderId="85" xfId="0" applyNumberFormat="1" applyFont="1" applyFill="1" applyBorder="1" applyProtection="1"/>
    <xf numFmtId="3" fontId="2" fillId="3" borderId="86" xfId="0" applyNumberFormat="1" applyFont="1" applyFill="1" applyBorder="1" applyProtection="1"/>
    <xf numFmtId="3" fontId="2" fillId="3" borderId="80" xfId="0" applyNumberFormat="1" applyFont="1" applyFill="1" applyBorder="1" applyProtection="1"/>
    <xf numFmtId="3" fontId="10" fillId="13" borderId="52" xfId="0" applyNumberFormat="1" applyFont="1" applyFill="1" applyBorder="1" applyAlignment="1" applyProtection="1">
      <alignment horizontal="right"/>
      <protection locked="0"/>
    </xf>
    <xf numFmtId="3" fontId="10" fillId="13" borderId="5" xfId="0" applyNumberFormat="1" applyFont="1" applyFill="1" applyBorder="1" applyAlignment="1" applyProtection="1">
      <alignment horizontal="right"/>
      <protection locked="0"/>
    </xf>
    <xf numFmtId="3" fontId="13" fillId="3" borderId="59" xfId="0" applyNumberFormat="1" applyFont="1" applyFill="1" applyBorder="1" applyProtection="1"/>
    <xf numFmtId="3" fontId="13" fillId="3" borderId="87" xfId="0" applyNumberFormat="1" applyFont="1" applyFill="1" applyBorder="1" applyProtection="1"/>
    <xf numFmtId="3" fontId="13" fillId="3" borderId="88" xfId="0" applyNumberFormat="1" applyFont="1" applyFill="1" applyBorder="1" applyProtection="1"/>
    <xf numFmtId="3" fontId="13" fillId="3" borderId="85" xfId="0" applyNumberFormat="1" applyFont="1" applyFill="1" applyBorder="1" applyProtection="1"/>
    <xf numFmtId="3" fontId="13" fillId="3" borderId="26" xfId="0" applyNumberFormat="1" applyFont="1" applyFill="1" applyBorder="1" applyProtection="1"/>
    <xf numFmtId="3" fontId="13" fillId="3" borderId="20" xfId="0" applyNumberFormat="1" applyFont="1" applyFill="1" applyBorder="1" applyProtection="1"/>
    <xf numFmtId="3" fontId="10" fillId="13" borderId="10" xfId="0" applyNumberFormat="1" applyFont="1" applyFill="1" applyBorder="1" applyAlignment="1" applyProtection="1">
      <alignment horizontal="right"/>
      <protection locked="0"/>
    </xf>
    <xf numFmtId="3" fontId="13" fillId="3" borderId="18" xfId="0" applyNumberFormat="1" applyFont="1" applyFill="1" applyBorder="1" applyProtection="1"/>
    <xf numFmtId="3" fontId="13" fillId="3" borderId="19" xfId="0" applyNumberFormat="1" applyFont="1" applyFill="1" applyBorder="1" applyProtection="1"/>
    <xf numFmtId="3" fontId="13" fillId="3" borderId="5" xfId="0" applyNumberFormat="1" applyFont="1" applyFill="1" applyBorder="1" applyAlignment="1" applyProtection="1">
      <alignment horizontal="right"/>
    </xf>
    <xf numFmtId="3" fontId="2" fillId="14" borderId="7" xfId="0" applyNumberFormat="1" applyFont="1" applyFill="1" applyBorder="1" applyAlignment="1" applyProtection="1">
      <alignment horizontal="right"/>
    </xf>
    <xf numFmtId="3" fontId="2" fillId="3" borderId="42" xfId="0" applyNumberFormat="1" applyFont="1" applyFill="1" applyBorder="1" applyAlignment="1" applyProtection="1">
      <alignment horizontal="right"/>
    </xf>
    <xf numFmtId="3" fontId="2" fillId="3" borderId="89" xfId="0" applyNumberFormat="1" applyFont="1" applyFill="1" applyBorder="1" applyAlignment="1" applyProtection="1">
      <alignment horizontal="right"/>
    </xf>
    <xf numFmtId="3" fontId="2" fillId="3" borderId="83" xfId="0" applyNumberFormat="1" applyFont="1" applyFill="1" applyBorder="1" applyAlignment="1" applyProtection="1">
      <alignment horizontal="right"/>
    </xf>
    <xf numFmtId="3" fontId="2" fillId="3" borderId="90" xfId="0" applyNumberFormat="1" applyFont="1" applyFill="1" applyBorder="1" applyAlignment="1" applyProtection="1">
      <alignment horizontal="right"/>
    </xf>
    <xf numFmtId="3" fontId="2" fillId="3" borderId="13" xfId="0" applyNumberFormat="1" applyFont="1" applyFill="1" applyBorder="1" applyAlignment="1" applyProtection="1">
      <alignment horizontal="right"/>
    </xf>
    <xf numFmtId="3" fontId="13" fillId="3" borderId="18" xfId="0" applyNumberFormat="1" applyFont="1" applyFill="1" applyBorder="1" applyAlignment="1" applyProtection="1">
      <alignment horizontal="right"/>
    </xf>
    <xf numFmtId="3" fontId="13" fillId="3" borderId="3" xfId="0" applyNumberFormat="1" applyFont="1" applyFill="1" applyBorder="1" applyAlignment="1" applyProtection="1">
      <alignment horizontal="right"/>
    </xf>
    <xf numFmtId="3" fontId="13" fillId="3" borderId="22" xfId="0" applyNumberFormat="1" applyFont="1" applyFill="1" applyBorder="1" applyAlignment="1" applyProtection="1">
      <alignment horizontal="right"/>
    </xf>
    <xf numFmtId="3" fontId="13" fillId="3" borderId="7" xfId="0" applyNumberFormat="1" applyFont="1" applyFill="1" applyBorder="1" applyAlignment="1" applyProtection="1">
      <alignment horizontal="right"/>
    </xf>
    <xf numFmtId="3" fontId="13" fillId="3" borderId="91" xfId="0" applyNumberFormat="1" applyFont="1" applyFill="1" applyBorder="1" applyAlignment="1" applyProtection="1">
      <alignment horizontal="right"/>
    </xf>
    <xf numFmtId="3" fontId="13" fillId="3" borderId="92" xfId="0" applyNumberFormat="1" applyFont="1" applyFill="1" applyBorder="1" applyAlignment="1" applyProtection="1">
      <alignment horizontal="right"/>
    </xf>
    <xf numFmtId="3" fontId="13" fillId="3" borderId="93" xfId="0" applyNumberFormat="1" applyFont="1" applyFill="1" applyBorder="1" applyAlignment="1" applyProtection="1">
      <alignment horizontal="right"/>
    </xf>
    <xf numFmtId="3" fontId="13" fillId="3" borderId="25" xfId="0" applyNumberFormat="1" applyFont="1" applyFill="1" applyBorder="1" applyAlignment="1" applyProtection="1">
      <alignment horizontal="right"/>
    </xf>
    <xf numFmtId="3" fontId="13" fillId="3" borderId="72" xfId="0" applyNumberFormat="1" applyFont="1" applyFill="1" applyBorder="1" applyAlignment="1" applyProtection="1">
      <alignment horizontal="right"/>
    </xf>
    <xf numFmtId="3" fontId="13" fillId="3" borderId="26" xfId="0" applyNumberFormat="1" applyFont="1" applyFill="1" applyBorder="1" applyAlignment="1" applyProtection="1">
      <alignment horizontal="right"/>
    </xf>
    <xf numFmtId="3" fontId="13" fillId="3" borderId="24" xfId="0" applyNumberFormat="1" applyFont="1" applyFill="1" applyBorder="1" applyAlignment="1" applyProtection="1">
      <alignment horizontal="right"/>
    </xf>
    <xf numFmtId="3" fontId="13" fillId="15" borderId="5" xfId="0" applyNumberFormat="1" applyFont="1" applyFill="1" applyBorder="1" applyAlignment="1" applyProtection="1">
      <alignment horizontal="right"/>
      <protection locked="0"/>
    </xf>
    <xf numFmtId="3" fontId="13" fillId="15" borderId="3" xfId="0" applyNumberFormat="1" applyFont="1" applyFill="1" applyBorder="1" applyAlignment="1" applyProtection="1">
      <alignment horizontal="right"/>
      <protection locked="0"/>
    </xf>
    <xf numFmtId="3" fontId="13" fillId="13" borderId="3" xfId="0" applyNumberFormat="1" applyFont="1" applyFill="1" applyBorder="1" applyAlignment="1" applyProtection="1">
      <alignment horizontal="right"/>
    </xf>
    <xf numFmtId="3" fontId="13" fillId="15" borderId="29" xfId="0" applyNumberFormat="1" applyFont="1" applyFill="1" applyBorder="1" applyAlignment="1" applyProtection="1">
      <alignment horizontal="right"/>
      <protection locked="0"/>
    </xf>
    <xf numFmtId="3" fontId="13" fillId="3" borderId="65" xfId="0" applyNumberFormat="1" applyFont="1" applyFill="1" applyBorder="1" applyAlignment="1" applyProtection="1">
      <alignment horizontal="right"/>
    </xf>
    <xf numFmtId="3" fontId="13" fillId="3" borderId="24" xfId="0" applyNumberFormat="1" applyFont="1" applyFill="1" applyBorder="1" applyAlignment="1" applyProtection="1"/>
    <xf numFmtId="3" fontId="13" fillId="3" borderId="25" xfId="0" applyNumberFormat="1" applyFont="1" applyFill="1" applyBorder="1" applyAlignment="1" applyProtection="1"/>
    <xf numFmtId="3" fontId="13" fillId="3" borderId="72" xfId="0" applyNumberFormat="1" applyFont="1" applyFill="1" applyBorder="1" applyAlignment="1" applyProtection="1"/>
    <xf numFmtId="3" fontId="13" fillId="3" borderId="26" xfId="0" applyNumberFormat="1" applyFont="1" applyFill="1" applyBorder="1" applyAlignment="1" applyProtection="1"/>
    <xf numFmtId="3" fontId="13" fillId="3" borderId="94" xfId="0" applyNumberFormat="1" applyFont="1" applyFill="1" applyBorder="1" applyAlignment="1" applyProtection="1">
      <alignment horizontal="right"/>
    </xf>
    <xf numFmtId="3" fontId="13" fillId="10" borderId="95" xfId="0" applyNumberFormat="1" applyFont="1" applyFill="1" applyBorder="1" applyAlignment="1" applyProtection="1">
      <alignment horizontal="right"/>
    </xf>
    <xf numFmtId="3" fontId="13" fillId="10" borderId="96" xfId="0" applyNumberFormat="1" applyFont="1" applyFill="1" applyBorder="1" applyAlignment="1" applyProtection="1">
      <alignment horizontal="right"/>
    </xf>
    <xf numFmtId="3" fontId="13" fillId="10" borderId="86" xfId="0" applyNumberFormat="1" applyFont="1" applyFill="1" applyBorder="1" applyAlignment="1" applyProtection="1">
      <alignment horizontal="right"/>
    </xf>
    <xf numFmtId="3" fontId="13" fillId="10" borderId="97" xfId="0" applyNumberFormat="1" applyFont="1" applyFill="1" applyBorder="1" applyAlignment="1" applyProtection="1">
      <alignment horizontal="right"/>
    </xf>
    <xf numFmtId="3" fontId="13" fillId="3" borderId="53" xfId="0" applyNumberFormat="1" applyFont="1" applyFill="1" applyBorder="1" applyAlignment="1" applyProtection="1">
      <alignment horizontal="right"/>
    </xf>
    <xf numFmtId="3" fontId="13" fillId="3" borderId="98" xfId="0" applyNumberFormat="1" applyFont="1" applyFill="1" applyBorder="1" applyAlignment="1" applyProtection="1">
      <alignment horizontal="right"/>
    </xf>
    <xf numFmtId="3" fontId="13" fillId="3" borderId="84" xfId="0" applyNumberFormat="1" applyFont="1" applyFill="1" applyBorder="1" applyAlignment="1" applyProtection="1">
      <alignment horizontal="right"/>
    </xf>
    <xf numFmtId="3" fontId="13" fillId="3" borderId="99" xfId="0" applyNumberFormat="1" applyFont="1" applyFill="1" applyBorder="1" applyAlignment="1" applyProtection="1">
      <alignment horizontal="right"/>
    </xf>
    <xf numFmtId="3" fontId="13" fillId="3" borderId="100" xfId="0" applyNumberFormat="1" applyFont="1" applyFill="1" applyBorder="1" applyAlignment="1" applyProtection="1">
      <alignment horizontal="right"/>
    </xf>
    <xf numFmtId="3" fontId="13" fillId="3" borderId="101" xfId="0" applyNumberFormat="1" applyFont="1" applyFill="1" applyBorder="1" applyAlignment="1" applyProtection="1">
      <alignment horizontal="right"/>
    </xf>
    <xf numFmtId="3" fontId="13" fillId="3" borderId="88" xfId="0" applyNumberFormat="1" applyFont="1" applyFill="1" applyBorder="1" applyAlignment="1" applyProtection="1">
      <alignment horizontal="right"/>
    </xf>
    <xf numFmtId="3" fontId="2" fillId="3" borderId="102" xfId="0" applyNumberFormat="1" applyFont="1" applyFill="1" applyBorder="1" applyProtection="1"/>
    <xf numFmtId="3" fontId="2" fillId="3" borderId="31" xfId="0" applyNumberFormat="1" applyFont="1" applyFill="1" applyBorder="1" applyProtection="1"/>
    <xf numFmtId="3" fontId="2" fillId="3" borderId="103" xfId="0" applyNumberFormat="1" applyFont="1" applyFill="1" applyBorder="1" applyProtection="1"/>
    <xf numFmtId="3" fontId="13" fillId="3" borderId="31" xfId="0" applyNumberFormat="1" applyFont="1" applyFill="1" applyBorder="1" applyProtection="1"/>
    <xf numFmtId="3" fontId="13" fillId="3" borderId="32" xfId="0" applyNumberFormat="1" applyFont="1" applyFill="1" applyBorder="1" applyProtection="1"/>
    <xf numFmtId="3" fontId="13" fillId="3" borderId="80" xfId="0" applyNumberFormat="1" applyFont="1" applyFill="1" applyBorder="1" applyProtection="1"/>
    <xf numFmtId="3" fontId="2" fillId="3" borderId="104" xfId="0" applyNumberFormat="1" applyFont="1" applyFill="1" applyBorder="1" applyProtection="1"/>
    <xf numFmtId="3" fontId="13" fillId="3" borderId="103" xfId="0" applyNumberFormat="1" applyFont="1" applyFill="1" applyBorder="1" applyAlignment="1" applyProtection="1">
      <alignment horizontal="right"/>
    </xf>
    <xf numFmtId="3" fontId="13" fillId="3" borderId="33" xfId="0" applyNumberFormat="1" applyFont="1" applyFill="1" applyBorder="1" applyAlignment="1" applyProtection="1">
      <alignment horizontal="right"/>
    </xf>
    <xf numFmtId="3" fontId="13" fillId="3" borderId="45" xfId="0" applyNumberFormat="1" applyFont="1" applyFill="1" applyBorder="1" applyAlignment="1" applyProtection="1">
      <alignment horizontal="right"/>
    </xf>
    <xf numFmtId="3" fontId="13" fillId="3" borderId="33" xfId="0" applyNumberFormat="1" applyFont="1" applyFill="1" applyBorder="1" applyAlignment="1" applyProtection="1"/>
    <xf numFmtId="3" fontId="13" fillId="3" borderId="45" xfId="0" applyNumberFormat="1" applyFont="1" applyFill="1" applyBorder="1" applyAlignment="1" applyProtection="1"/>
    <xf numFmtId="3" fontId="13" fillId="3" borderId="105" xfId="0" applyNumberFormat="1" applyFont="1" applyFill="1" applyBorder="1" applyAlignment="1" applyProtection="1">
      <alignment horizontal="right"/>
    </xf>
    <xf numFmtId="3" fontId="2" fillId="3" borderId="106" xfId="0" applyNumberFormat="1" applyFont="1" applyFill="1" applyBorder="1" applyAlignment="1" applyProtection="1">
      <alignment horizontal="right"/>
    </xf>
    <xf numFmtId="3" fontId="38" fillId="3" borderId="77" xfId="0" applyNumberFormat="1" applyFont="1" applyFill="1" applyBorder="1" applyAlignment="1" applyProtection="1">
      <alignment horizontal="right"/>
    </xf>
    <xf numFmtId="3" fontId="38" fillId="3" borderId="107" xfId="0" applyNumberFormat="1" applyFont="1" applyFill="1" applyBorder="1" applyAlignment="1" applyProtection="1">
      <alignment horizontal="right"/>
    </xf>
    <xf numFmtId="3" fontId="38" fillId="3" borderId="25" xfId="0" applyNumberFormat="1" applyFont="1" applyFill="1" applyBorder="1" applyAlignment="1" applyProtection="1">
      <alignment horizontal="right"/>
    </xf>
    <xf numFmtId="3" fontId="38" fillId="3" borderId="26" xfId="0" applyNumberFormat="1" applyFont="1" applyFill="1" applyBorder="1" applyAlignment="1" applyProtection="1">
      <alignment horizontal="right"/>
    </xf>
    <xf numFmtId="0" fontId="1" fillId="7" borderId="0" xfId="0" applyFont="1" applyFill="1" applyProtection="1"/>
    <xf numFmtId="3" fontId="1" fillId="2" borderId="0" xfId="0" applyNumberFormat="1" applyFont="1" applyFill="1" applyProtection="1"/>
    <xf numFmtId="3" fontId="1" fillId="0" borderId="0" xfId="0" applyNumberFormat="1" applyFont="1" applyProtection="1"/>
    <xf numFmtId="3" fontId="1" fillId="0" borderId="0" xfId="0" applyNumberFormat="1" applyFont="1" applyFill="1" applyBorder="1" applyProtection="1"/>
    <xf numFmtId="0" fontId="83" fillId="10" borderId="0" xfId="0" applyFont="1" applyFill="1" applyBorder="1" applyAlignment="1">
      <alignment horizontal="right" wrapText="1"/>
    </xf>
    <xf numFmtId="49" fontId="83" fillId="10" borderId="0" xfId="0" applyNumberFormat="1" applyFont="1" applyFill="1" applyBorder="1" applyAlignment="1">
      <alignment horizontal="right" wrapText="1"/>
    </xf>
    <xf numFmtId="0" fontId="0" fillId="10" borderId="67" xfId="0" applyFill="1" applyBorder="1"/>
    <xf numFmtId="0" fontId="78" fillId="10" borderId="27" xfId="0" applyFont="1" applyFill="1" applyBorder="1" applyAlignment="1">
      <alignment horizontal="right" wrapText="1"/>
    </xf>
    <xf numFmtId="0" fontId="0" fillId="10" borderId="0" xfId="0" applyFill="1" applyBorder="1"/>
    <xf numFmtId="3" fontId="17" fillId="10" borderId="0" xfId="0" applyNumberFormat="1" applyFont="1" applyFill="1" applyBorder="1" applyAlignment="1" applyProtection="1">
      <alignment horizontal="right"/>
    </xf>
    <xf numFmtId="49" fontId="42" fillId="10" borderId="27" xfId="0" applyNumberFormat="1" applyFont="1" applyFill="1" applyBorder="1" applyAlignment="1" applyProtection="1">
      <alignment horizontal="right"/>
    </xf>
    <xf numFmtId="49" fontId="42" fillId="10" borderId="0" xfId="0" applyNumberFormat="1" applyFont="1" applyFill="1" applyBorder="1" applyAlignment="1" applyProtection="1">
      <alignment horizontal="right"/>
    </xf>
    <xf numFmtId="2" fontId="80" fillId="10" borderId="27" xfId="5" applyNumberFormat="1" applyFill="1" applyBorder="1" applyAlignment="1" applyProtection="1">
      <alignment horizontal="left"/>
    </xf>
    <xf numFmtId="0" fontId="2" fillId="10" borderId="0" xfId="0" applyFont="1" applyFill="1" applyBorder="1" applyAlignment="1">
      <alignment horizontal="right" wrapText="1"/>
    </xf>
    <xf numFmtId="0" fontId="0" fillId="10" borderId="27" xfId="0" applyFill="1" applyBorder="1"/>
    <xf numFmtId="0" fontId="0" fillId="10" borderId="111" xfId="0" applyFill="1" applyBorder="1"/>
    <xf numFmtId="0" fontId="0" fillId="10" borderId="1" xfId="0" applyFill="1" applyBorder="1"/>
    <xf numFmtId="0" fontId="0" fillId="0" borderId="0" xfId="0" applyBorder="1"/>
    <xf numFmtId="0" fontId="0" fillId="0" borderId="67" xfId="0" applyBorder="1"/>
    <xf numFmtId="49" fontId="2" fillId="10" borderId="11" xfId="0" applyNumberFormat="1" applyFont="1" applyFill="1" applyBorder="1" applyAlignment="1" applyProtection="1"/>
    <xf numFmtId="49" fontId="2" fillId="10" borderId="76" xfId="0" applyNumberFormat="1" applyFont="1" applyFill="1" applyBorder="1" applyAlignment="1" applyProtection="1"/>
    <xf numFmtId="49" fontId="2" fillId="10" borderId="39" xfId="0" applyNumberFormat="1" applyFont="1" applyFill="1" applyBorder="1" applyAlignment="1" applyProtection="1"/>
    <xf numFmtId="49" fontId="2" fillId="10" borderId="78" xfId="0" applyNumberFormat="1" applyFont="1" applyFill="1" applyBorder="1" applyAlignment="1" applyProtection="1"/>
    <xf numFmtId="49" fontId="2" fillId="10" borderId="36" xfId="0" applyNumberFormat="1" applyFont="1" applyFill="1" applyBorder="1" applyAlignment="1" applyProtection="1"/>
    <xf numFmtId="0" fontId="17" fillId="0" borderId="0" xfId="0" applyFont="1" applyFill="1" applyBorder="1" applyAlignment="1" applyProtection="1">
      <alignment horizontal="center"/>
    </xf>
    <xf numFmtId="0" fontId="55" fillId="0" borderId="0" xfId="0" applyFont="1"/>
    <xf numFmtId="0" fontId="21" fillId="0" borderId="0" xfId="0" applyFont="1" applyAlignment="1">
      <alignment horizontal="left"/>
    </xf>
    <xf numFmtId="0" fontId="105" fillId="0" borderId="0" xfId="0" applyFont="1"/>
    <xf numFmtId="0" fontId="21" fillId="0" borderId="0" xfId="0" applyFont="1" applyAlignment="1">
      <alignment horizontal="right"/>
    </xf>
    <xf numFmtId="0" fontId="106" fillId="0" borderId="0" xfId="6" applyFont="1" applyProtection="1"/>
    <xf numFmtId="3" fontId="2" fillId="9" borderId="113" xfId="6" applyNumberFormat="1" applyFont="1" applyFill="1" applyBorder="1" applyProtection="1"/>
    <xf numFmtId="3" fontId="2" fillId="9" borderId="7" xfId="6" applyNumberFormat="1" applyFont="1" applyFill="1" applyBorder="1" applyProtection="1"/>
    <xf numFmtId="3" fontId="2" fillId="9" borderId="106" xfId="6" applyNumberFormat="1" applyFont="1" applyFill="1" applyBorder="1" applyProtection="1"/>
    <xf numFmtId="3" fontId="2" fillId="9" borderId="91" xfId="6" applyNumberFormat="1" applyFont="1" applyFill="1" applyBorder="1" applyProtection="1"/>
    <xf numFmtId="3" fontId="2" fillId="9" borderId="114" xfId="6" applyNumberFormat="1" applyFont="1" applyFill="1" applyBorder="1" applyProtection="1"/>
    <xf numFmtId="0" fontId="107" fillId="0" borderId="0" xfId="0" applyFont="1"/>
    <xf numFmtId="0" fontId="107" fillId="0" borderId="0" xfId="0" applyFont="1" applyBorder="1"/>
    <xf numFmtId="3" fontId="9" fillId="0" borderId="0" xfId="0" applyNumberFormat="1" applyFont="1" applyFill="1"/>
    <xf numFmtId="0" fontId="9" fillId="0" borderId="0" xfId="0" applyFont="1"/>
    <xf numFmtId="3" fontId="9" fillId="0" borderId="0" xfId="0" quotePrefix="1" applyNumberFormat="1" applyFont="1" applyAlignment="1">
      <alignment horizontal="right"/>
    </xf>
    <xf numFmtId="3" fontId="9" fillId="0" borderId="0" xfId="0" applyNumberFormat="1" applyFont="1" applyAlignment="1">
      <alignment horizontal="right"/>
    </xf>
    <xf numFmtId="0" fontId="9" fillId="0" borderId="0" xfId="0" applyFont="1" applyAlignment="1">
      <alignment horizontal="left"/>
    </xf>
    <xf numFmtId="0" fontId="24" fillId="0" borderId="0" xfId="0" applyFont="1"/>
    <xf numFmtId="3" fontId="9" fillId="0" borderId="0" xfId="0" applyNumberFormat="1" applyFont="1"/>
    <xf numFmtId="3" fontId="9" fillId="0" borderId="0" xfId="0" quotePrefix="1" applyNumberFormat="1" applyFont="1"/>
    <xf numFmtId="0" fontId="21" fillId="0" borderId="0" xfId="0" applyFont="1" applyFill="1"/>
    <xf numFmtId="0" fontId="108" fillId="0" borderId="0" xfId="6" applyFont="1" applyProtection="1"/>
    <xf numFmtId="3" fontId="2" fillId="3" borderId="18" xfId="0" applyNumberFormat="1" applyFont="1" applyFill="1" applyBorder="1" applyAlignment="1" applyProtection="1">
      <alignment horizontal="right"/>
    </xf>
    <xf numFmtId="3" fontId="2" fillId="9" borderId="22" xfId="0" applyNumberFormat="1" applyFont="1" applyFill="1" applyBorder="1" applyAlignment="1" applyProtection="1">
      <alignment horizontal="right"/>
    </xf>
    <xf numFmtId="3" fontId="2" fillId="3" borderId="115" xfId="0" applyNumberFormat="1" applyFont="1" applyFill="1" applyBorder="1" applyAlignment="1" applyProtection="1">
      <alignment horizontal="right"/>
    </xf>
    <xf numFmtId="3" fontId="2" fillId="2" borderId="21" xfId="0" applyNumberFormat="1" applyFont="1" applyFill="1" applyBorder="1" applyAlignment="1" applyProtection="1">
      <alignment horizontal="right"/>
      <protection locked="0"/>
    </xf>
    <xf numFmtId="3" fontId="2" fillId="2" borderId="22" xfId="0" applyNumberFormat="1" applyFont="1" applyFill="1" applyBorder="1" applyAlignment="1" applyProtection="1">
      <alignment horizontal="right"/>
      <protection locked="0"/>
    </xf>
    <xf numFmtId="3" fontId="2" fillId="3" borderId="116" xfId="0" applyNumberFormat="1" applyFont="1" applyFill="1" applyBorder="1" applyAlignment="1" applyProtection="1">
      <alignment horizontal="right"/>
    </xf>
    <xf numFmtId="3" fontId="21" fillId="0" borderId="0" xfId="0" applyNumberFormat="1" applyFont="1" applyAlignment="1">
      <alignment horizontal="right"/>
    </xf>
    <xf numFmtId="3" fontId="2" fillId="17" borderId="18" xfId="0" applyNumberFormat="1" applyFont="1" applyFill="1" applyBorder="1" applyAlignment="1" applyProtection="1">
      <alignment horizontal="right"/>
      <protection locked="0"/>
    </xf>
    <xf numFmtId="3" fontId="13" fillId="3" borderId="108" xfId="0" applyNumberFormat="1" applyFont="1" applyFill="1" applyBorder="1" applyAlignment="1" applyProtection="1">
      <alignment horizontal="right"/>
    </xf>
    <xf numFmtId="3" fontId="13" fillId="10" borderId="30" xfId="0" applyNumberFormat="1" applyFont="1" applyFill="1" applyBorder="1" applyAlignment="1" applyProtection="1">
      <alignment horizontal="right"/>
    </xf>
    <xf numFmtId="3" fontId="13" fillId="10" borderId="31" xfId="0" applyNumberFormat="1" applyFont="1" applyFill="1" applyBorder="1" applyAlignment="1" applyProtection="1">
      <alignment horizontal="right"/>
    </xf>
    <xf numFmtId="3" fontId="13" fillId="10" borderId="23" xfId="0" applyNumberFormat="1" applyFont="1" applyFill="1" applyBorder="1" applyAlignment="1" applyProtection="1">
      <alignment horizontal="right"/>
    </xf>
    <xf numFmtId="3" fontId="13" fillId="10" borderId="9" xfId="0" applyNumberFormat="1" applyFont="1" applyFill="1" applyBorder="1" applyAlignment="1" applyProtection="1">
      <alignment horizontal="right"/>
    </xf>
    <xf numFmtId="3" fontId="13" fillId="10" borderId="20" xfId="0" applyNumberFormat="1" applyFont="1" applyFill="1" applyBorder="1" applyAlignment="1" applyProtection="1">
      <alignment horizontal="right"/>
    </xf>
    <xf numFmtId="3" fontId="13" fillId="10" borderId="10" xfId="0" applyNumberFormat="1" applyFont="1" applyFill="1" applyBorder="1" applyAlignment="1" applyProtection="1">
      <alignment horizontal="right"/>
    </xf>
    <xf numFmtId="3" fontId="13" fillId="10" borderId="14" xfId="0" applyNumberFormat="1" applyFont="1" applyFill="1" applyBorder="1" applyAlignment="1" applyProtection="1">
      <alignment horizontal="right"/>
    </xf>
    <xf numFmtId="3" fontId="13" fillId="2" borderId="55" xfId="0" applyNumberFormat="1" applyFont="1" applyFill="1" applyBorder="1" applyAlignment="1" applyProtection="1">
      <alignment horizontal="right"/>
      <protection locked="0"/>
    </xf>
    <xf numFmtId="3" fontId="13" fillId="2" borderId="54" xfId="0" applyNumberFormat="1" applyFont="1" applyFill="1" applyBorder="1" applyAlignment="1" applyProtection="1">
      <alignment horizontal="right"/>
      <protection locked="0"/>
    </xf>
    <xf numFmtId="3" fontId="13" fillId="2" borderId="65" xfId="0" applyNumberFormat="1" applyFont="1" applyFill="1" applyBorder="1" applyAlignment="1" applyProtection="1">
      <alignment horizontal="right"/>
      <protection locked="0"/>
    </xf>
    <xf numFmtId="3" fontId="13" fillId="10" borderId="101" xfId="0" applyNumberFormat="1" applyFont="1" applyFill="1" applyBorder="1" applyAlignment="1" applyProtection="1">
      <alignment horizontal="right"/>
    </xf>
    <xf numFmtId="3" fontId="13" fillId="10" borderId="117" xfId="0" applyNumberFormat="1" applyFont="1" applyFill="1" applyBorder="1" applyAlignment="1" applyProtection="1">
      <alignment horizontal="right"/>
    </xf>
    <xf numFmtId="3" fontId="13" fillId="10" borderId="118" xfId="0" applyNumberFormat="1" applyFont="1" applyFill="1" applyBorder="1" applyAlignment="1" applyProtection="1">
      <alignment horizontal="right"/>
    </xf>
    <xf numFmtId="3" fontId="13" fillId="10" borderId="88" xfId="0" applyNumberFormat="1" applyFont="1" applyFill="1" applyBorder="1" applyAlignment="1" applyProtection="1">
      <alignment horizontal="right"/>
    </xf>
    <xf numFmtId="3" fontId="13" fillId="10" borderId="4" xfId="0" applyNumberFormat="1" applyFont="1" applyFill="1" applyBorder="1" applyAlignment="1" applyProtection="1">
      <alignment horizontal="right"/>
    </xf>
    <xf numFmtId="3" fontId="13" fillId="10" borderId="3" xfId="0" applyNumberFormat="1" applyFont="1" applyFill="1" applyBorder="1" applyAlignment="1" applyProtection="1">
      <alignment horizontal="right"/>
    </xf>
    <xf numFmtId="3" fontId="13" fillId="10" borderId="2" xfId="0" applyNumberFormat="1" applyFont="1" applyFill="1" applyBorder="1" applyAlignment="1" applyProtection="1">
      <alignment horizontal="right"/>
    </xf>
    <xf numFmtId="3" fontId="13" fillId="10" borderId="18" xfId="0" applyNumberFormat="1" applyFont="1" applyFill="1" applyBorder="1" applyAlignment="1" applyProtection="1">
      <alignment horizontal="right"/>
    </xf>
    <xf numFmtId="3" fontId="13" fillId="10" borderId="98" xfId="0" applyNumberFormat="1" applyFont="1" applyFill="1" applyBorder="1" applyAlignment="1" applyProtection="1">
      <alignment horizontal="right"/>
    </xf>
    <xf numFmtId="3" fontId="13" fillId="10" borderId="21" xfId="0" applyNumberFormat="1" applyFont="1" applyFill="1" applyBorder="1" applyAlignment="1" applyProtection="1">
      <alignment horizontal="right"/>
    </xf>
    <xf numFmtId="3" fontId="13" fillId="10" borderId="47" xfId="0" applyNumberFormat="1" applyFont="1" applyFill="1" applyBorder="1" applyAlignment="1" applyProtection="1">
      <alignment horizontal="right"/>
    </xf>
    <xf numFmtId="3" fontId="13" fillId="10" borderId="119" xfId="0" applyNumberFormat="1" applyFont="1" applyFill="1" applyBorder="1" applyAlignment="1" applyProtection="1">
      <alignment horizontal="right"/>
    </xf>
    <xf numFmtId="3" fontId="13" fillId="10" borderId="28" xfId="0" applyNumberFormat="1" applyFont="1" applyFill="1" applyBorder="1" applyAlignment="1" applyProtection="1">
      <alignment horizontal="right"/>
    </xf>
    <xf numFmtId="3" fontId="13" fillId="10" borderId="103" xfId="0" applyNumberFormat="1" applyFont="1" applyFill="1" applyBorder="1" applyAlignment="1" applyProtection="1">
      <alignment horizontal="right"/>
    </xf>
    <xf numFmtId="3" fontId="13" fillId="10" borderId="29" xfId="0" applyNumberFormat="1" applyFont="1" applyFill="1" applyBorder="1" applyAlignment="1" applyProtection="1">
      <alignment horizontal="right"/>
    </xf>
    <xf numFmtId="3" fontId="13" fillId="10" borderId="32" xfId="0" applyNumberFormat="1" applyFont="1" applyFill="1" applyBorder="1" applyAlignment="1" applyProtection="1">
      <alignment horizontal="right"/>
    </xf>
    <xf numFmtId="3" fontId="13" fillId="10" borderId="22" xfId="0" applyNumberFormat="1" applyFont="1" applyFill="1" applyBorder="1" applyAlignment="1" applyProtection="1">
      <alignment horizontal="right"/>
    </xf>
    <xf numFmtId="3" fontId="13" fillId="10" borderId="5" xfId="0" applyNumberFormat="1" applyFont="1" applyFill="1" applyBorder="1" applyAlignment="1" applyProtection="1">
      <alignment horizontal="right"/>
    </xf>
    <xf numFmtId="3" fontId="13" fillId="10" borderId="19" xfId="0" applyNumberFormat="1" applyFont="1" applyFill="1" applyBorder="1" applyAlignment="1" applyProtection="1">
      <alignment horizontal="right"/>
    </xf>
    <xf numFmtId="3" fontId="13" fillId="10" borderId="6" xfId="0" applyNumberFormat="1" applyFont="1" applyFill="1" applyBorder="1" applyAlignment="1" applyProtection="1">
      <alignment horizontal="right"/>
    </xf>
    <xf numFmtId="3" fontId="13" fillId="10" borderId="7" xfId="0" applyNumberFormat="1" applyFont="1" applyFill="1" applyBorder="1" applyAlignment="1" applyProtection="1">
      <alignment horizontal="right"/>
    </xf>
    <xf numFmtId="0" fontId="25" fillId="10" borderId="96" xfId="0" applyFont="1" applyFill="1" applyBorder="1" applyProtection="1"/>
    <xf numFmtId="0" fontId="25" fillId="10" borderId="120" xfId="0" applyFont="1" applyFill="1" applyBorder="1" applyProtection="1"/>
    <xf numFmtId="0" fontId="25" fillId="10" borderId="121" xfId="0" applyFont="1" applyFill="1" applyBorder="1" applyProtection="1"/>
    <xf numFmtId="0" fontId="25" fillId="10" borderId="65" xfId="0" applyFont="1" applyFill="1" applyBorder="1" applyProtection="1"/>
    <xf numFmtId="0" fontId="25" fillId="10" borderId="82" xfId="0" applyFont="1" applyFill="1" applyBorder="1" applyProtection="1"/>
    <xf numFmtId="0" fontId="25" fillId="10" borderId="53" xfId="0" applyFont="1" applyFill="1" applyBorder="1" applyProtection="1"/>
    <xf numFmtId="0" fontId="25" fillId="10" borderId="98" xfId="0" applyFont="1" applyFill="1" applyBorder="1" applyProtection="1"/>
    <xf numFmtId="0" fontId="25" fillId="10" borderId="118" xfId="0" applyFont="1" applyFill="1" applyBorder="1" applyProtection="1"/>
    <xf numFmtId="0" fontId="25" fillId="10" borderId="21" xfId="0" applyFont="1" applyFill="1" applyBorder="1" applyProtection="1"/>
    <xf numFmtId="0" fontId="25" fillId="10" borderId="2" xfId="0" applyFont="1" applyFill="1" applyBorder="1" applyProtection="1"/>
    <xf numFmtId="0" fontId="25" fillId="10" borderId="47" xfId="0" applyFont="1" applyFill="1" applyBorder="1" applyProtection="1"/>
    <xf numFmtId="0" fontId="25" fillId="10" borderId="119" xfId="0" applyFont="1" applyFill="1" applyBorder="1" applyProtection="1"/>
    <xf numFmtId="0" fontId="25" fillId="10" borderId="28" xfId="0" applyFont="1" applyFill="1" applyBorder="1" applyProtection="1"/>
    <xf numFmtId="0" fontId="25" fillId="10" borderId="103" xfId="0" applyFont="1" applyFill="1" applyBorder="1" applyProtection="1"/>
    <xf numFmtId="3" fontId="13" fillId="10" borderId="109" xfId="0" applyNumberFormat="1" applyFont="1" applyFill="1" applyBorder="1" applyAlignment="1" applyProtection="1">
      <alignment horizontal="right"/>
    </xf>
    <xf numFmtId="3" fontId="13" fillId="2" borderId="82" xfId="0" applyNumberFormat="1" applyFont="1" applyFill="1" applyBorder="1" applyAlignment="1" applyProtection="1">
      <alignment horizontal="right"/>
      <protection locked="0"/>
    </xf>
    <xf numFmtId="0" fontId="25" fillId="10" borderId="7" xfId="0" applyFont="1" applyFill="1" applyBorder="1" applyProtection="1"/>
    <xf numFmtId="0" fontId="25" fillId="10" borderId="6" xfId="0" applyFont="1" applyFill="1" applyBorder="1" applyProtection="1"/>
    <xf numFmtId="0" fontId="25" fillId="10" borderId="5" xfId="0" applyFont="1" applyFill="1" applyBorder="1" applyProtection="1"/>
    <xf numFmtId="3" fontId="13" fillId="18" borderId="5" xfId="0" applyNumberFormat="1" applyFont="1" applyFill="1" applyBorder="1" applyAlignment="1" applyProtection="1">
      <alignment horizontal="right"/>
    </xf>
    <xf numFmtId="3" fontId="13" fillId="18" borderId="6" xfId="0" applyNumberFormat="1" applyFont="1" applyFill="1" applyBorder="1" applyAlignment="1" applyProtection="1">
      <alignment horizontal="right"/>
    </xf>
    <xf numFmtId="0" fontId="25" fillId="10" borderId="19" xfId="0" applyFont="1" applyFill="1" applyBorder="1" applyProtection="1"/>
    <xf numFmtId="0" fontId="25" fillId="10" borderId="22" xfId="0" applyFont="1" applyFill="1" applyBorder="1" applyProtection="1"/>
    <xf numFmtId="0" fontId="25" fillId="10" borderId="29" xfId="0" applyFont="1" applyFill="1" applyBorder="1" applyProtection="1"/>
    <xf numFmtId="0" fontId="25" fillId="10" borderId="32" xfId="0" applyFont="1" applyFill="1" applyBorder="1" applyProtection="1"/>
    <xf numFmtId="3" fontId="13" fillId="2" borderId="122" xfId="0" applyNumberFormat="1" applyFont="1" applyFill="1" applyBorder="1" applyAlignment="1" applyProtection="1">
      <alignment horizontal="right"/>
    </xf>
    <xf numFmtId="3" fontId="13" fillId="10" borderId="14" xfId="0" applyNumberFormat="1" applyFont="1" applyFill="1" applyBorder="1" applyAlignment="1" applyProtection="1">
      <alignment horizontal="left"/>
    </xf>
    <xf numFmtId="3" fontId="13" fillId="10" borderId="10" xfId="0" applyNumberFormat="1" applyFont="1" applyFill="1" applyBorder="1" applyAlignment="1" applyProtection="1">
      <alignment horizontal="left"/>
    </xf>
    <xf numFmtId="3" fontId="13" fillId="10" borderId="9" xfId="0" applyNumberFormat="1" applyFont="1" applyFill="1" applyBorder="1" applyAlignment="1" applyProtection="1">
      <alignment horizontal="left"/>
    </xf>
    <xf numFmtId="3" fontId="13" fillId="10" borderId="20" xfId="0" applyNumberFormat="1" applyFont="1" applyFill="1" applyBorder="1" applyAlignment="1" applyProtection="1">
      <alignment horizontal="left"/>
    </xf>
    <xf numFmtId="3" fontId="13" fillId="10" borderId="23" xfId="0" applyNumberFormat="1" applyFont="1" applyFill="1" applyBorder="1" applyAlignment="1" applyProtection="1">
      <alignment horizontal="left"/>
    </xf>
    <xf numFmtId="3" fontId="13" fillId="19" borderId="20" xfId="0" applyNumberFormat="1" applyFont="1" applyFill="1" applyBorder="1" applyAlignment="1" applyProtection="1">
      <alignment horizontal="left"/>
    </xf>
    <xf numFmtId="3" fontId="13" fillId="10" borderId="30" xfId="0" applyNumberFormat="1" applyFont="1" applyFill="1" applyBorder="1" applyAlignment="1" applyProtection="1">
      <alignment horizontal="left"/>
    </xf>
    <xf numFmtId="3" fontId="13" fillId="10" borderId="31" xfId="0" applyNumberFormat="1" applyFont="1" applyFill="1" applyBorder="1" applyAlignment="1" applyProtection="1">
      <alignment horizontal="left"/>
    </xf>
    <xf numFmtId="0" fontId="101" fillId="0" borderId="11" xfId="6" applyFont="1" applyBorder="1" applyProtection="1"/>
    <xf numFmtId="0" fontId="24" fillId="0" borderId="87" xfId="6" applyBorder="1" applyProtection="1"/>
    <xf numFmtId="0" fontId="101" fillId="0" borderId="74" xfId="6" applyFont="1" applyBorder="1" applyProtection="1"/>
    <xf numFmtId="49" fontId="109" fillId="7" borderId="0" xfId="0" applyNumberFormat="1" applyFont="1" applyFill="1" applyProtection="1"/>
    <xf numFmtId="0" fontId="109" fillId="7" borderId="0" xfId="0" applyFont="1" applyFill="1" applyProtection="1"/>
    <xf numFmtId="49" fontId="111" fillId="7" borderId="0" xfId="0" applyNumberFormat="1" applyFont="1" applyFill="1" applyProtection="1"/>
    <xf numFmtId="0" fontId="111" fillId="7" borderId="0" xfId="0" applyFont="1" applyFill="1" applyProtection="1"/>
    <xf numFmtId="0" fontId="0" fillId="7" borderId="0" xfId="0" applyFill="1" applyAlignment="1" applyProtection="1">
      <alignment horizontal="right"/>
    </xf>
    <xf numFmtId="0" fontId="112" fillId="7" borderId="0" xfId="0" applyFont="1" applyFill="1" applyProtection="1"/>
    <xf numFmtId="49" fontId="111" fillId="7" borderId="0" xfId="0" applyNumberFormat="1" applyFont="1" applyFill="1" applyAlignment="1" applyProtection="1">
      <alignment horizontal="right"/>
    </xf>
    <xf numFmtId="49" fontId="110" fillId="7" borderId="0" xfId="0" applyNumberFormat="1" applyFont="1" applyFill="1" applyAlignment="1" applyProtection="1">
      <alignment horizontal="right"/>
    </xf>
    <xf numFmtId="0" fontId="110" fillId="7" borderId="0" xfId="0" applyFont="1" applyFill="1" applyAlignment="1" applyProtection="1">
      <alignment horizontal="left"/>
    </xf>
    <xf numFmtId="49" fontId="111" fillId="7" borderId="0" xfId="6" applyNumberFormat="1" applyFont="1" applyFill="1" applyBorder="1" applyAlignment="1" applyProtection="1">
      <alignment horizontal="left"/>
    </xf>
    <xf numFmtId="0" fontId="111" fillId="7" borderId="0" xfId="6" applyFont="1" applyFill="1" applyProtection="1"/>
    <xf numFmtId="49" fontId="111" fillId="7" borderId="0" xfId="0" applyNumberFormat="1" applyFont="1" applyFill="1" applyAlignment="1" applyProtection="1"/>
    <xf numFmtId="0" fontId="111" fillId="7" borderId="0" xfId="0" applyFont="1" applyFill="1" applyAlignment="1" applyProtection="1"/>
    <xf numFmtId="3" fontId="2" fillId="0" borderId="18" xfId="0" applyNumberFormat="1" applyFont="1" applyFill="1" applyBorder="1" applyAlignment="1" applyProtection="1">
      <alignment horizontal="right"/>
      <protection locked="0"/>
    </xf>
    <xf numFmtId="3" fontId="54" fillId="0" borderId="39" xfId="0" applyNumberFormat="1" applyFont="1" applyFill="1" applyBorder="1" applyProtection="1"/>
    <xf numFmtId="3" fontId="7" fillId="0" borderId="39" xfId="0" applyNumberFormat="1" applyFont="1" applyFill="1" applyBorder="1" applyProtection="1"/>
    <xf numFmtId="3" fontId="3" fillId="0" borderId="67" xfId="0" applyNumberFormat="1" applyFont="1" applyFill="1" applyBorder="1" applyAlignment="1" applyProtection="1">
      <alignment horizontal="right"/>
    </xf>
    <xf numFmtId="3" fontId="37" fillId="0" borderId="39" xfId="0" applyNumberFormat="1" applyFont="1" applyFill="1" applyBorder="1" applyAlignment="1" applyProtection="1">
      <alignment horizontal="right"/>
    </xf>
    <xf numFmtId="0" fontId="7" fillId="0" borderId="124" xfId="0" applyFont="1" applyFill="1" applyBorder="1" applyProtection="1"/>
    <xf numFmtId="0" fontId="88" fillId="2" borderId="67" xfId="12" applyFont="1" applyFill="1" applyBorder="1" applyProtection="1"/>
    <xf numFmtId="0" fontId="7" fillId="0" borderId="39" xfId="0" applyFont="1" applyFill="1" applyBorder="1" applyProtection="1"/>
    <xf numFmtId="0" fontId="114" fillId="0" borderId="125" xfId="0" applyFont="1" applyFill="1" applyBorder="1" applyProtection="1"/>
    <xf numFmtId="0" fontId="114" fillId="0" borderId="50" xfId="0" applyFont="1" applyFill="1" applyBorder="1" applyProtection="1"/>
    <xf numFmtId="0" fontId="114" fillId="0" borderId="37" xfId="0" applyFont="1" applyFill="1" applyBorder="1" applyProtection="1"/>
    <xf numFmtId="0" fontId="114" fillId="0" borderId="0" xfId="0" applyFont="1" applyFill="1" applyBorder="1" applyProtection="1"/>
    <xf numFmtId="0" fontId="115" fillId="0" borderId="0" xfId="0" applyFont="1" applyFill="1" applyBorder="1" applyProtection="1"/>
    <xf numFmtId="3" fontId="13" fillId="3" borderId="8" xfId="0" applyNumberFormat="1" applyFont="1" applyFill="1" applyBorder="1" applyAlignment="1" applyProtection="1">
      <alignment horizontal="right"/>
    </xf>
    <xf numFmtId="3" fontId="37" fillId="0" borderId="0" xfId="6" quotePrefix="1" applyNumberFormat="1" applyFont="1" applyFill="1" applyBorder="1" applyAlignment="1" applyProtection="1"/>
    <xf numFmtId="3" fontId="64" fillId="0" borderId="0" xfId="6" quotePrefix="1" applyNumberFormat="1" applyFont="1" applyFill="1" applyBorder="1" applyAlignment="1" applyProtection="1"/>
    <xf numFmtId="3" fontId="37" fillId="2" borderId="39" xfId="0" applyNumberFormat="1" applyFont="1" applyFill="1" applyBorder="1" applyAlignment="1" applyProtection="1">
      <alignment horizontal="left"/>
    </xf>
    <xf numFmtId="0" fontId="0" fillId="0" borderId="0" xfId="0" applyFill="1"/>
    <xf numFmtId="0" fontId="5" fillId="0" borderId="67" xfId="10" applyFont="1" applyFill="1" applyBorder="1" applyProtection="1"/>
    <xf numFmtId="0" fontId="5" fillId="0" borderId="0" xfId="10" applyFont="1" applyFill="1" applyProtection="1"/>
    <xf numFmtId="0" fontId="97" fillId="0" borderId="0" xfId="11" applyFont="1" applyFill="1"/>
    <xf numFmtId="3" fontId="49" fillId="0" borderId="0" xfId="10" applyNumberFormat="1" applyFont="1" applyFill="1" applyAlignment="1" applyProtection="1">
      <alignment horizontal="center"/>
    </xf>
    <xf numFmtId="0" fontId="0" fillId="0" borderId="0" xfId="0" applyFill="1" applyBorder="1" applyAlignment="1">
      <alignment vertical="top"/>
    </xf>
    <xf numFmtId="0" fontId="0" fillId="0" borderId="0" xfId="0" applyFill="1" applyBorder="1"/>
    <xf numFmtId="0" fontId="49" fillId="0" borderId="0" xfId="10" applyFont="1" applyFill="1" applyProtection="1"/>
    <xf numFmtId="0" fontId="96" fillId="0" borderId="67" xfId="10" applyFont="1" applyFill="1" applyBorder="1" applyProtection="1"/>
    <xf numFmtId="0" fontId="119" fillId="2" borderId="0" xfId="11" applyFont="1" applyFill="1"/>
    <xf numFmtId="3" fontId="122" fillId="2" borderId="0" xfId="0" applyNumberFormat="1" applyFont="1" applyFill="1" applyBorder="1" applyAlignment="1" applyProtection="1">
      <alignment horizontal="right"/>
    </xf>
    <xf numFmtId="3" fontId="122" fillId="5" borderId="0" xfId="0" applyNumberFormat="1" applyFont="1" applyFill="1" applyBorder="1" applyAlignment="1" applyProtection="1">
      <alignment horizontal="right"/>
    </xf>
    <xf numFmtId="3" fontId="122" fillId="4" borderId="0" xfId="0" applyNumberFormat="1" applyFont="1" applyFill="1" applyBorder="1" applyAlignment="1" applyProtection="1">
      <alignment horizontal="right"/>
    </xf>
    <xf numFmtId="3" fontId="122" fillId="6" borderId="0" xfId="0" applyNumberFormat="1" applyFont="1" applyFill="1" applyBorder="1" applyAlignment="1" applyProtection="1">
      <alignment horizontal="right"/>
    </xf>
    <xf numFmtId="0" fontId="123" fillId="0" borderId="0" xfId="0" applyFont="1" applyFill="1" applyBorder="1" applyProtection="1"/>
    <xf numFmtId="1" fontId="21" fillId="0" borderId="0" xfId="0" applyNumberFormat="1" applyFont="1" applyAlignment="1">
      <alignment horizontal="right"/>
    </xf>
    <xf numFmtId="0" fontId="9" fillId="0" borderId="0" xfId="0" applyFont="1" applyFill="1" applyAlignment="1">
      <alignment horizontal="left"/>
    </xf>
    <xf numFmtId="0" fontId="21" fillId="0" borderId="0" xfId="0" applyFont="1" applyFill="1" applyAlignment="1">
      <alignment horizontal="right"/>
    </xf>
    <xf numFmtId="0" fontId="24" fillId="0" borderId="0" xfId="0" applyFont="1" applyFill="1"/>
    <xf numFmtId="1" fontId="21" fillId="0" borderId="0" xfId="0" applyNumberFormat="1" applyFont="1" applyFill="1" applyAlignment="1">
      <alignment horizontal="right"/>
    </xf>
    <xf numFmtId="3" fontId="9" fillId="0" borderId="0" xfId="0" quotePrefix="1" applyNumberFormat="1" applyFont="1" applyFill="1"/>
    <xf numFmtId="49" fontId="3" fillId="23" borderId="127" xfId="0" applyNumberFormat="1" applyFont="1" applyFill="1" applyBorder="1" applyAlignment="1" applyProtection="1">
      <alignment horizontal="center"/>
    </xf>
    <xf numFmtId="0" fontId="5" fillId="23" borderId="13" xfId="0" applyFont="1" applyFill="1" applyBorder="1" applyProtection="1"/>
    <xf numFmtId="49" fontId="3" fillId="23" borderId="5" xfId="0" applyNumberFormat="1" applyFont="1" applyFill="1" applyBorder="1" applyAlignment="1" applyProtection="1">
      <alignment horizontal="center" wrapText="1"/>
    </xf>
    <xf numFmtId="49" fontId="3" fillId="23" borderId="84" xfId="0" applyNumberFormat="1" applyFont="1" applyFill="1" applyBorder="1" applyAlignment="1" applyProtection="1">
      <alignment horizontal="center" wrapText="1"/>
    </xf>
    <xf numFmtId="0" fontId="8" fillId="23" borderId="9" xfId="0" applyFont="1" applyFill="1" applyBorder="1" applyAlignment="1" applyProtection="1">
      <alignment horizontal="center" wrapText="1"/>
    </xf>
    <xf numFmtId="49" fontId="3" fillId="23" borderId="2" xfId="0" applyNumberFormat="1" applyFont="1" applyFill="1" applyBorder="1" applyAlignment="1" applyProtection="1">
      <alignment horizontal="center" wrapText="1"/>
    </xf>
    <xf numFmtId="0" fontId="8" fillId="23" borderId="5" xfId="0" applyFont="1" applyFill="1" applyBorder="1" applyAlignment="1" applyProtection="1">
      <alignment horizontal="center"/>
    </xf>
    <xf numFmtId="0" fontId="3" fillId="23" borderId="68" xfId="0" applyFont="1" applyFill="1" applyBorder="1" applyAlignment="1" applyProtection="1">
      <alignment horizontal="center"/>
    </xf>
    <xf numFmtId="3" fontId="3" fillId="23" borderId="128" xfId="0" applyNumberFormat="1" applyFont="1" applyFill="1" applyBorder="1" applyAlignment="1" applyProtection="1"/>
    <xf numFmtId="0" fontId="3" fillId="23" borderId="23" xfId="0" applyFont="1" applyFill="1" applyBorder="1" applyAlignment="1" applyProtection="1">
      <alignment horizontal="center"/>
    </xf>
    <xf numFmtId="0" fontId="3" fillId="23" borderId="9" xfId="0" applyFont="1" applyFill="1" applyBorder="1" applyAlignment="1" applyProtection="1">
      <alignment horizontal="center"/>
    </xf>
    <xf numFmtId="0" fontId="3" fillId="23" borderId="129" xfId="0" applyFont="1" applyFill="1" applyBorder="1" applyAlignment="1" applyProtection="1">
      <alignment horizontal="center"/>
    </xf>
    <xf numFmtId="0" fontId="8" fillId="23" borderId="13" xfId="0" applyFont="1" applyFill="1" applyBorder="1" applyAlignment="1" applyProtection="1">
      <alignment horizontal="center"/>
    </xf>
    <xf numFmtId="0" fontId="3" fillId="23" borderId="22" xfId="0" applyFont="1" applyFill="1" applyBorder="1" applyAlignment="1" applyProtection="1">
      <alignment horizontal="center"/>
    </xf>
    <xf numFmtId="0" fontId="8" fillId="23" borderId="5" xfId="0" applyFont="1" applyFill="1" applyBorder="1" applyAlignment="1" applyProtection="1">
      <alignment wrapText="1"/>
    </xf>
    <xf numFmtId="0" fontId="3" fillId="23" borderId="21" xfId="0" applyFont="1" applyFill="1" applyBorder="1" applyAlignment="1" applyProtection="1">
      <alignment horizontal="center"/>
    </xf>
    <xf numFmtId="0" fontId="3" fillId="23" borderId="2" xfId="0" applyFont="1" applyFill="1" applyBorder="1" applyProtection="1"/>
    <xf numFmtId="0" fontId="3" fillId="23" borderId="130" xfId="0" applyFont="1" applyFill="1" applyBorder="1" applyAlignment="1" applyProtection="1">
      <alignment horizontal="center"/>
    </xf>
    <xf numFmtId="1" fontId="3" fillId="23" borderId="15" xfId="0" applyNumberFormat="1" applyFont="1" applyFill="1" applyBorder="1" applyAlignment="1" applyProtection="1">
      <alignment horizontal="center"/>
    </xf>
    <xf numFmtId="0" fontId="3" fillId="23" borderId="15" xfId="0" applyFont="1" applyFill="1" applyBorder="1" applyProtection="1"/>
    <xf numFmtId="1" fontId="3" fillId="23" borderId="5" xfId="0" applyNumberFormat="1" applyFont="1" applyFill="1" applyBorder="1" applyAlignment="1" applyProtection="1">
      <alignment horizontal="center"/>
    </xf>
    <xf numFmtId="0" fontId="3" fillId="23" borderId="5" xfId="0" applyFont="1" applyFill="1" applyBorder="1" applyProtection="1"/>
    <xf numFmtId="0" fontId="3" fillId="23" borderId="50" xfId="0" applyFont="1" applyFill="1" applyBorder="1" applyAlignment="1" applyProtection="1">
      <alignment horizontal="center"/>
    </xf>
    <xf numFmtId="1" fontId="3" fillId="23" borderId="2" xfId="0" applyNumberFormat="1" applyFont="1" applyFill="1" applyBorder="1" applyAlignment="1" applyProtection="1">
      <alignment horizontal="center"/>
    </xf>
    <xf numFmtId="0" fontId="3" fillId="23" borderId="24" xfId="0" applyFont="1" applyFill="1" applyBorder="1" applyAlignment="1" applyProtection="1">
      <alignment horizontal="center"/>
    </xf>
    <xf numFmtId="1" fontId="5" fillId="23" borderId="13" xfId="0" applyNumberFormat="1" applyFont="1" applyFill="1" applyBorder="1" applyAlignment="1" applyProtection="1">
      <alignment horizontal="center"/>
    </xf>
    <xf numFmtId="0" fontId="8" fillId="23" borderId="131" xfId="0" applyFont="1" applyFill="1" applyBorder="1" applyAlignment="1" applyProtection="1">
      <alignment horizontal="center"/>
    </xf>
    <xf numFmtId="1" fontId="8" fillId="23" borderId="2" xfId="0" applyNumberFormat="1" applyFont="1" applyFill="1" applyBorder="1" applyAlignment="1" applyProtection="1">
      <alignment horizontal="center"/>
    </xf>
    <xf numFmtId="0" fontId="8" fillId="23" borderId="2" xfId="0" applyFont="1" applyFill="1" applyBorder="1" applyProtection="1"/>
    <xf numFmtId="1" fontId="16" fillId="23" borderId="13" xfId="0" applyNumberFormat="1" applyFont="1" applyFill="1" applyBorder="1" applyAlignment="1" applyProtection="1">
      <alignment horizontal="center"/>
    </xf>
    <xf numFmtId="0" fontId="16" fillId="23" borderId="13" xfId="0" applyFont="1" applyFill="1" applyBorder="1" applyProtection="1"/>
    <xf numFmtId="0" fontId="3" fillId="23" borderId="51" xfId="0" applyFont="1" applyFill="1" applyBorder="1" applyAlignment="1" applyProtection="1">
      <alignment horizontal="center"/>
    </xf>
    <xf numFmtId="1" fontId="5" fillId="23" borderId="25" xfId="0" applyNumberFormat="1" applyFont="1" applyFill="1" applyBorder="1" applyAlignment="1" applyProtection="1">
      <alignment horizontal="center"/>
    </xf>
    <xf numFmtId="0" fontId="5" fillId="23" borderId="25" xfId="0" applyFont="1" applyFill="1" applyBorder="1" applyProtection="1"/>
    <xf numFmtId="0" fontId="3" fillId="23" borderId="131" xfId="0" applyFont="1" applyFill="1" applyBorder="1" applyAlignment="1" applyProtection="1">
      <alignment horizontal="center"/>
    </xf>
    <xf numFmtId="0" fontId="3" fillId="23" borderId="25" xfId="0" applyFont="1" applyFill="1" applyBorder="1" applyAlignment="1" applyProtection="1">
      <alignment horizontal="center"/>
    </xf>
    <xf numFmtId="0" fontId="3" fillId="23" borderId="25" xfId="0" applyFont="1" applyFill="1" applyBorder="1" applyProtection="1"/>
    <xf numFmtId="0" fontId="5" fillId="23" borderId="2" xfId="0" applyFont="1" applyFill="1" applyBorder="1" applyProtection="1"/>
    <xf numFmtId="49" fontId="3" fillId="23" borderId="129" xfId="0" applyNumberFormat="1" applyFont="1" applyFill="1" applyBorder="1" applyAlignment="1" applyProtection="1">
      <alignment horizontal="center"/>
    </xf>
    <xf numFmtId="0" fontId="3" fillId="23" borderId="106" xfId="0" applyFont="1" applyFill="1" applyBorder="1" applyAlignment="1" applyProtection="1">
      <alignment horizontal="center"/>
    </xf>
    <xf numFmtId="1" fontId="3" fillId="23" borderId="42" xfId="0" applyNumberFormat="1" applyFont="1" applyFill="1" applyBorder="1" applyAlignment="1" applyProtection="1">
      <alignment horizontal="left"/>
    </xf>
    <xf numFmtId="0" fontId="3" fillId="23" borderId="132" xfId="0" applyFont="1" applyFill="1" applyBorder="1" applyAlignment="1" applyProtection="1">
      <alignment horizontal="center"/>
    </xf>
    <xf numFmtId="1" fontId="3" fillId="23" borderId="133" xfId="0" applyNumberFormat="1" applyFont="1" applyFill="1" applyBorder="1" applyAlignment="1" applyProtection="1">
      <alignment horizontal="left"/>
    </xf>
    <xf numFmtId="49" fontId="3" fillId="23" borderId="134" xfId="0" applyNumberFormat="1" applyFont="1" applyFill="1" applyBorder="1" applyAlignment="1" applyProtection="1">
      <alignment horizontal="center"/>
    </xf>
    <xf numFmtId="0" fontId="71" fillId="23" borderId="81" xfId="0" applyFont="1" applyFill="1" applyBorder="1" applyAlignment="1" applyProtection="1">
      <alignment horizontal="center"/>
    </xf>
    <xf numFmtId="49" fontId="3" fillId="23" borderId="21" xfId="0" applyNumberFormat="1" applyFont="1" applyFill="1" applyBorder="1" applyAlignment="1" applyProtection="1">
      <alignment horizontal="center"/>
    </xf>
    <xf numFmtId="49" fontId="18" fillId="23" borderId="8" xfId="0" applyNumberFormat="1" applyFont="1" applyFill="1" applyBorder="1" applyAlignment="1" applyProtection="1">
      <alignment horizontal="left"/>
    </xf>
    <xf numFmtId="49" fontId="3" fillId="23" borderId="22" xfId="0" applyNumberFormat="1" applyFont="1" applyFill="1" applyBorder="1" applyAlignment="1" applyProtection="1">
      <alignment horizontal="center"/>
    </xf>
    <xf numFmtId="49" fontId="3" fillId="23" borderId="130" xfId="0" applyNumberFormat="1" applyFont="1" applyFill="1" applyBorder="1" applyAlignment="1" applyProtection="1">
      <alignment horizontal="center"/>
    </xf>
    <xf numFmtId="49" fontId="3" fillId="23" borderId="24" xfId="0" applyNumberFormat="1" applyFont="1" applyFill="1" applyBorder="1" applyAlignment="1" applyProtection="1">
      <alignment horizontal="center"/>
    </xf>
    <xf numFmtId="49" fontId="71" fillId="23" borderId="66" xfId="0" applyNumberFormat="1" applyFont="1" applyFill="1" applyBorder="1" applyAlignment="1" applyProtection="1">
      <alignment horizontal="center"/>
    </xf>
    <xf numFmtId="49" fontId="8" fillId="23" borderId="135" xfId="0" applyNumberFormat="1" applyFont="1" applyFill="1" applyBorder="1" applyAlignment="1" applyProtection="1">
      <alignment horizontal="center"/>
    </xf>
    <xf numFmtId="0" fontId="16" fillId="23" borderId="136" xfId="0" applyFont="1" applyFill="1" applyBorder="1" applyAlignment="1" applyProtection="1">
      <alignment wrapText="1"/>
    </xf>
    <xf numFmtId="0" fontId="3" fillId="23" borderId="2" xfId="0" applyFont="1" applyFill="1" applyBorder="1" applyAlignment="1" applyProtection="1">
      <alignment wrapText="1"/>
    </xf>
    <xf numFmtId="49" fontId="3" fillId="23" borderId="131" xfId="0" applyNumberFormat="1" applyFont="1" applyFill="1" applyBorder="1" applyAlignment="1" applyProtection="1">
      <alignment horizontal="center"/>
    </xf>
    <xf numFmtId="0" fontId="5" fillId="23" borderId="42" xfId="0" applyFont="1" applyFill="1" applyBorder="1" applyProtection="1"/>
    <xf numFmtId="49" fontId="8" fillId="23" borderId="125" xfId="0" applyNumberFormat="1" applyFont="1" applyFill="1" applyBorder="1" applyAlignment="1" applyProtection="1">
      <alignment horizontal="center"/>
    </xf>
    <xf numFmtId="0" fontId="16" fillId="23" borderId="42" xfId="0" applyFont="1" applyFill="1" applyBorder="1" applyProtection="1"/>
    <xf numFmtId="0" fontId="5" fillId="23" borderId="2" xfId="0" applyFont="1" applyFill="1" applyBorder="1" applyAlignment="1" applyProtection="1">
      <alignment wrapText="1"/>
    </xf>
    <xf numFmtId="49" fontId="8" fillId="23" borderId="22" xfId="0" applyNumberFormat="1" applyFont="1" applyFill="1" applyBorder="1" applyAlignment="1" applyProtection="1">
      <alignment horizontal="center"/>
    </xf>
    <xf numFmtId="0" fontId="3" fillId="23" borderId="5" xfId="0" applyFont="1" applyFill="1" applyBorder="1" applyAlignment="1" applyProtection="1">
      <alignment wrapText="1"/>
    </xf>
    <xf numFmtId="0" fontId="5" fillId="23" borderId="120" xfId="0" applyFont="1" applyFill="1" applyBorder="1" applyAlignment="1" applyProtection="1">
      <alignment horizontal="right"/>
    </xf>
    <xf numFmtId="0" fontId="3" fillId="23" borderId="98" xfId="0" applyFont="1" applyFill="1" applyBorder="1" applyAlignment="1" applyProtection="1">
      <alignment horizontal="left"/>
    </xf>
    <xf numFmtId="0" fontId="5" fillId="23" borderId="118" xfId="0" applyFont="1" applyFill="1" applyBorder="1" applyAlignment="1" applyProtection="1">
      <alignment horizontal="right"/>
    </xf>
    <xf numFmtId="0" fontId="3" fillId="23" borderId="127" xfId="0" applyFont="1" applyFill="1" applyBorder="1" applyAlignment="1" applyProtection="1">
      <alignment horizontal="left"/>
    </xf>
    <xf numFmtId="0" fontId="5" fillId="23" borderId="15" xfId="0" applyFont="1" applyFill="1" applyBorder="1" applyAlignment="1" applyProtection="1">
      <alignment horizontal="right"/>
    </xf>
    <xf numFmtId="0" fontId="5" fillId="23" borderId="2" xfId="0" applyFont="1" applyFill="1" applyBorder="1" applyAlignment="1" applyProtection="1">
      <alignment horizontal="left"/>
    </xf>
    <xf numFmtId="0" fontId="3" fillId="23" borderId="2" xfId="0" applyFont="1" applyFill="1" applyBorder="1" applyAlignment="1" applyProtection="1">
      <alignment horizontal="left"/>
    </xf>
    <xf numFmtId="0" fontId="5" fillId="23" borderId="13" xfId="0" applyFont="1" applyFill="1" applyBorder="1" applyAlignment="1" applyProtection="1">
      <alignment horizontal="left"/>
    </xf>
    <xf numFmtId="49" fontId="3" fillId="23" borderId="23" xfId="0" applyNumberFormat="1" applyFont="1" applyFill="1" applyBorder="1" applyAlignment="1" applyProtection="1">
      <alignment horizontal="center"/>
    </xf>
    <xf numFmtId="0" fontId="3" fillId="23" borderId="9" xfId="0" applyFont="1" applyFill="1" applyBorder="1" applyAlignment="1" applyProtection="1">
      <alignment horizontal="left"/>
    </xf>
    <xf numFmtId="0" fontId="3" fillId="23" borderId="5" xfId="0" applyFont="1" applyFill="1" applyBorder="1" applyAlignment="1" applyProtection="1">
      <alignment horizontal="left"/>
    </xf>
    <xf numFmtId="0" fontId="5" fillId="23" borderId="15" xfId="0" applyFont="1" applyFill="1" applyBorder="1" applyAlignment="1" applyProtection="1">
      <alignment horizontal="left"/>
    </xf>
    <xf numFmtId="0" fontId="5" fillId="23" borderId="118" xfId="0" applyFont="1" applyFill="1" applyBorder="1" applyAlignment="1" applyProtection="1">
      <alignment horizontal="left"/>
    </xf>
    <xf numFmtId="0" fontId="5" fillId="23" borderId="121" xfId="0" applyFont="1" applyFill="1" applyBorder="1" applyAlignment="1" applyProtection="1">
      <alignment horizontal="left"/>
    </xf>
    <xf numFmtId="0" fontId="3" fillId="23" borderId="15" xfId="0" applyFont="1" applyFill="1" applyBorder="1" applyAlignment="1" applyProtection="1">
      <alignment horizontal="left"/>
    </xf>
    <xf numFmtId="0" fontId="3" fillId="23" borderId="57" xfId="0" applyFont="1" applyFill="1" applyBorder="1" applyAlignment="1" applyProtection="1">
      <alignment horizontal="left"/>
    </xf>
    <xf numFmtId="0" fontId="5" fillId="23" borderId="57" xfId="0" applyFont="1" applyFill="1" applyBorder="1" applyAlignment="1" applyProtection="1">
      <alignment horizontal="right"/>
    </xf>
    <xf numFmtId="0" fontId="3" fillId="23" borderId="54" xfId="0" applyFont="1" applyFill="1" applyBorder="1" applyAlignment="1" applyProtection="1">
      <alignment horizontal="left"/>
    </xf>
    <xf numFmtId="0" fontId="5" fillId="23" borderId="127" xfId="0" applyFont="1" applyFill="1" applyBorder="1" applyAlignment="1" applyProtection="1">
      <alignment horizontal="left" vertical="top"/>
    </xf>
    <xf numFmtId="0" fontId="5" fillId="23" borderId="57" xfId="0" applyFont="1" applyFill="1" applyBorder="1" applyAlignment="1" applyProtection="1">
      <alignment horizontal="left" vertical="top"/>
    </xf>
    <xf numFmtId="0" fontId="5" fillId="23" borderId="21" xfId="0" applyFont="1" applyFill="1" applyBorder="1" applyAlignment="1" applyProtection="1">
      <alignment horizontal="right"/>
    </xf>
    <xf numFmtId="0" fontId="5" fillId="23" borderId="53" xfId="0" applyFont="1" applyFill="1" applyBorder="1" applyAlignment="1" applyProtection="1">
      <alignment horizontal="right"/>
    </xf>
    <xf numFmtId="3" fontId="48" fillId="24" borderId="22" xfId="0" applyNumberFormat="1" applyFont="1" applyFill="1" applyBorder="1" applyProtection="1"/>
    <xf numFmtId="3" fontId="48" fillId="24" borderId="19" xfId="0" applyNumberFormat="1" applyFont="1" applyFill="1" applyBorder="1" applyProtection="1"/>
    <xf numFmtId="3" fontId="48" fillId="24" borderId="22" xfId="0" applyNumberFormat="1" applyFont="1" applyFill="1" applyBorder="1" applyAlignment="1" applyProtection="1">
      <alignment horizontal="right"/>
    </xf>
    <xf numFmtId="3" fontId="48" fillId="24" borderId="24" xfId="0" applyNumberFormat="1" applyFont="1" applyFill="1" applyBorder="1" applyProtection="1"/>
    <xf numFmtId="3" fontId="48" fillId="24" borderId="23" xfId="0" applyNumberFormat="1" applyFont="1" applyFill="1" applyBorder="1" applyProtection="1"/>
    <xf numFmtId="3" fontId="48" fillId="24" borderId="41" xfId="0" applyNumberFormat="1" applyFont="1" applyFill="1" applyBorder="1" applyProtection="1"/>
    <xf numFmtId="3" fontId="48" fillId="24" borderId="53" xfId="0" applyNumberFormat="1" applyFont="1" applyFill="1" applyBorder="1" applyProtection="1"/>
    <xf numFmtId="3" fontId="48" fillId="24" borderId="52" xfId="0" applyNumberFormat="1" applyFont="1" applyFill="1" applyBorder="1" applyProtection="1"/>
    <xf numFmtId="3" fontId="48" fillId="25" borderId="22" xfId="0" applyNumberFormat="1" applyFont="1" applyFill="1" applyBorder="1" applyProtection="1"/>
    <xf numFmtId="3" fontId="48" fillId="25" borderId="52" xfId="0" applyNumberFormat="1" applyFont="1" applyFill="1" applyBorder="1" applyProtection="1"/>
    <xf numFmtId="3" fontId="48" fillId="24" borderId="80" xfId="0" applyNumberFormat="1" applyFont="1" applyFill="1" applyBorder="1" applyProtection="1"/>
    <xf numFmtId="0" fontId="5" fillId="23" borderId="137" xfId="0" applyFont="1" applyFill="1" applyBorder="1" applyAlignment="1" applyProtection="1">
      <alignment horizontal="center" vertical="center" wrapText="1"/>
    </xf>
    <xf numFmtId="3" fontId="48" fillId="24" borderId="138" xfId="0" applyNumberFormat="1" applyFont="1" applyFill="1" applyBorder="1" applyProtection="1"/>
    <xf numFmtId="3" fontId="48" fillId="25" borderId="139" xfId="0" applyNumberFormat="1" applyFont="1" applyFill="1" applyBorder="1" applyProtection="1"/>
    <xf numFmtId="3" fontId="48" fillId="25" borderId="140" xfId="0" applyNumberFormat="1" applyFont="1" applyFill="1" applyBorder="1" applyProtection="1"/>
    <xf numFmtId="3" fontId="48" fillId="25" borderId="122" xfId="0" applyNumberFormat="1" applyFont="1" applyFill="1" applyBorder="1" applyProtection="1"/>
    <xf numFmtId="3" fontId="48" fillId="24" borderId="141" xfId="0" applyNumberFormat="1" applyFont="1" applyFill="1" applyBorder="1" applyProtection="1"/>
    <xf numFmtId="0" fontId="5" fillId="23" borderId="36" xfId="0" applyFont="1" applyFill="1" applyBorder="1" applyProtection="1"/>
    <xf numFmtId="165" fontId="4" fillId="23" borderId="121" xfId="0" applyNumberFormat="1" applyFont="1" applyFill="1" applyBorder="1" applyProtection="1"/>
    <xf numFmtId="0" fontId="5" fillId="23" borderId="142" xfId="0" applyFont="1" applyFill="1" applyBorder="1" applyProtection="1"/>
    <xf numFmtId="165" fontId="6" fillId="23" borderId="143" xfId="0" applyNumberFormat="1" applyFont="1" applyFill="1" applyBorder="1" applyProtection="1"/>
    <xf numFmtId="0" fontId="5" fillId="23" borderId="21" xfId="0" applyFont="1" applyFill="1" applyBorder="1" applyAlignment="1" applyProtection="1">
      <alignment horizontal="left" vertical="top"/>
    </xf>
    <xf numFmtId="0" fontId="5" fillId="23" borderId="53" xfId="0" applyFont="1" applyFill="1" applyBorder="1" applyAlignment="1" applyProtection="1">
      <alignment horizontal="left" vertical="top"/>
    </xf>
    <xf numFmtId="3" fontId="48" fillId="24" borderId="19" xfId="0" applyNumberFormat="1" applyFont="1" applyFill="1" applyBorder="1" applyAlignment="1" applyProtection="1">
      <alignment horizontal="right"/>
    </xf>
    <xf numFmtId="0" fontId="3" fillId="23" borderId="131" xfId="0" applyFont="1" applyFill="1" applyBorder="1" applyProtection="1"/>
    <xf numFmtId="165" fontId="6" fillId="23" borderId="53" xfId="0" applyNumberFormat="1" applyFont="1" applyFill="1" applyBorder="1" applyProtection="1"/>
    <xf numFmtId="0" fontId="3" fillId="23" borderId="50" xfId="0" applyFont="1" applyFill="1" applyBorder="1" applyProtection="1"/>
    <xf numFmtId="165" fontId="6" fillId="23" borderId="52" xfId="0" applyNumberFormat="1" applyFont="1" applyFill="1" applyBorder="1" applyProtection="1"/>
    <xf numFmtId="3" fontId="48" fillId="25" borderId="69" xfId="0" applyNumberFormat="1" applyFont="1" applyFill="1" applyBorder="1" applyProtection="1"/>
    <xf numFmtId="3" fontId="48" fillId="25" borderId="60" xfId="0" applyNumberFormat="1" applyFont="1" applyFill="1" applyBorder="1" applyProtection="1"/>
    <xf numFmtId="0" fontId="3" fillId="23" borderId="144" xfId="0" applyFont="1" applyFill="1" applyBorder="1" applyProtection="1"/>
    <xf numFmtId="3" fontId="48" fillId="24" borderId="24" xfId="0" applyNumberFormat="1" applyFont="1" applyFill="1" applyBorder="1" applyAlignment="1" applyProtection="1">
      <alignment horizontal="right"/>
    </xf>
    <xf numFmtId="3" fontId="48" fillId="25" borderId="85" xfId="0" applyNumberFormat="1" applyFont="1" applyFill="1" applyBorder="1" applyProtection="1"/>
    <xf numFmtId="49" fontId="3" fillId="23" borderId="36" xfId="0" applyNumberFormat="1" applyFont="1" applyFill="1" applyBorder="1" applyAlignment="1" applyProtection="1">
      <alignment horizontal="left"/>
    </xf>
    <xf numFmtId="0" fontId="5" fillId="23" borderId="118" xfId="0" applyFont="1" applyFill="1" applyBorder="1" applyAlignment="1" applyProtection="1"/>
    <xf numFmtId="49" fontId="3" fillId="23" borderId="58" xfId="0" applyNumberFormat="1" applyFont="1" applyFill="1" applyBorder="1" applyAlignment="1" applyProtection="1">
      <alignment horizontal="left"/>
    </xf>
    <xf numFmtId="0" fontId="27" fillId="23" borderId="15" xfId="0" applyFont="1" applyFill="1" applyBorder="1" applyProtection="1"/>
    <xf numFmtId="49" fontId="3" fillId="23" borderId="142" xfId="0" applyNumberFormat="1" applyFont="1" applyFill="1" applyBorder="1" applyAlignment="1" applyProtection="1">
      <alignment horizontal="left"/>
    </xf>
    <xf numFmtId="0" fontId="27" fillId="23" borderId="42" xfId="0" applyFont="1" applyFill="1" applyBorder="1" applyProtection="1"/>
    <xf numFmtId="49" fontId="3" fillId="23" borderId="127" xfId="0" applyNumberFormat="1" applyFont="1" applyFill="1" applyBorder="1" applyProtection="1"/>
    <xf numFmtId="164" fontId="3" fillId="23" borderId="15" xfId="0" applyNumberFormat="1" applyFont="1" applyFill="1" applyBorder="1" applyProtection="1"/>
    <xf numFmtId="0" fontId="26" fillId="23" borderId="145" xfId="0" applyFont="1" applyFill="1" applyBorder="1" applyProtection="1"/>
    <xf numFmtId="0" fontId="26" fillId="23" borderId="15" xfId="0" applyFont="1" applyFill="1" applyBorder="1" applyProtection="1"/>
    <xf numFmtId="0" fontId="5" fillId="23" borderId="2" xfId="0" applyNumberFormat="1" applyFont="1" applyFill="1" applyBorder="1" applyAlignment="1" applyProtection="1">
      <alignment horizontal="center"/>
    </xf>
    <xf numFmtId="0" fontId="16" fillId="23" borderId="2" xfId="0" applyFont="1" applyFill="1" applyBorder="1" applyProtection="1"/>
    <xf numFmtId="49" fontId="3" fillId="23" borderId="2" xfId="0" applyNumberFormat="1" applyFont="1" applyFill="1" applyBorder="1" applyAlignment="1" applyProtection="1">
      <alignment horizontal="center"/>
    </xf>
    <xf numFmtId="0" fontId="3" fillId="23" borderId="5" xfId="0" applyFont="1" applyFill="1" applyBorder="1" applyAlignment="1" applyProtection="1">
      <alignment horizontal="center"/>
    </xf>
    <xf numFmtId="49" fontId="8" fillId="23" borderId="2" xfId="0" applyNumberFormat="1" applyFont="1" applyFill="1" applyBorder="1" applyAlignment="1" applyProtection="1">
      <alignment horizontal="center"/>
    </xf>
    <xf numFmtId="0" fontId="26" fillId="23" borderId="118" xfId="0" applyFont="1" applyFill="1" applyBorder="1" applyProtection="1"/>
    <xf numFmtId="49" fontId="5" fillId="23" borderId="13" xfId="0" applyNumberFormat="1" applyFont="1" applyFill="1" applyBorder="1" applyAlignment="1" applyProtection="1">
      <alignment horizontal="center"/>
    </xf>
    <xf numFmtId="49" fontId="5" fillId="23" borderId="84" xfId="0" applyNumberFormat="1" applyFont="1" applyFill="1" applyBorder="1" applyAlignment="1" applyProtection="1">
      <alignment horizontal="center"/>
    </xf>
    <xf numFmtId="0" fontId="16" fillId="23" borderId="84" xfId="0" applyFont="1" applyFill="1" applyBorder="1" applyProtection="1"/>
    <xf numFmtId="3" fontId="5" fillId="23" borderId="95" xfId="0" applyNumberFormat="1" applyFont="1" applyFill="1" applyBorder="1" applyProtection="1"/>
    <xf numFmtId="3" fontId="5" fillId="23" borderId="88" xfId="0" applyNumberFormat="1" applyFont="1" applyFill="1" applyBorder="1" applyProtection="1"/>
    <xf numFmtId="165" fontId="28" fillId="23" borderId="56" xfId="0" applyNumberFormat="1" applyFont="1" applyFill="1" applyBorder="1" applyAlignment="1" applyProtection="1">
      <alignment horizontal="center"/>
    </xf>
    <xf numFmtId="165" fontId="28" fillId="23" borderId="60" xfId="0" applyNumberFormat="1" applyFont="1" applyFill="1" applyBorder="1" applyAlignment="1" applyProtection="1">
      <alignment horizontal="center"/>
    </xf>
    <xf numFmtId="165" fontId="29" fillId="23" borderId="147" xfId="0" applyNumberFormat="1" applyFont="1" applyFill="1" applyBorder="1" applyProtection="1"/>
    <xf numFmtId="165" fontId="29" fillId="23" borderId="90" xfId="0" applyNumberFormat="1" applyFont="1" applyFill="1" applyBorder="1" applyProtection="1"/>
    <xf numFmtId="165" fontId="6" fillId="23" borderId="148" xfId="0" applyNumberFormat="1" applyFont="1" applyFill="1" applyBorder="1" applyProtection="1"/>
    <xf numFmtId="165" fontId="6" fillId="23" borderId="149" xfId="0" applyNumberFormat="1" applyFont="1" applyFill="1" applyBorder="1" applyProtection="1"/>
    <xf numFmtId="165" fontId="6" fillId="23" borderId="54" xfId="0" applyNumberFormat="1" applyFont="1" applyFill="1" applyBorder="1" applyProtection="1"/>
    <xf numFmtId="165" fontId="6" fillId="23" borderId="18" xfId="0" applyNumberFormat="1" applyFont="1" applyFill="1" applyBorder="1" applyProtection="1"/>
    <xf numFmtId="0" fontId="7" fillId="23" borderId="19" xfId="0" applyFont="1" applyFill="1" applyBorder="1" applyProtection="1"/>
    <xf numFmtId="0" fontId="5" fillId="23" borderId="58" xfId="0" applyFont="1" applyFill="1" applyBorder="1" applyAlignment="1" applyProtection="1">
      <alignment horizontal="center"/>
    </xf>
    <xf numFmtId="0" fontId="5" fillId="23" borderId="57" xfId="0" applyFont="1" applyFill="1" applyBorder="1" applyAlignment="1" applyProtection="1"/>
    <xf numFmtId="0" fontId="5" fillId="23" borderId="142" xfId="0" applyFont="1" applyFill="1" applyBorder="1" applyAlignment="1" applyProtection="1">
      <alignment horizontal="right"/>
    </xf>
    <xf numFmtId="0" fontId="5" fillId="23" borderId="143" xfId="0" applyFont="1" applyFill="1" applyBorder="1" applyAlignment="1" applyProtection="1">
      <alignment horizontal="right"/>
    </xf>
    <xf numFmtId="3" fontId="2" fillId="25" borderId="58" xfId="0" applyNumberFormat="1" applyFont="1" applyFill="1" applyBorder="1" applyAlignment="1" applyProtection="1">
      <alignment horizontal="right"/>
    </xf>
    <xf numFmtId="3" fontId="2" fillId="25" borderId="57" xfId="0" applyNumberFormat="1" applyFont="1" applyFill="1" applyBorder="1" applyAlignment="1" applyProtection="1">
      <alignment horizontal="right"/>
    </xf>
    <xf numFmtId="3" fontId="2" fillId="25" borderId="58" xfId="0" applyNumberFormat="1" applyFont="1" applyFill="1" applyBorder="1" applyProtection="1"/>
    <xf numFmtId="3" fontId="2" fillId="25" borderId="57" xfId="0" applyNumberFormat="1" applyFont="1" applyFill="1" applyBorder="1" applyProtection="1"/>
    <xf numFmtId="3" fontId="2" fillId="24" borderId="58" xfId="0" applyNumberFormat="1" applyFont="1" applyFill="1" applyBorder="1" applyProtection="1"/>
    <xf numFmtId="3" fontId="2" fillId="24" borderId="57" xfId="0" applyNumberFormat="1" applyFont="1" applyFill="1" applyBorder="1" applyProtection="1"/>
    <xf numFmtId="3" fontId="48" fillId="25" borderId="58" xfId="0" applyNumberFormat="1" applyFont="1" applyFill="1" applyBorder="1" applyProtection="1"/>
    <xf numFmtId="3" fontId="48" fillId="25" borderId="57" xfId="0" applyNumberFormat="1" applyFont="1" applyFill="1" applyBorder="1" applyProtection="1"/>
    <xf numFmtId="3" fontId="48" fillId="24" borderId="58" xfId="0" applyNumberFormat="1" applyFont="1" applyFill="1" applyBorder="1" applyProtection="1"/>
    <xf numFmtId="3" fontId="48" fillId="24" borderId="57" xfId="0" applyNumberFormat="1" applyFont="1" applyFill="1" applyBorder="1" applyProtection="1"/>
    <xf numFmtId="0" fontId="113" fillId="23" borderId="58" xfId="0" applyFont="1" applyFill="1" applyBorder="1" applyProtection="1"/>
    <xf numFmtId="0" fontId="113" fillId="23" borderId="57" xfId="0" applyFont="1" applyFill="1" applyBorder="1" applyProtection="1"/>
    <xf numFmtId="49" fontId="8" fillId="23" borderId="132" xfId="0" applyNumberFormat="1" applyFont="1" applyFill="1" applyBorder="1" applyAlignment="1" applyProtection="1">
      <alignment horizontal="center"/>
    </xf>
    <xf numFmtId="49" fontId="8" fillId="23" borderId="133" xfId="0" applyNumberFormat="1" applyFont="1" applyFill="1" applyBorder="1" applyAlignment="1" applyProtection="1">
      <alignment horizontal="center"/>
    </xf>
    <xf numFmtId="49" fontId="8" fillId="23" borderId="133" xfId="0" applyNumberFormat="1" applyFont="1" applyFill="1" applyBorder="1" applyAlignment="1" applyProtection="1">
      <alignment horizontal="left"/>
    </xf>
    <xf numFmtId="49" fontId="8" fillId="23" borderId="34" xfId="0" applyNumberFormat="1" applyFont="1" applyFill="1" applyBorder="1" applyAlignment="1" applyProtection="1">
      <alignment horizontal="center"/>
    </xf>
    <xf numFmtId="49" fontId="8" fillId="23" borderId="35" xfId="0" applyNumberFormat="1" applyFont="1" applyFill="1" applyBorder="1" applyAlignment="1" applyProtection="1">
      <alignment horizontal="center"/>
    </xf>
    <xf numFmtId="49" fontId="8" fillId="23" borderId="35" xfId="0" applyNumberFormat="1" applyFont="1" applyFill="1" applyBorder="1" applyAlignment="1" applyProtection="1">
      <alignment horizontal="left"/>
    </xf>
    <xf numFmtId="49" fontId="8" fillId="23" borderId="7" xfId="0" applyNumberFormat="1" applyFont="1" applyFill="1" applyBorder="1" applyAlignment="1" applyProtection="1">
      <alignment horizontal="center"/>
    </xf>
    <xf numFmtId="49" fontId="8" fillId="23" borderId="5" xfId="0" applyNumberFormat="1" applyFont="1" applyFill="1" applyBorder="1" applyAlignment="1" applyProtection="1">
      <alignment horizontal="center"/>
    </xf>
    <xf numFmtId="49" fontId="8" fillId="23" borderId="150" xfId="0" applyNumberFormat="1" applyFont="1" applyFill="1" applyBorder="1" applyAlignment="1" applyProtection="1">
      <alignment horizontal="center"/>
    </xf>
    <xf numFmtId="49" fontId="8" fillId="23" borderId="42" xfId="0" applyNumberFormat="1" applyFont="1" applyFill="1" applyBorder="1" applyAlignment="1" applyProtection="1">
      <alignment horizontal="left"/>
    </xf>
    <xf numFmtId="165" fontId="6" fillId="23" borderId="9" xfId="0" applyNumberFormat="1" applyFont="1" applyFill="1" applyBorder="1" applyProtection="1"/>
    <xf numFmtId="3" fontId="9" fillId="26" borderId="20" xfId="0" applyNumberFormat="1" applyFont="1" applyFill="1" applyBorder="1" applyProtection="1"/>
    <xf numFmtId="0" fontId="5" fillId="23" borderId="124" xfId="0" applyFont="1" applyFill="1" applyBorder="1" applyAlignment="1" applyProtection="1">
      <alignment horizontal="left"/>
    </xf>
    <xf numFmtId="1" fontId="5" fillId="23" borderId="42" xfId="0" applyNumberFormat="1" applyFont="1" applyFill="1" applyBorder="1" applyAlignment="1" applyProtection="1">
      <alignment horizontal="left"/>
    </xf>
    <xf numFmtId="0" fontId="5" fillId="23" borderId="1" xfId="0" applyFont="1" applyFill="1" applyBorder="1" applyProtection="1"/>
    <xf numFmtId="3" fontId="17" fillId="23" borderId="147" xfId="0" applyNumberFormat="1" applyFont="1" applyFill="1" applyBorder="1" applyProtection="1"/>
    <xf numFmtId="3" fontId="17" fillId="23" borderId="90" xfId="0" applyNumberFormat="1" applyFont="1" applyFill="1" applyBorder="1" applyProtection="1"/>
    <xf numFmtId="3" fontId="2" fillId="23" borderId="18" xfId="0" applyNumberFormat="1" applyFont="1" applyFill="1" applyBorder="1" applyProtection="1"/>
    <xf numFmtId="49" fontId="3" fillId="23" borderId="5" xfId="0" applyNumberFormat="1" applyFont="1" applyFill="1" applyBorder="1" applyAlignment="1" applyProtection="1">
      <alignment horizontal="center"/>
    </xf>
    <xf numFmtId="165" fontId="3" fillId="23" borderId="2" xfId="0" applyNumberFormat="1" applyFont="1" applyFill="1" applyBorder="1" applyAlignment="1" applyProtection="1">
      <alignment horizontal="left"/>
    </xf>
    <xf numFmtId="49" fontId="5" fillId="23" borderId="25" xfId="0" applyNumberFormat="1" applyFont="1" applyFill="1" applyBorder="1" applyAlignment="1" applyProtection="1">
      <alignment horizontal="center"/>
    </xf>
    <xf numFmtId="0" fontId="3" fillId="23" borderId="2" xfId="0" applyFont="1" applyFill="1" applyBorder="1" applyAlignment="1" applyProtection="1">
      <alignment horizontal="center"/>
    </xf>
    <xf numFmtId="49" fontId="5" fillId="23" borderId="5" xfId="0" applyNumberFormat="1" applyFont="1" applyFill="1" applyBorder="1" applyAlignment="1" applyProtection="1">
      <alignment horizontal="center"/>
    </xf>
    <xf numFmtId="0" fontId="5" fillId="23" borderId="5" xfId="0" applyFont="1" applyFill="1" applyBorder="1" applyProtection="1"/>
    <xf numFmtId="3" fontId="8" fillId="23" borderId="146" xfId="0" applyNumberFormat="1" applyFont="1" applyFill="1" applyBorder="1" applyAlignment="1" applyProtection="1">
      <alignment horizontal="center"/>
    </xf>
    <xf numFmtId="3" fontId="5" fillId="23" borderId="151" xfId="0" applyNumberFormat="1" applyFont="1" applyFill="1" applyBorder="1" applyAlignment="1" applyProtection="1">
      <alignment horizontal="center"/>
    </xf>
    <xf numFmtId="3" fontId="5" fillId="23" borderId="151" xfId="0" applyNumberFormat="1" applyFont="1" applyFill="1" applyBorder="1" applyProtection="1"/>
    <xf numFmtId="3" fontId="2" fillId="24" borderId="18" xfId="0" applyNumberFormat="1" applyFont="1" applyFill="1" applyBorder="1" applyProtection="1"/>
    <xf numFmtId="3" fontId="2" fillId="24" borderId="60" xfId="0" applyNumberFormat="1" applyFont="1" applyFill="1" applyBorder="1" applyProtection="1"/>
    <xf numFmtId="3" fontId="2" fillId="24" borderId="19" xfId="0" applyNumberFormat="1" applyFont="1" applyFill="1" applyBorder="1" applyProtection="1"/>
    <xf numFmtId="3" fontId="5" fillId="23" borderId="142" xfId="0" applyNumberFormat="1" applyFont="1" applyFill="1" applyBorder="1" applyProtection="1"/>
    <xf numFmtId="3" fontId="5" fillId="23" borderId="143" xfId="0" applyNumberFormat="1" applyFont="1" applyFill="1" applyBorder="1" applyProtection="1"/>
    <xf numFmtId="3" fontId="2" fillId="23" borderId="58" xfId="0" applyNumberFormat="1" applyFont="1" applyFill="1" applyBorder="1" applyProtection="1"/>
    <xf numFmtId="3" fontId="2" fillId="23" borderId="57" xfId="0" applyNumberFormat="1" applyFont="1" applyFill="1" applyBorder="1" applyProtection="1"/>
    <xf numFmtId="3" fontId="48" fillId="24" borderId="50" xfId="0" applyNumberFormat="1" applyFont="1" applyFill="1" applyBorder="1" applyProtection="1"/>
    <xf numFmtId="3" fontId="48" fillId="23" borderId="58" xfId="0" applyNumberFormat="1" applyFont="1" applyFill="1" applyBorder="1" applyProtection="1"/>
    <xf numFmtId="3" fontId="48" fillId="23" borderId="57" xfId="0" applyNumberFormat="1" applyFont="1" applyFill="1" applyBorder="1" applyProtection="1"/>
    <xf numFmtId="3" fontId="48" fillId="23" borderId="60" xfId="0" applyNumberFormat="1" applyFont="1" applyFill="1" applyBorder="1" applyProtection="1"/>
    <xf numFmtId="3" fontId="48" fillId="23" borderId="131" xfId="0" applyNumberFormat="1" applyFont="1" applyFill="1" applyBorder="1" applyProtection="1"/>
    <xf numFmtId="3" fontId="48" fillId="24" borderId="51" xfId="0" applyNumberFormat="1" applyFont="1" applyFill="1" applyBorder="1" applyProtection="1"/>
    <xf numFmtId="3" fontId="48" fillId="24" borderId="26" xfId="0" applyNumberFormat="1" applyFont="1" applyFill="1" applyBorder="1" applyProtection="1"/>
    <xf numFmtId="3" fontId="2" fillId="24" borderId="88" xfId="0" applyNumberFormat="1" applyFont="1" applyFill="1" applyBorder="1" applyProtection="1"/>
    <xf numFmtId="0" fontId="3" fillId="23" borderId="73" xfId="0" applyFont="1" applyFill="1" applyBorder="1" applyProtection="1"/>
    <xf numFmtId="0" fontId="0" fillId="23" borderId="74" xfId="0" applyFill="1" applyBorder="1" applyProtection="1"/>
    <xf numFmtId="0" fontId="0" fillId="23" borderId="64" xfId="0" applyFill="1" applyBorder="1" applyProtection="1"/>
    <xf numFmtId="0" fontId="3" fillId="23" borderId="75" xfId="0" applyFont="1" applyFill="1" applyBorder="1" applyProtection="1"/>
    <xf numFmtId="0" fontId="0" fillId="23" borderId="76" xfId="0" applyFill="1" applyBorder="1" applyProtection="1"/>
    <xf numFmtId="0" fontId="0" fillId="23" borderId="92" xfId="0" applyFill="1" applyBorder="1" applyProtection="1"/>
    <xf numFmtId="0" fontId="3" fillId="23" borderId="75" xfId="0" applyFont="1" applyFill="1" applyBorder="1" applyAlignment="1" applyProtection="1">
      <alignment horizontal="left"/>
    </xf>
    <xf numFmtId="0" fontId="0" fillId="23" borderId="76" xfId="0" applyFill="1" applyBorder="1" applyAlignment="1" applyProtection="1">
      <alignment horizontal="left"/>
    </xf>
    <xf numFmtId="3" fontId="5" fillId="23" borderId="137" xfId="0" applyNumberFormat="1" applyFont="1" applyFill="1" applyBorder="1" applyAlignment="1" applyProtection="1">
      <alignment horizontal="center" vertical="center" wrapText="1"/>
    </xf>
    <xf numFmtId="9" fontId="48" fillId="23" borderId="140" xfId="0" applyNumberFormat="1" applyFont="1" applyFill="1" applyBorder="1" applyProtection="1"/>
    <xf numFmtId="3" fontId="48" fillId="24" borderId="140" xfId="0" applyNumberFormat="1" applyFont="1" applyFill="1" applyBorder="1" applyProtection="1"/>
    <xf numFmtId="9" fontId="48" fillId="23" borderId="138" xfId="0" applyNumberFormat="1" applyFont="1" applyFill="1" applyBorder="1" applyProtection="1"/>
    <xf numFmtId="9" fontId="48" fillId="23" borderId="153" xfId="0" applyNumberFormat="1" applyFont="1" applyFill="1" applyBorder="1" applyProtection="1"/>
    <xf numFmtId="49" fontId="3" fillId="23" borderId="35" xfId="0" applyNumberFormat="1" applyFont="1" applyFill="1" applyBorder="1" applyAlignment="1" applyProtection="1">
      <alignment horizontal="left"/>
    </xf>
    <xf numFmtId="3" fontId="2" fillId="23" borderId="35" xfId="0" applyNumberFormat="1" applyFont="1" applyFill="1" applyBorder="1" applyProtection="1"/>
    <xf numFmtId="49" fontId="3" fillId="23" borderId="2" xfId="0" applyNumberFormat="1" applyFont="1" applyFill="1" applyBorder="1" applyAlignment="1" applyProtection="1">
      <alignment horizontal="left"/>
    </xf>
    <xf numFmtId="3" fontId="2" fillId="23" borderId="5" xfId="0" applyNumberFormat="1" applyFont="1" applyFill="1" applyBorder="1" applyProtection="1"/>
    <xf numFmtId="49" fontId="5" fillId="23" borderId="25" xfId="0" applyNumberFormat="1" applyFont="1" applyFill="1" applyBorder="1" applyAlignment="1" applyProtection="1">
      <alignment horizontal="left"/>
    </xf>
    <xf numFmtId="0" fontId="8" fillId="23" borderId="25" xfId="0" applyFont="1" applyFill="1" applyBorder="1" applyProtection="1"/>
    <xf numFmtId="3" fontId="2" fillId="23" borderId="25" xfId="0" applyNumberFormat="1" applyFont="1" applyFill="1" applyBorder="1" applyProtection="1"/>
    <xf numFmtId="0" fontId="3" fillId="23" borderId="127" xfId="0" applyFont="1" applyFill="1" applyBorder="1" applyAlignment="1" applyProtection="1">
      <alignment horizontal="left" vertical="top"/>
    </xf>
    <xf numFmtId="0" fontId="3" fillId="23" borderId="15" xfId="0" applyFont="1" applyFill="1" applyBorder="1" applyAlignment="1" applyProtection="1">
      <alignment horizontal="right"/>
    </xf>
    <xf numFmtId="0" fontId="5" fillId="23" borderId="154" xfId="0" applyFont="1" applyFill="1" applyBorder="1" applyAlignment="1" applyProtection="1">
      <alignment horizontal="right"/>
    </xf>
    <xf numFmtId="0" fontId="5" fillId="23" borderId="116" xfId="0" applyFont="1" applyFill="1" applyBorder="1" applyAlignment="1" applyProtection="1">
      <alignment horizontal="left"/>
    </xf>
    <xf numFmtId="0" fontId="5" fillId="23" borderId="89" xfId="0" applyFont="1" applyFill="1" applyBorder="1" applyAlignment="1" applyProtection="1">
      <alignment horizontal="right"/>
    </xf>
    <xf numFmtId="0" fontId="3" fillId="23" borderId="13" xfId="0" applyFont="1" applyFill="1" applyBorder="1" applyAlignment="1" applyProtection="1">
      <alignment horizontal="center"/>
    </xf>
    <xf numFmtId="0" fontId="8" fillId="23" borderId="21" xfId="0" applyFont="1" applyFill="1" applyBorder="1" applyAlignment="1" applyProtection="1">
      <alignment horizontal="center"/>
    </xf>
    <xf numFmtId="0" fontId="8" fillId="23" borderId="9" xfId="0" applyFont="1" applyFill="1" applyBorder="1" applyAlignment="1" applyProtection="1">
      <alignment horizontal="center"/>
    </xf>
    <xf numFmtId="0" fontId="8" fillId="23" borderId="82" xfId="0" applyFont="1" applyFill="1" applyBorder="1" applyAlignment="1" applyProtection="1">
      <alignment horizontal="left"/>
    </xf>
    <xf numFmtId="0" fontId="8" fillId="23" borderId="22" xfId="0" applyFont="1" applyFill="1" applyBorder="1" applyAlignment="1" applyProtection="1">
      <alignment horizontal="center"/>
    </xf>
    <xf numFmtId="0" fontId="8" fillId="23" borderId="24" xfId="0" applyFont="1" applyFill="1" applyBorder="1" applyAlignment="1" applyProtection="1">
      <alignment horizontal="center"/>
    </xf>
    <xf numFmtId="0" fontId="16" fillId="23" borderId="66" xfId="0" applyFont="1" applyFill="1" applyBorder="1" applyAlignment="1" applyProtection="1">
      <alignment horizontal="left"/>
    </xf>
    <xf numFmtId="0" fontId="3" fillId="23" borderId="82" xfId="0" applyFont="1" applyFill="1" applyBorder="1" applyAlignment="1" applyProtection="1">
      <alignment horizontal="left"/>
    </xf>
    <xf numFmtId="0" fontId="5" fillId="23" borderId="155" xfId="0" applyFont="1" applyFill="1" applyBorder="1" applyAlignment="1" applyProtection="1">
      <alignment horizontal="left"/>
    </xf>
    <xf numFmtId="0" fontId="5" fillId="23" borderId="121" xfId="0" applyFont="1" applyFill="1" applyBorder="1" applyAlignment="1" applyProtection="1">
      <alignment horizontal="center"/>
    </xf>
    <xf numFmtId="0" fontId="5" fillId="23" borderId="57" xfId="0" applyFont="1" applyFill="1" applyBorder="1" applyAlignment="1" applyProtection="1">
      <alignment horizontal="center"/>
    </xf>
    <xf numFmtId="0" fontId="5" fillId="23" borderId="118" xfId="0" applyFont="1" applyFill="1" applyBorder="1" applyAlignment="1" applyProtection="1">
      <alignment horizontal="center"/>
    </xf>
    <xf numFmtId="0" fontId="5" fillId="23" borderId="88" xfId="0" applyFont="1" applyFill="1" applyBorder="1" applyAlignment="1" applyProtection="1">
      <alignment horizontal="center"/>
    </xf>
    <xf numFmtId="0" fontId="5" fillId="23" borderId="15" xfId="0" applyFont="1" applyFill="1" applyBorder="1" applyAlignment="1" applyProtection="1">
      <alignment horizontal="center"/>
    </xf>
    <xf numFmtId="0" fontId="5" fillId="23" borderId="60" xfId="0" applyFont="1" applyFill="1" applyBorder="1" applyAlignment="1" applyProtection="1">
      <alignment horizontal="center"/>
    </xf>
    <xf numFmtId="0" fontId="5" fillId="23" borderId="42" xfId="0" applyFont="1" applyFill="1" applyBorder="1" applyAlignment="1" applyProtection="1">
      <alignment horizontal="right"/>
    </xf>
    <xf numFmtId="0" fontId="5" fillId="23" borderId="42" xfId="0" applyFont="1" applyFill="1" applyBorder="1" applyAlignment="1" applyProtection="1">
      <alignment horizontal="center"/>
    </xf>
    <xf numFmtId="0" fontId="5" fillId="23" borderId="90" xfId="0" applyFont="1" applyFill="1" applyBorder="1" applyAlignment="1" applyProtection="1">
      <alignment horizontal="center"/>
    </xf>
    <xf numFmtId="9" fontId="3" fillId="23" borderId="156" xfId="0" applyNumberFormat="1" applyFont="1" applyFill="1" applyBorder="1" applyAlignment="1" applyProtection="1">
      <alignment horizontal="right"/>
    </xf>
    <xf numFmtId="0" fontId="3" fillId="23" borderId="2" xfId="0" applyFont="1" applyFill="1" applyBorder="1" applyAlignment="1" applyProtection="1">
      <alignment horizontal="right"/>
    </xf>
    <xf numFmtId="9" fontId="3" fillId="23" borderId="2" xfId="0" applyNumberFormat="1" applyFont="1" applyFill="1" applyBorder="1" applyAlignment="1" applyProtection="1">
      <alignment horizontal="right"/>
    </xf>
    <xf numFmtId="9" fontId="3" fillId="23" borderId="5" xfId="0" applyNumberFormat="1" applyFont="1" applyFill="1" applyBorder="1" applyAlignment="1" applyProtection="1">
      <alignment horizontal="right"/>
    </xf>
    <xf numFmtId="9" fontId="3" fillId="23" borderId="25" xfId="0" applyNumberFormat="1" applyFont="1" applyFill="1" applyBorder="1" applyAlignment="1" applyProtection="1">
      <alignment horizontal="right"/>
    </xf>
    <xf numFmtId="0" fontId="3" fillId="23" borderId="146" xfId="0" applyFont="1" applyFill="1" applyBorder="1" applyAlignment="1" applyProtection="1">
      <alignment horizontal="center"/>
    </xf>
    <xf numFmtId="0" fontId="5" fillId="23" borderId="118" xfId="0" applyFont="1" applyFill="1" applyBorder="1" applyProtection="1"/>
    <xf numFmtId="0" fontId="3" fillId="23" borderId="127" xfId="0" applyFont="1" applyFill="1" applyBorder="1" applyAlignment="1" applyProtection="1">
      <alignment vertical="top"/>
    </xf>
    <xf numFmtId="1" fontId="3" fillId="23" borderId="15" xfId="0" applyNumberFormat="1" applyFont="1" applyFill="1" applyBorder="1" applyAlignment="1" applyProtection="1">
      <alignment horizontal="left"/>
    </xf>
    <xf numFmtId="0" fontId="5" fillId="23" borderId="15" xfId="0" applyFont="1" applyFill="1" applyBorder="1" applyProtection="1"/>
    <xf numFmtId="0" fontId="8" fillId="23" borderId="1" xfId="0" applyFont="1" applyFill="1" applyBorder="1" applyProtection="1"/>
    <xf numFmtId="0" fontId="3" fillId="23" borderId="127" xfId="0" applyFont="1" applyFill="1" applyBorder="1" applyAlignment="1" applyProtection="1">
      <alignment horizontal="center"/>
    </xf>
    <xf numFmtId="0" fontId="3" fillId="23" borderId="9" xfId="0" applyFont="1" applyFill="1" applyBorder="1" applyProtection="1"/>
    <xf numFmtId="0" fontId="3" fillId="23" borderId="158" xfId="0" applyFont="1" applyFill="1" applyBorder="1" applyAlignment="1" applyProtection="1">
      <alignment horizontal="left" vertical="top"/>
    </xf>
    <xf numFmtId="0" fontId="5" fillId="23" borderId="159" xfId="0" applyFont="1" applyFill="1" applyBorder="1" applyAlignment="1" applyProtection="1">
      <alignment horizontal="center"/>
    </xf>
    <xf numFmtId="0" fontId="5" fillId="23" borderId="160" xfId="0" applyFont="1" applyFill="1" applyBorder="1" applyAlignment="1" applyProtection="1">
      <alignment horizontal="center"/>
    </xf>
    <xf numFmtId="49" fontId="8" fillId="23" borderId="14" xfId="0" applyNumberFormat="1" applyFont="1" applyFill="1" applyBorder="1" applyAlignment="1" applyProtection="1">
      <alignment horizontal="center"/>
    </xf>
    <xf numFmtId="49" fontId="8" fillId="23" borderId="9" xfId="0" applyNumberFormat="1" applyFont="1" applyFill="1" applyBorder="1" applyAlignment="1" applyProtection="1">
      <alignment horizontal="center"/>
    </xf>
    <xf numFmtId="1" fontId="8" fillId="23" borderId="133" xfId="0" applyNumberFormat="1" applyFont="1" applyFill="1" applyBorder="1" applyAlignment="1" applyProtection="1">
      <alignment horizontal="center"/>
    </xf>
    <xf numFmtId="1" fontId="8" fillId="23" borderId="133" xfId="0" applyNumberFormat="1" applyFont="1" applyFill="1" applyBorder="1" applyAlignment="1" applyProtection="1">
      <alignment horizontal="left"/>
    </xf>
    <xf numFmtId="1" fontId="8" fillId="23" borderId="42" xfId="0" applyNumberFormat="1" applyFont="1" applyFill="1" applyBorder="1" applyAlignment="1" applyProtection="1">
      <alignment horizontal="center"/>
    </xf>
    <xf numFmtId="49" fontId="8" fillId="23" borderId="161" xfId="0" applyNumberFormat="1" applyFont="1" applyFill="1" applyBorder="1" applyAlignment="1" applyProtection="1">
      <alignment horizontal="center"/>
    </xf>
    <xf numFmtId="0" fontId="16" fillId="23" borderId="118" xfId="0" applyFont="1" applyFill="1" applyBorder="1" applyAlignment="1" applyProtection="1">
      <alignment horizontal="left"/>
    </xf>
    <xf numFmtId="0" fontId="16" fillId="23" borderId="15" xfId="0" applyFont="1" applyFill="1" applyBorder="1" applyAlignment="1" applyProtection="1">
      <alignment horizontal="left"/>
    </xf>
    <xf numFmtId="0" fontId="5" fillId="23" borderId="42" xfId="0" applyFont="1" applyFill="1" applyBorder="1" applyAlignment="1" applyProtection="1">
      <alignment horizontal="left"/>
    </xf>
    <xf numFmtId="1" fontId="8" fillId="23" borderId="5" xfId="0" applyNumberFormat="1" applyFont="1" applyFill="1" applyBorder="1" applyAlignment="1" applyProtection="1">
      <alignment horizontal="center"/>
    </xf>
    <xf numFmtId="0" fontId="8" fillId="23" borderId="5" xfId="0" applyFont="1" applyFill="1" applyBorder="1" applyProtection="1"/>
    <xf numFmtId="165" fontId="16" fillId="23" borderId="60" xfId="0" applyNumberFormat="1" applyFont="1" applyFill="1" applyBorder="1" applyAlignment="1" applyProtection="1">
      <alignment horizontal="left"/>
    </xf>
    <xf numFmtId="165" fontId="16" fillId="23" borderId="88" xfId="0" applyNumberFormat="1" applyFont="1" applyFill="1" applyBorder="1" applyAlignment="1" applyProtection="1">
      <alignment horizontal="left"/>
    </xf>
    <xf numFmtId="165" fontId="22" fillId="23" borderId="90" xfId="0" applyNumberFormat="1" applyFont="1" applyFill="1" applyBorder="1" applyAlignment="1" applyProtection="1">
      <alignment horizontal="left"/>
    </xf>
    <xf numFmtId="0" fontId="16" fillId="23" borderId="116" xfId="0" applyFont="1" applyFill="1" applyBorder="1" applyProtection="1"/>
    <xf numFmtId="0" fontId="16" fillId="23" borderId="90" xfId="0" applyFont="1" applyFill="1" applyBorder="1" applyProtection="1"/>
    <xf numFmtId="165" fontId="4" fillId="23" borderId="60" xfId="0" applyNumberFormat="1" applyFont="1" applyFill="1" applyBorder="1" applyAlignment="1" applyProtection="1">
      <alignment horizontal="left"/>
    </xf>
    <xf numFmtId="165" fontId="22" fillId="23" borderId="90" xfId="0" applyNumberFormat="1" applyFont="1" applyFill="1" applyBorder="1" applyProtection="1"/>
    <xf numFmtId="1" fontId="3" fillId="23" borderId="154" xfId="0" applyNumberFormat="1" applyFont="1" applyFill="1" applyBorder="1" applyAlignment="1" applyProtection="1">
      <alignment horizontal="left"/>
    </xf>
    <xf numFmtId="0" fontId="12" fillId="23" borderId="116" xfId="0" applyFont="1" applyFill="1" applyBorder="1" applyAlignment="1" applyProtection="1">
      <alignment horizontal="left"/>
    </xf>
    <xf numFmtId="0" fontId="5" fillId="23" borderId="1" xfId="0" applyFont="1" applyFill="1" applyBorder="1" applyAlignment="1" applyProtection="1">
      <alignment horizontal="left"/>
    </xf>
    <xf numFmtId="165" fontId="5" fillId="23" borderId="90" xfId="0" applyNumberFormat="1" applyFont="1" applyFill="1" applyBorder="1" applyAlignment="1" applyProtection="1">
      <alignment horizontal="left"/>
    </xf>
    <xf numFmtId="1" fontId="16" fillId="23" borderId="25" xfId="0" applyNumberFormat="1" applyFont="1" applyFill="1" applyBorder="1" applyAlignment="1" applyProtection="1">
      <alignment horizontal="center"/>
    </xf>
    <xf numFmtId="1" fontId="3" fillId="23" borderId="84" xfId="0" applyNumberFormat="1" applyFont="1" applyFill="1" applyBorder="1" applyAlignment="1" applyProtection="1">
      <alignment horizontal="center"/>
    </xf>
    <xf numFmtId="0" fontId="3" fillId="23" borderId="98" xfId="0" applyFont="1" applyFill="1" applyBorder="1" applyAlignment="1" applyProtection="1">
      <alignment horizontal="left" vertical="top" wrapText="1"/>
    </xf>
    <xf numFmtId="0" fontId="66" fillId="23" borderId="120" xfId="0" applyFont="1" applyFill="1" applyBorder="1" applyProtection="1"/>
    <xf numFmtId="0" fontId="4" fillId="23" borderId="89" xfId="0" applyFont="1" applyFill="1" applyBorder="1" applyAlignment="1" applyProtection="1"/>
    <xf numFmtId="0" fontId="100" fillId="23" borderId="89" xfId="0" applyFont="1" applyFill="1" applyBorder="1" applyAlignment="1"/>
    <xf numFmtId="1" fontId="3" fillId="23" borderId="98" xfId="0" applyNumberFormat="1" applyFont="1" applyFill="1" applyBorder="1" applyAlignment="1" applyProtection="1">
      <alignment horizontal="left"/>
    </xf>
    <xf numFmtId="0" fontId="3" fillId="23" borderId="118" xfId="0" applyFont="1" applyFill="1" applyBorder="1" applyAlignment="1" applyProtection="1">
      <alignment horizontal="left"/>
    </xf>
    <xf numFmtId="3" fontId="3" fillId="23" borderId="163" xfId="0" applyNumberFormat="1" applyFont="1" applyFill="1" applyBorder="1" applyAlignment="1" applyProtection="1">
      <alignment horizontal="left"/>
    </xf>
    <xf numFmtId="3" fontId="3" fillId="23" borderId="164" xfId="0" applyNumberFormat="1" applyFont="1" applyFill="1" applyBorder="1" applyProtection="1"/>
    <xf numFmtId="1" fontId="3" fillId="23" borderId="127" xfId="0" applyNumberFormat="1" applyFont="1" applyFill="1" applyBorder="1" applyAlignment="1" applyProtection="1">
      <alignment horizontal="left"/>
    </xf>
    <xf numFmtId="3" fontId="3" fillId="23" borderId="15" xfId="0" applyNumberFormat="1" applyFont="1" applyFill="1" applyBorder="1" applyAlignment="1" applyProtection="1">
      <alignment horizontal="left"/>
    </xf>
    <xf numFmtId="0" fontId="3" fillId="23" borderId="0" xfId="0" applyFont="1" applyFill="1" applyBorder="1" applyProtection="1"/>
    <xf numFmtId="3" fontId="3" fillId="23" borderId="15" xfId="0" applyNumberFormat="1" applyFont="1" applyFill="1" applyBorder="1" applyProtection="1"/>
    <xf numFmtId="0" fontId="7" fillId="23" borderId="116" xfId="0" applyFont="1" applyFill="1" applyBorder="1" applyProtection="1"/>
    <xf numFmtId="0" fontId="3" fillId="23" borderId="1" xfId="0" applyFont="1" applyFill="1" applyBorder="1" applyProtection="1"/>
    <xf numFmtId="0" fontId="3" fillId="23" borderId="42" xfId="0" applyFont="1" applyFill="1" applyBorder="1" applyProtection="1"/>
    <xf numFmtId="49" fontId="3" fillId="23" borderId="135" xfId="0" applyNumberFormat="1" applyFont="1" applyFill="1" applyBorder="1" applyAlignment="1" applyProtection="1">
      <alignment horizontal="left"/>
    </xf>
    <xf numFmtId="169" fontId="3" fillId="23" borderId="35" xfId="0" applyNumberFormat="1" applyFont="1" applyFill="1" applyBorder="1" applyAlignment="1" applyProtection="1">
      <alignment horizontal="left"/>
    </xf>
    <xf numFmtId="49" fontId="8" fillId="23" borderId="134" xfId="0" applyNumberFormat="1" applyFont="1" applyFill="1" applyBorder="1" applyAlignment="1" applyProtection="1">
      <alignment horizontal="center"/>
    </xf>
    <xf numFmtId="49" fontId="3" fillId="23" borderId="125" xfId="0" applyNumberFormat="1" applyFont="1" applyFill="1" applyBorder="1" applyAlignment="1" applyProtection="1">
      <alignment horizontal="center"/>
    </xf>
    <xf numFmtId="3" fontId="2" fillId="23" borderId="35" xfId="0" applyNumberFormat="1" applyFont="1" applyFill="1" applyBorder="1" applyAlignment="1" applyProtection="1">
      <alignment horizontal="right"/>
    </xf>
    <xf numFmtId="0" fontId="5" fillId="23" borderId="70" xfId="0" applyFont="1" applyFill="1" applyBorder="1" applyProtection="1"/>
    <xf numFmtId="49" fontId="8" fillId="23" borderId="131" xfId="0" applyNumberFormat="1" applyFont="1" applyFill="1" applyBorder="1" applyAlignment="1" applyProtection="1">
      <alignment horizontal="center"/>
    </xf>
    <xf numFmtId="0" fontId="16" fillId="23" borderId="42" xfId="0" applyFont="1" applyFill="1" applyBorder="1" applyAlignment="1" applyProtection="1">
      <alignment horizontal="left"/>
    </xf>
    <xf numFmtId="0" fontId="5" fillId="23" borderId="2" xfId="0" applyFont="1" applyFill="1" applyBorder="1" applyAlignment="1" applyProtection="1">
      <alignment horizontal="left" wrapText="1"/>
    </xf>
    <xf numFmtId="0" fontId="8" fillId="23" borderId="2" xfId="0" applyFont="1" applyFill="1" applyBorder="1" applyAlignment="1" applyProtection="1">
      <alignment horizontal="left"/>
    </xf>
    <xf numFmtId="49" fontId="8" fillId="23" borderId="144" xfId="0" applyNumberFormat="1" applyFont="1" applyFill="1" applyBorder="1" applyAlignment="1" applyProtection="1">
      <alignment horizontal="center"/>
    </xf>
    <xf numFmtId="0" fontId="8" fillId="23" borderId="13" xfId="0" applyFont="1" applyFill="1" applyBorder="1" applyProtection="1"/>
    <xf numFmtId="49" fontId="8" fillId="23" borderId="100" xfId="0" applyNumberFormat="1" applyFont="1" applyFill="1" applyBorder="1" applyAlignment="1" applyProtection="1">
      <alignment horizontal="center"/>
    </xf>
    <xf numFmtId="1" fontId="3" fillId="23" borderId="23" xfId="0" applyNumberFormat="1" applyFont="1" applyFill="1" applyBorder="1" applyAlignment="1" applyProtection="1">
      <alignment horizontal="left" vertical="top" wrapText="1"/>
    </xf>
    <xf numFmtId="0" fontId="3" fillId="23" borderId="165" xfId="0" applyFont="1" applyFill="1" applyBorder="1" applyAlignment="1" applyProtection="1">
      <alignment vertical="top"/>
    </xf>
    <xf numFmtId="0" fontId="8" fillId="23" borderId="166" xfId="0" applyFont="1" applyFill="1" applyBorder="1" applyProtection="1"/>
    <xf numFmtId="0" fontId="11" fillId="23" borderId="127" xfId="0" applyFont="1" applyFill="1" applyBorder="1" applyProtection="1"/>
    <xf numFmtId="0" fontId="8" fillId="23" borderId="44" xfId="0" applyFont="1" applyFill="1" applyBorder="1" applyProtection="1"/>
    <xf numFmtId="0" fontId="0" fillId="23" borderId="127" xfId="0" applyFill="1" applyBorder="1" applyProtection="1"/>
    <xf numFmtId="0" fontId="12" fillId="27" borderId="116" xfId="0" applyFont="1" applyFill="1" applyBorder="1" applyProtection="1"/>
    <xf numFmtId="49" fontId="11" fillId="27" borderId="58" xfId="0" applyNumberFormat="1" applyFont="1" applyFill="1" applyBorder="1" applyProtection="1"/>
    <xf numFmtId="0" fontId="21" fillId="23" borderId="167" xfId="0" applyFont="1" applyFill="1" applyBorder="1" applyProtection="1"/>
    <xf numFmtId="49" fontId="13" fillId="23" borderId="127" xfId="0" applyNumberFormat="1" applyFont="1" applyFill="1" applyBorder="1" applyAlignment="1" applyProtection="1">
      <alignment horizontal="left"/>
    </xf>
    <xf numFmtId="0" fontId="16" fillId="23" borderId="168" xfId="0" applyFont="1" applyFill="1" applyBorder="1" applyAlignment="1" applyProtection="1">
      <alignment wrapText="1"/>
    </xf>
    <xf numFmtId="0" fontId="8" fillId="23" borderId="3" xfId="0" applyFont="1" applyFill="1" applyBorder="1" applyAlignment="1" applyProtection="1"/>
    <xf numFmtId="0" fontId="8" fillId="23" borderId="6" xfId="0" applyFont="1" applyFill="1" applyBorder="1" applyProtection="1"/>
    <xf numFmtId="0" fontId="16" fillId="23" borderId="117" xfId="0" applyFont="1" applyFill="1" applyBorder="1" applyProtection="1"/>
    <xf numFmtId="0" fontId="8" fillId="23" borderId="3" xfId="0" applyFont="1" applyFill="1" applyBorder="1" applyProtection="1"/>
    <xf numFmtId="0" fontId="16" fillId="23" borderId="96" xfId="0" applyFont="1" applyFill="1" applyBorder="1" applyProtection="1"/>
    <xf numFmtId="0" fontId="16" fillId="23" borderId="44" xfId="0" applyFont="1" applyFill="1" applyBorder="1" applyProtection="1"/>
    <xf numFmtId="0" fontId="8" fillId="23" borderId="72" xfId="0" applyFont="1" applyFill="1" applyBorder="1" applyProtection="1"/>
    <xf numFmtId="0" fontId="16" fillId="23" borderId="168" xfId="0" applyFont="1" applyFill="1" applyBorder="1" applyProtection="1"/>
    <xf numFmtId="0" fontId="5" fillId="23" borderId="168" xfId="0" applyFont="1" applyFill="1" applyBorder="1" applyAlignment="1" applyProtection="1">
      <alignment wrapText="1"/>
    </xf>
    <xf numFmtId="0" fontId="3" fillId="23" borderId="6" xfId="0" applyFont="1" applyFill="1" applyBorder="1" applyProtection="1"/>
    <xf numFmtId="0" fontId="16" fillId="23" borderId="94" xfId="0" applyFont="1" applyFill="1" applyBorder="1" applyProtection="1"/>
    <xf numFmtId="49" fontId="3" fillId="23" borderId="3" xfId="0" applyNumberFormat="1" applyFont="1" applyFill="1" applyBorder="1" applyAlignment="1" applyProtection="1">
      <alignment horizontal="left"/>
    </xf>
    <xf numFmtId="49" fontId="3" fillId="23" borderId="92" xfId="0" applyNumberFormat="1" applyFont="1" applyFill="1" applyBorder="1" applyAlignment="1" applyProtection="1">
      <alignment horizontal="left"/>
    </xf>
    <xf numFmtId="0" fontId="3" fillId="23" borderId="3" xfId="0" applyFont="1" applyFill="1" applyBorder="1" applyAlignment="1" applyProtection="1">
      <alignment wrapText="1"/>
    </xf>
    <xf numFmtId="0" fontId="16" fillId="23" borderId="94" xfId="0" applyFont="1" applyFill="1" applyBorder="1" applyAlignment="1" applyProtection="1"/>
    <xf numFmtId="0" fontId="3" fillId="23" borderId="3" xfId="0" applyFont="1" applyFill="1" applyBorder="1" applyProtection="1"/>
    <xf numFmtId="0" fontId="124" fillId="23" borderId="3" xfId="0" applyFont="1" applyFill="1" applyBorder="1" applyProtection="1"/>
    <xf numFmtId="0" fontId="8" fillId="23" borderId="10" xfId="0" applyFont="1" applyFill="1" applyBorder="1" applyProtection="1"/>
    <xf numFmtId="0" fontId="8" fillId="23" borderId="99" xfId="0" applyFont="1" applyFill="1" applyBorder="1" applyProtection="1"/>
    <xf numFmtId="3" fontId="3" fillId="23" borderId="128" xfId="0" applyNumberFormat="1" applyFont="1" applyFill="1" applyBorder="1" applyAlignment="1" applyProtection="1">
      <alignment horizontal="left" vertical="top" wrapText="1"/>
    </xf>
    <xf numFmtId="3" fontId="3" fillId="23" borderId="15" xfId="0" applyNumberFormat="1" applyFont="1" applyFill="1" applyBorder="1" applyAlignment="1" applyProtection="1">
      <alignment horizontal="left" vertical="top"/>
    </xf>
    <xf numFmtId="3" fontId="3" fillId="23" borderId="68" xfId="0" applyNumberFormat="1" applyFont="1" applyFill="1" applyBorder="1" applyAlignment="1" applyProtection="1">
      <alignment horizontal="left" vertical="top" wrapText="1"/>
    </xf>
    <xf numFmtId="3" fontId="3" fillId="23" borderId="16" xfId="0" applyNumberFormat="1" applyFont="1" applyFill="1" applyBorder="1" applyAlignment="1" applyProtection="1">
      <alignment horizontal="left" vertical="top" wrapText="1"/>
    </xf>
    <xf numFmtId="3" fontId="3" fillId="23" borderId="154" xfId="0" applyNumberFormat="1" applyFont="1" applyFill="1" applyBorder="1" applyProtection="1"/>
    <xf numFmtId="0" fontId="3" fillId="23" borderId="154" xfId="0" applyFont="1" applyFill="1" applyBorder="1" applyAlignment="1" applyProtection="1">
      <alignment horizontal="left" vertical="top" wrapText="1"/>
    </xf>
    <xf numFmtId="0" fontId="3" fillId="23" borderId="154" xfId="0" applyFont="1" applyFill="1" applyBorder="1" applyProtection="1"/>
    <xf numFmtId="3" fontId="8" fillId="23" borderId="16" xfId="0" applyNumberFormat="1" applyFont="1" applyFill="1" applyBorder="1" applyProtection="1"/>
    <xf numFmtId="0" fontId="8" fillId="23" borderId="150" xfId="0" applyFont="1" applyFill="1" applyBorder="1" applyProtection="1"/>
    <xf numFmtId="49" fontId="11" fillId="23" borderId="169" xfId="0" applyNumberFormat="1" applyFont="1" applyFill="1" applyBorder="1" applyProtection="1"/>
    <xf numFmtId="49" fontId="11" fillId="23" borderId="167" xfId="0" applyNumberFormat="1" applyFont="1" applyFill="1" applyBorder="1" applyProtection="1"/>
    <xf numFmtId="49" fontId="11" fillId="23" borderId="136" xfId="0" applyNumberFormat="1" applyFont="1" applyFill="1" applyBorder="1" applyProtection="1"/>
    <xf numFmtId="49" fontId="11" fillId="23" borderId="113" xfId="0" applyNumberFormat="1" applyFont="1" applyFill="1" applyBorder="1" applyProtection="1"/>
    <xf numFmtId="49" fontId="11" fillId="23" borderId="126" xfId="0" applyNumberFormat="1" applyFont="1" applyFill="1" applyBorder="1" applyProtection="1"/>
    <xf numFmtId="49" fontId="11" fillId="23" borderId="170" xfId="0" applyNumberFormat="1" applyFont="1" applyFill="1" applyBorder="1" applyProtection="1"/>
    <xf numFmtId="49" fontId="11" fillId="23" borderId="4" xfId="0" applyNumberFormat="1" applyFont="1" applyFill="1" applyBorder="1" applyProtection="1"/>
    <xf numFmtId="49" fontId="11" fillId="23" borderId="3" xfId="0" applyNumberFormat="1" applyFont="1" applyFill="1" applyBorder="1" applyProtection="1"/>
    <xf numFmtId="49" fontId="11" fillId="23" borderId="2" xfId="0" applyNumberFormat="1" applyFont="1" applyFill="1" applyBorder="1" applyProtection="1"/>
    <xf numFmtId="49" fontId="11" fillId="23" borderId="82" xfId="0" applyNumberFormat="1" applyFont="1" applyFill="1" applyBorder="1" applyProtection="1"/>
    <xf numFmtId="49" fontId="11" fillId="23" borderId="65" xfId="0" applyNumberFormat="1" applyFont="1" applyFill="1" applyBorder="1" applyProtection="1"/>
    <xf numFmtId="49" fontId="11" fillId="23" borderId="53" xfId="0" applyNumberFormat="1" applyFont="1" applyFill="1" applyBorder="1" applyProtection="1"/>
    <xf numFmtId="3" fontId="13" fillId="23" borderId="14" xfId="0" applyNumberFormat="1" applyFont="1" applyFill="1" applyBorder="1" applyAlignment="1" applyProtection="1">
      <alignment horizontal="right"/>
    </xf>
    <xf numFmtId="3" fontId="13" fillId="23" borderId="10" xfId="0" applyNumberFormat="1" applyFont="1" applyFill="1" applyBorder="1" applyAlignment="1" applyProtection="1">
      <alignment horizontal="right"/>
    </xf>
    <xf numFmtId="3" fontId="13" fillId="23" borderId="9" xfId="0" applyNumberFormat="1" applyFont="1" applyFill="1" applyBorder="1" applyAlignment="1" applyProtection="1">
      <alignment horizontal="right"/>
    </xf>
    <xf numFmtId="3" fontId="13" fillId="23" borderId="20" xfId="0" applyNumberFormat="1" applyFont="1" applyFill="1" applyBorder="1" applyAlignment="1" applyProtection="1">
      <alignment horizontal="right"/>
    </xf>
    <xf numFmtId="3" fontId="13" fillId="23" borderId="101" xfId="0" applyNumberFormat="1" applyFont="1" applyFill="1" applyBorder="1" applyAlignment="1" applyProtection="1">
      <alignment horizontal="right"/>
    </xf>
    <xf numFmtId="3" fontId="13" fillId="23" borderId="117" xfId="0" applyNumberFormat="1" applyFont="1" applyFill="1" applyBorder="1" applyAlignment="1" applyProtection="1">
      <alignment horizontal="right"/>
    </xf>
    <xf numFmtId="3" fontId="13" fillId="23" borderId="124" xfId="0" applyNumberFormat="1" applyFont="1" applyFill="1" applyBorder="1" applyAlignment="1" applyProtection="1">
      <alignment horizontal="right"/>
    </xf>
    <xf numFmtId="3" fontId="13" fillId="23" borderId="95" xfId="0" applyNumberFormat="1" applyFont="1" applyFill="1" applyBorder="1" applyAlignment="1" applyProtection="1">
      <alignment horizontal="right"/>
    </xf>
    <xf numFmtId="3" fontId="13" fillId="23" borderId="118" xfId="0" applyNumberFormat="1" applyFont="1" applyFill="1" applyBorder="1" applyAlignment="1" applyProtection="1">
      <alignment horizontal="right"/>
    </xf>
    <xf numFmtId="3" fontId="13" fillId="23" borderId="96" xfId="0" applyNumberFormat="1" applyFont="1" applyFill="1" applyBorder="1" applyAlignment="1" applyProtection="1">
      <alignment horizontal="right"/>
    </xf>
    <xf numFmtId="3" fontId="13" fillId="23" borderId="88" xfId="0" applyNumberFormat="1" applyFont="1" applyFill="1" applyBorder="1" applyAlignment="1" applyProtection="1">
      <alignment horizontal="right"/>
    </xf>
    <xf numFmtId="3" fontId="13" fillId="23" borderId="4" xfId="0" applyNumberFormat="1" applyFont="1" applyFill="1" applyBorder="1" applyAlignment="1" applyProtection="1">
      <alignment horizontal="right"/>
    </xf>
    <xf numFmtId="3" fontId="13" fillId="23" borderId="3" xfId="0" applyNumberFormat="1" applyFont="1" applyFill="1" applyBorder="1" applyAlignment="1" applyProtection="1">
      <alignment horizontal="right"/>
    </xf>
    <xf numFmtId="3" fontId="13" fillId="23" borderId="55" xfId="0" applyNumberFormat="1" applyFont="1" applyFill="1" applyBorder="1" applyAlignment="1" applyProtection="1">
      <alignment horizontal="right"/>
    </xf>
    <xf numFmtId="3" fontId="13" fillId="23" borderId="54" xfId="0" applyNumberFormat="1" applyFont="1" applyFill="1" applyBorder="1" applyAlignment="1" applyProtection="1">
      <alignment horizontal="right"/>
    </xf>
    <xf numFmtId="3" fontId="13" fillId="23" borderId="2" xfId="0" applyNumberFormat="1" applyFont="1" applyFill="1" applyBorder="1" applyAlignment="1" applyProtection="1">
      <alignment horizontal="right"/>
    </xf>
    <xf numFmtId="3" fontId="13" fillId="23" borderId="65" xfId="0" applyNumberFormat="1" applyFont="1" applyFill="1" applyBorder="1" applyAlignment="1" applyProtection="1">
      <alignment horizontal="right"/>
    </xf>
    <xf numFmtId="3" fontId="13" fillId="23" borderId="18" xfId="0" applyNumberFormat="1" applyFont="1" applyFill="1" applyBorder="1" applyAlignment="1" applyProtection="1">
      <alignment horizontal="right"/>
    </xf>
    <xf numFmtId="3" fontId="13" fillId="23" borderId="7" xfId="0" applyNumberFormat="1" applyFont="1" applyFill="1" applyBorder="1" applyAlignment="1" applyProtection="1">
      <alignment horizontal="right"/>
    </xf>
    <xf numFmtId="3" fontId="13" fillId="23" borderId="6" xfId="0" applyNumberFormat="1" applyFont="1" applyFill="1" applyBorder="1" applyAlignment="1" applyProtection="1">
      <alignment horizontal="right"/>
    </xf>
    <xf numFmtId="3" fontId="13" fillId="23" borderId="5" xfId="0" applyNumberFormat="1" applyFont="1" applyFill="1" applyBorder="1" applyAlignment="1" applyProtection="1">
      <alignment horizontal="right"/>
    </xf>
    <xf numFmtId="3" fontId="13" fillId="23" borderId="19" xfId="0" applyNumberFormat="1" applyFont="1" applyFill="1" applyBorder="1" applyAlignment="1" applyProtection="1">
      <alignment horizontal="right"/>
    </xf>
    <xf numFmtId="3" fontId="5" fillId="23" borderId="119" xfId="0" applyNumberFormat="1" applyFont="1" applyFill="1" applyBorder="1" applyAlignment="1" applyProtection="1">
      <alignment horizontal="left" vertical="top" wrapText="1"/>
    </xf>
    <xf numFmtId="3" fontId="5" fillId="23" borderId="160" xfId="0" applyNumberFormat="1" applyFont="1" applyFill="1" applyBorder="1" applyAlignment="1" applyProtection="1">
      <alignment vertical="top" wrapText="1"/>
    </xf>
    <xf numFmtId="3" fontId="8" fillId="23" borderId="127" xfId="0" applyNumberFormat="1" applyFont="1" applyFill="1" applyBorder="1" applyProtection="1"/>
    <xf numFmtId="0" fontId="8" fillId="23" borderId="0" xfId="0" applyFont="1" applyFill="1" applyBorder="1" applyProtection="1"/>
    <xf numFmtId="3" fontId="8" fillId="23" borderId="160" xfId="0" applyNumberFormat="1" applyFont="1" applyFill="1" applyBorder="1" applyProtection="1"/>
    <xf numFmtId="0" fontId="8" fillId="23" borderId="127" xfId="0" applyFont="1" applyFill="1" applyBorder="1" applyProtection="1"/>
    <xf numFmtId="0" fontId="8" fillId="23" borderId="116" xfId="0" applyFont="1" applyFill="1" applyBorder="1" applyProtection="1"/>
    <xf numFmtId="0" fontId="11" fillId="23" borderId="172" xfId="0" applyFont="1" applyFill="1" applyBorder="1" applyProtection="1"/>
    <xf numFmtId="49" fontId="11" fillId="23" borderId="135" xfId="0" applyNumberFormat="1" applyFont="1" applyFill="1" applyBorder="1" applyProtection="1"/>
    <xf numFmtId="49" fontId="11" fillId="23" borderId="173" xfId="0" applyNumberFormat="1" applyFont="1" applyFill="1" applyBorder="1" applyProtection="1"/>
    <xf numFmtId="49" fontId="11" fillId="23" borderId="21" xfId="0" applyNumberFormat="1" applyFont="1" applyFill="1" applyBorder="1" applyProtection="1"/>
    <xf numFmtId="49" fontId="11" fillId="23" borderId="108" xfId="0" applyNumberFormat="1" applyFont="1" applyFill="1" applyBorder="1" applyProtection="1"/>
    <xf numFmtId="3" fontId="13" fillId="23" borderId="23" xfId="0" applyNumberFormat="1" applyFont="1" applyFill="1" applyBorder="1" applyAlignment="1" applyProtection="1">
      <alignment horizontal="right"/>
    </xf>
    <xf numFmtId="3" fontId="13" fillId="23" borderId="98" xfId="0" applyNumberFormat="1" applyFont="1" applyFill="1" applyBorder="1" applyAlignment="1" applyProtection="1">
      <alignment horizontal="right"/>
    </xf>
    <xf numFmtId="3" fontId="13" fillId="23" borderId="21" xfId="0" applyNumberFormat="1" applyFont="1" applyFill="1" applyBorder="1" applyAlignment="1" applyProtection="1">
      <alignment horizontal="right"/>
    </xf>
    <xf numFmtId="3" fontId="13" fillId="23" borderId="22" xfId="0" applyNumberFormat="1" applyFont="1" applyFill="1" applyBorder="1" applyAlignment="1" applyProtection="1">
      <alignment horizontal="right"/>
    </xf>
    <xf numFmtId="3" fontId="3" fillId="23" borderId="130" xfId="0" applyNumberFormat="1" applyFont="1" applyFill="1" applyBorder="1" applyAlignment="1" applyProtection="1">
      <alignment horizontal="left" vertical="top" wrapText="1"/>
    </xf>
    <xf numFmtId="3" fontId="3" fillId="23" borderId="69" xfId="0" applyNumberFormat="1" applyFont="1" applyFill="1" applyBorder="1" applyAlignment="1" applyProtection="1">
      <alignment horizontal="left" vertical="top" wrapText="1"/>
    </xf>
    <xf numFmtId="3" fontId="5" fillId="23" borderId="119" xfId="0" applyNumberFormat="1" applyFont="1" applyFill="1" applyBorder="1" applyAlignment="1" applyProtection="1">
      <alignment horizontal="left" vertical="top"/>
    </xf>
    <xf numFmtId="3" fontId="5" fillId="23" borderId="160" xfId="0" applyNumberFormat="1" applyFont="1" applyFill="1" applyBorder="1" applyAlignment="1" applyProtection="1">
      <alignment horizontal="left" vertical="top" wrapText="1"/>
    </xf>
    <xf numFmtId="0" fontId="8" fillId="23" borderId="160" xfId="0" applyFont="1" applyFill="1" applyBorder="1" applyProtection="1"/>
    <xf numFmtId="0" fontId="8" fillId="23" borderId="172" xfId="0" applyFont="1" applyFill="1" applyBorder="1" applyProtection="1"/>
    <xf numFmtId="49" fontId="11" fillId="23" borderId="174" xfId="0" applyNumberFormat="1" applyFont="1" applyFill="1" applyBorder="1" applyProtection="1"/>
    <xf numFmtId="49" fontId="11" fillId="23" borderId="175" xfId="0" applyNumberFormat="1" applyFont="1" applyFill="1" applyBorder="1" applyProtection="1"/>
    <xf numFmtId="49" fontId="11" fillId="23" borderId="28" xfId="0" applyNumberFormat="1" applyFont="1" applyFill="1" applyBorder="1" applyProtection="1"/>
    <xf numFmtId="49" fontId="11" fillId="23" borderId="103" xfId="0" applyNumberFormat="1" applyFont="1" applyFill="1" applyBorder="1" applyProtection="1"/>
    <xf numFmtId="3" fontId="13" fillId="23" borderId="30" xfId="0" applyNumberFormat="1" applyFont="1" applyFill="1" applyBorder="1" applyAlignment="1" applyProtection="1">
      <alignment horizontal="right"/>
    </xf>
    <xf numFmtId="3" fontId="13" fillId="23" borderId="31" xfId="0" applyNumberFormat="1" applyFont="1" applyFill="1" applyBorder="1" applyAlignment="1" applyProtection="1">
      <alignment horizontal="right"/>
    </xf>
    <xf numFmtId="3" fontId="13" fillId="23" borderId="47" xfId="0" applyNumberFormat="1" applyFont="1" applyFill="1" applyBorder="1" applyAlignment="1" applyProtection="1">
      <alignment horizontal="right"/>
    </xf>
    <xf numFmtId="3" fontId="13" fillId="23" borderId="119" xfId="0" applyNumberFormat="1" applyFont="1" applyFill="1" applyBorder="1" applyAlignment="1" applyProtection="1">
      <alignment horizontal="right"/>
    </xf>
    <xf numFmtId="3" fontId="13" fillId="23" borderId="28" xfId="0" applyNumberFormat="1" applyFont="1" applyFill="1" applyBorder="1" applyAlignment="1" applyProtection="1">
      <alignment horizontal="right"/>
    </xf>
    <xf numFmtId="3" fontId="13" fillId="23" borderId="103" xfId="0" applyNumberFormat="1" applyFont="1" applyFill="1" applyBorder="1" applyAlignment="1" applyProtection="1">
      <alignment horizontal="right"/>
    </xf>
    <xf numFmtId="3" fontId="13" fillId="23" borderId="29" xfId="0" applyNumberFormat="1" applyFont="1" applyFill="1" applyBorder="1" applyAlignment="1" applyProtection="1">
      <alignment horizontal="right"/>
    </xf>
    <xf numFmtId="3" fontId="13" fillId="23" borderId="32" xfId="0" applyNumberFormat="1" applyFont="1" applyFill="1" applyBorder="1" applyAlignment="1" applyProtection="1">
      <alignment horizontal="right"/>
    </xf>
    <xf numFmtId="0" fontId="8" fillId="23" borderId="154" xfId="0" applyFont="1" applyFill="1" applyBorder="1" applyAlignment="1" applyProtection="1">
      <alignment horizontal="left"/>
    </xf>
    <xf numFmtId="0" fontId="3" fillId="23" borderId="154" xfId="0" applyFont="1" applyFill="1" applyBorder="1" applyAlignment="1" applyProtection="1">
      <alignment horizontal="left"/>
    </xf>
    <xf numFmtId="0" fontId="8" fillId="23" borderId="15" xfId="0" applyFont="1" applyFill="1" applyBorder="1" applyAlignment="1" applyProtection="1">
      <alignment horizontal="left"/>
    </xf>
    <xf numFmtId="0" fontId="8" fillId="23" borderId="154" xfId="0" applyFont="1" applyFill="1" applyBorder="1" applyProtection="1"/>
    <xf numFmtId="0" fontId="8" fillId="23" borderId="154" xfId="0" applyFont="1" applyFill="1" applyBorder="1" applyAlignment="1" applyProtection="1">
      <alignment horizontal="center"/>
    </xf>
    <xf numFmtId="0" fontId="24" fillId="23" borderId="154" xfId="0" applyFont="1" applyFill="1" applyBorder="1" applyProtection="1"/>
    <xf numFmtId="0" fontId="35" fillId="23" borderId="154" xfId="0" applyFont="1" applyFill="1" applyBorder="1" applyProtection="1"/>
    <xf numFmtId="0" fontId="35" fillId="23" borderId="44" xfId="0" applyFont="1" applyFill="1" applyBorder="1" applyProtection="1"/>
    <xf numFmtId="3" fontId="18" fillId="23" borderId="154" xfId="0" applyNumberFormat="1" applyFont="1" applyFill="1" applyBorder="1" applyProtection="1"/>
    <xf numFmtId="3" fontId="47" fillId="23" borderId="154" xfId="0" applyNumberFormat="1" applyFont="1" applyFill="1" applyBorder="1" applyProtection="1"/>
    <xf numFmtId="3" fontId="104" fillId="23" borderId="154" xfId="0" applyNumberFormat="1" applyFont="1" applyFill="1" applyBorder="1" applyProtection="1"/>
    <xf numFmtId="3" fontId="104" fillId="23" borderId="44" xfId="0" applyNumberFormat="1" applyFont="1" applyFill="1" applyBorder="1" applyProtection="1"/>
    <xf numFmtId="3" fontId="8" fillId="23" borderId="160" xfId="0" applyNumberFormat="1" applyFont="1" applyFill="1" applyBorder="1" applyAlignment="1" applyProtection="1">
      <alignment vertical="top" wrapText="1"/>
    </xf>
    <xf numFmtId="3" fontId="8" fillId="23" borderId="160" xfId="0" applyNumberFormat="1" applyFont="1" applyFill="1" applyBorder="1" applyAlignment="1" applyProtection="1">
      <alignment horizontal="left" wrapText="1"/>
    </xf>
    <xf numFmtId="0" fontId="0" fillId="23" borderId="176" xfId="0" applyFill="1" applyBorder="1" applyProtection="1"/>
    <xf numFmtId="3" fontId="35" fillId="23" borderId="172" xfId="0" applyNumberFormat="1" applyFont="1" applyFill="1" applyBorder="1" applyAlignment="1" applyProtection="1">
      <alignment wrapText="1"/>
    </xf>
    <xf numFmtId="0" fontId="37" fillId="23" borderId="0" xfId="0" applyFont="1" applyFill="1" applyBorder="1" applyProtection="1"/>
    <xf numFmtId="3" fontId="48" fillId="23" borderId="160" xfId="0" applyNumberFormat="1" applyFont="1" applyFill="1" applyBorder="1" applyProtection="1"/>
    <xf numFmtId="3" fontId="45" fillId="23" borderId="158" xfId="0" applyNumberFormat="1" applyFont="1" applyFill="1" applyBorder="1" applyProtection="1"/>
    <xf numFmtId="3" fontId="45" fillId="23" borderId="28" xfId="0" applyNumberFormat="1" applyFont="1" applyFill="1" applyBorder="1" applyAlignment="1" applyProtection="1">
      <alignment horizontal="right"/>
    </xf>
    <xf numFmtId="3" fontId="37" fillId="23" borderId="44" xfId="0" applyNumberFormat="1" applyFont="1" applyFill="1" applyBorder="1" applyAlignment="1" applyProtection="1">
      <alignment horizontal="left"/>
    </xf>
    <xf numFmtId="3" fontId="37" fillId="23" borderId="159" xfId="0" applyNumberFormat="1" applyFont="1" applyFill="1" applyBorder="1" applyAlignment="1" applyProtection="1">
      <alignment horizontal="left"/>
    </xf>
    <xf numFmtId="3" fontId="2" fillId="23" borderId="29" xfId="0" applyNumberFormat="1" applyFont="1" applyFill="1" applyBorder="1" applyAlignment="1" applyProtection="1">
      <alignment horizontal="right"/>
    </xf>
    <xf numFmtId="3" fontId="48" fillId="23" borderId="66" xfId="0" applyNumberFormat="1" applyFont="1" applyFill="1" applyBorder="1" applyProtection="1"/>
    <xf numFmtId="9" fontId="48" fillId="23" borderId="86" xfId="0" applyNumberFormat="1" applyFont="1" applyFill="1" applyBorder="1" applyProtection="1"/>
    <xf numFmtId="3" fontId="37" fillId="23" borderId="159" xfId="6" quotePrefix="1" applyNumberFormat="1" applyFont="1" applyFill="1" applyBorder="1" applyAlignment="1" applyProtection="1">
      <alignment horizontal="left"/>
    </xf>
    <xf numFmtId="3" fontId="48" fillId="23" borderId="160" xfId="10" applyNumberFormat="1" applyFont="1" applyFill="1" applyBorder="1" applyAlignment="1" applyProtection="1">
      <alignment horizontal="center"/>
    </xf>
    <xf numFmtId="3" fontId="37" fillId="23" borderId="0" xfId="0" applyNumberFormat="1" applyFont="1" applyFill="1" applyBorder="1" applyAlignment="1" applyProtection="1">
      <alignment horizontal="left"/>
    </xf>
    <xf numFmtId="0" fontId="37" fillId="23" borderId="159" xfId="0" applyFont="1" applyFill="1" applyBorder="1" applyProtection="1"/>
    <xf numFmtId="9" fontId="48" fillId="23" borderId="177" xfId="0" applyNumberFormat="1" applyFont="1" applyFill="1" applyBorder="1" applyProtection="1"/>
    <xf numFmtId="3" fontId="48" fillId="23" borderId="103" xfId="14" applyNumberFormat="1" applyFont="1" applyFill="1" applyBorder="1" applyAlignment="1" applyProtection="1">
      <alignment horizontal="center"/>
    </xf>
    <xf numFmtId="3" fontId="48" fillId="23" borderId="5" xfId="0" applyNumberFormat="1" applyFont="1" applyFill="1" applyBorder="1" applyProtection="1"/>
    <xf numFmtId="9" fontId="48" fillId="23" borderId="6" xfId="0" applyNumberFormat="1" applyFont="1" applyFill="1" applyBorder="1" applyProtection="1"/>
    <xf numFmtId="3" fontId="48" fillId="23" borderId="4" xfId="0" applyNumberFormat="1" applyFont="1" applyFill="1" applyBorder="1" applyProtection="1"/>
    <xf numFmtId="3" fontId="48" fillId="23" borderId="82" xfId="0" applyNumberFormat="1" applyFont="1" applyFill="1" applyBorder="1" applyProtection="1"/>
    <xf numFmtId="9" fontId="48" fillId="23" borderId="3" xfId="0" applyNumberFormat="1" applyFont="1" applyFill="1" applyBorder="1" applyProtection="1"/>
    <xf numFmtId="3" fontId="46" fillId="23" borderId="91" xfId="0" applyNumberFormat="1" applyFont="1" applyFill="1" applyBorder="1" applyProtection="1"/>
    <xf numFmtId="3" fontId="47" fillId="23" borderId="155" xfId="0" applyNumberFormat="1" applyFont="1" applyFill="1" applyBorder="1" applyProtection="1"/>
    <xf numFmtId="3" fontId="104" fillId="23" borderId="155" xfId="0" applyNumberFormat="1" applyFont="1" applyFill="1" applyBorder="1" applyProtection="1"/>
    <xf numFmtId="3" fontId="104" fillId="23" borderId="178" xfId="0" applyNumberFormat="1" applyFont="1" applyFill="1" applyBorder="1" applyProtection="1"/>
    <xf numFmtId="3" fontId="13" fillId="28" borderId="103" xfId="0" applyNumberFormat="1" applyFont="1" applyFill="1" applyBorder="1" applyAlignment="1" applyProtection="1">
      <alignment horizontal="right"/>
    </xf>
    <xf numFmtId="0" fontId="25" fillId="23" borderId="101" xfId="0" applyFont="1" applyFill="1" applyBorder="1" applyProtection="1"/>
    <xf numFmtId="0" fontId="25" fillId="23" borderId="96" xfId="0" applyFont="1" applyFill="1" applyBorder="1" applyProtection="1"/>
    <xf numFmtId="0" fontId="25" fillId="23" borderId="120" xfId="0" applyFont="1" applyFill="1" applyBorder="1" applyProtection="1"/>
    <xf numFmtId="0" fontId="25" fillId="23" borderId="121" xfId="0" applyFont="1" applyFill="1" applyBorder="1" applyProtection="1"/>
    <xf numFmtId="0" fontId="25" fillId="23" borderId="4" xfId="0" applyFont="1" applyFill="1" applyBorder="1" applyProtection="1"/>
    <xf numFmtId="0" fontId="25" fillId="23" borderId="65" xfId="0" applyFont="1" applyFill="1" applyBorder="1" applyProtection="1"/>
    <xf numFmtId="0" fontId="25" fillId="23" borderId="82" xfId="0" applyFont="1" applyFill="1" applyBorder="1" applyProtection="1"/>
    <xf numFmtId="0" fontId="25" fillId="23" borderId="53" xfId="0" applyFont="1" applyFill="1" applyBorder="1" applyProtection="1"/>
    <xf numFmtId="3" fontId="84" fillId="23" borderId="160" xfId="10" applyNumberFormat="1" applyFont="1" applyFill="1" applyBorder="1" applyAlignment="1" applyProtection="1">
      <alignment horizontal="center"/>
    </xf>
    <xf numFmtId="0" fontId="37" fillId="23" borderId="0" xfId="0" applyFont="1" applyFill="1" applyBorder="1" applyAlignment="1" applyProtection="1">
      <alignment horizontal="right"/>
    </xf>
    <xf numFmtId="3" fontId="2" fillId="23" borderId="15" xfId="0" applyNumberFormat="1" applyFont="1" applyFill="1" applyBorder="1" applyProtection="1"/>
    <xf numFmtId="9" fontId="48" fillId="23" borderId="3" xfId="0" quotePrefix="1" applyNumberFormat="1" applyFont="1" applyFill="1" applyBorder="1" applyProtection="1"/>
    <xf numFmtId="3" fontId="120" fillId="23" borderId="103" xfId="14" applyNumberFormat="1" applyFont="1" applyFill="1" applyBorder="1" applyAlignment="1" applyProtection="1">
      <alignment horizontal="center"/>
    </xf>
    <xf numFmtId="3" fontId="48" fillId="23" borderId="2" xfId="0" applyNumberFormat="1" applyFont="1" applyFill="1" applyBorder="1" applyProtection="1"/>
    <xf numFmtId="3" fontId="37" fillId="23" borderId="0" xfId="0" applyNumberFormat="1" applyFont="1" applyFill="1" applyBorder="1" applyAlignment="1" applyProtection="1"/>
    <xf numFmtId="3" fontId="2" fillId="23" borderId="28" xfId="0" applyNumberFormat="1" applyFont="1" applyFill="1" applyBorder="1" applyAlignment="1" applyProtection="1">
      <alignment horizontal="right"/>
    </xf>
    <xf numFmtId="3" fontId="48" fillId="23" borderId="154" xfId="0" applyNumberFormat="1" applyFont="1" applyFill="1" applyBorder="1" applyProtection="1"/>
    <xf numFmtId="3" fontId="2" fillId="24" borderId="28" xfId="0" applyNumberFormat="1" applyFont="1" applyFill="1" applyBorder="1" applyAlignment="1" applyProtection="1">
      <alignment horizontal="right"/>
    </xf>
    <xf numFmtId="3" fontId="120" fillId="23" borderId="160" xfId="10" applyNumberFormat="1" applyFont="1" applyFill="1" applyBorder="1" applyAlignment="1" applyProtection="1">
      <alignment horizontal="center"/>
    </xf>
    <xf numFmtId="3" fontId="47" fillId="23" borderId="4" xfId="0" applyNumberFormat="1" applyFont="1" applyFill="1" applyBorder="1" applyProtection="1"/>
    <xf numFmtId="3" fontId="47" fillId="23" borderId="82" xfId="0" applyNumberFormat="1" applyFont="1" applyFill="1" applyBorder="1" applyProtection="1"/>
    <xf numFmtId="3" fontId="104" fillId="23" borderId="82" xfId="0" applyNumberFormat="1" applyFont="1" applyFill="1" applyBorder="1" applyProtection="1"/>
    <xf numFmtId="3" fontId="104" fillId="23" borderId="65" xfId="0" applyNumberFormat="1" applyFont="1" applyFill="1" applyBorder="1" applyProtection="1"/>
    <xf numFmtId="3" fontId="51" fillId="23" borderId="2" xfId="0" applyNumberFormat="1" applyFont="1" applyFill="1" applyBorder="1" applyAlignment="1" applyProtection="1">
      <alignment horizontal="right"/>
    </xf>
    <xf numFmtId="3" fontId="2" fillId="23" borderId="45" xfId="0" applyNumberFormat="1" applyFont="1" applyFill="1" applyBorder="1" applyAlignment="1" applyProtection="1">
      <alignment horizontal="right"/>
    </xf>
    <xf numFmtId="3" fontId="48" fillId="23" borderId="91" xfId="0" applyNumberFormat="1" applyFont="1" applyFill="1" applyBorder="1" applyProtection="1"/>
    <xf numFmtId="3" fontId="48" fillId="23" borderId="155" xfId="0" applyNumberFormat="1" applyFont="1" applyFill="1" applyBorder="1" applyProtection="1"/>
    <xf numFmtId="9" fontId="48" fillId="23" borderId="72" xfId="0" applyNumberFormat="1" applyFont="1" applyFill="1" applyBorder="1" applyProtection="1"/>
    <xf numFmtId="3" fontId="123" fillId="23" borderId="4" xfId="0" applyNumberFormat="1" applyFont="1" applyFill="1" applyBorder="1" applyProtection="1"/>
    <xf numFmtId="3" fontId="123" fillId="23" borderId="82" xfId="0" applyNumberFormat="1" applyFont="1" applyFill="1" applyBorder="1" applyProtection="1"/>
    <xf numFmtId="3" fontId="123" fillId="23" borderId="65" xfId="0" applyNumberFormat="1" applyFont="1" applyFill="1" applyBorder="1" applyProtection="1"/>
    <xf numFmtId="0" fontId="121" fillId="23" borderId="0" xfId="0" applyFont="1" applyFill="1" applyBorder="1" applyProtection="1"/>
    <xf numFmtId="3" fontId="122" fillId="23" borderId="160" xfId="10" applyNumberFormat="1" applyFont="1" applyFill="1" applyBorder="1" applyAlignment="1" applyProtection="1">
      <alignment horizontal="center"/>
    </xf>
    <xf numFmtId="3" fontId="52" fillId="23" borderId="4" xfId="0" applyNumberFormat="1" applyFont="1" applyFill="1" applyBorder="1" applyProtection="1"/>
    <xf numFmtId="0" fontId="1" fillId="23" borderId="166" xfId="0" applyFont="1" applyFill="1" applyBorder="1" applyProtection="1"/>
    <xf numFmtId="3" fontId="104" fillId="23" borderId="97" xfId="0" applyNumberFormat="1" applyFont="1" applyFill="1" applyBorder="1" applyProtection="1"/>
    <xf numFmtId="3" fontId="45" fillId="23" borderId="30" xfId="0" applyNumberFormat="1" applyFont="1" applyFill="1" applyBorder="1" applyAlignment="1" applyProtection="1">
      <alignment horizontal="right"/>
    </xf>
    <xf numFmtId="3" fontId="47" fillId="23" borderId="91" xfId="0" applyNumberFormat="1" applyFont="1" applyFill="1" applyBorder="1" applyProtection="1"/>
    <xf numFmtId="3" fontId="45" fillId="23" borderId="105" xfId="0" applyNumberFormat="1" applyFont="1" applyFill="1" applyBorder="1" applyAlignment="1" applyProtection="1">
      <alignment horizontal="right"/>
    </xf>
    <xf numFmtId="3" fontId="47" fillId="23" borderId="179" xfId="0" applyNumberFormat="1" applyFont="1" applyFill="1" applyBorder="1" applyProtection="1"/>
    <xf numFmtId="3" fontId="47" fillId="23" borderId="39" xfId="0" applyNumberFormat="1" applyFont="1" applyFill="1" applyBorder="1" applyProtection="1"/>
    <xf numFmtId="3" fontId="104" fillId="23" borderId="39" xfId="0" applyNumberFormat="1" applyFont="1" applyFill="1" applyBorder="1" applyProtection="1"/>
    <xf numFmtId="3" fontId="48" fillId="23" borderId="181" xfId="0" applyNumberFormat="1" applyFont="1" applyFill="1" applyBorder="1" applyProtection="1"/>
    <xf numFmtId="3" fontId="3" fillId="23" borderId="30" xfId="0" applyNumberFormat="1" applyFont="1" applyFill="1" applyBorder="1" applyAlignment="1" applyProtection="1">
      <alignment horizontal="center"/>
    </xf>
    <xf numFmtId="3" fontId="3" fillId="23" borderId="49" xfId="0" applyNumberFormat="1" applyFont="1" applyFill="1" applyBorder="1" applyAlignment="1" applyProtection="1"/>
    <xf numFmtId="3" fontId="8" fillId="23" borderId="48" xfId="0" applyNumberFormat="1" applyFont="1" applyFill="1" applyBorder="1" applyAlignment="1" applyProtection="1">
      <alignment horizontal="left" vertical="top" wrapText="1"/>
    </xf>
    <xf numFmtId="3" fontId="8" fillId="23" borderId="165" xfId="0" applyNumberFormat="1" applyFont="1" applyFill="1" applyBorder="1" applyAlignment="1" applyProtection="1">
      <alignment horizontal="left" vertical="top" wrapText="1"/>
    </xf>
    <xf numFmtId="3" fontId="3" fillId="23" borderId="182" xfId="0" applyNumberFormat="1" applyFont="1" applyFill="1" applyBorder="1" applyAlignment="1" applyProtection="1">
      <alignment horizontal="center"/>
    </xf>
    <xf numFmtId="3" fontId="3" fillId="23" borderId="29" xfId="0" applyNumberFormat="1" applyFont="1" applyFill="1" applyBorder="1" applyAlignment="1" applyProtection="1">
      <alignment horizontal="center"/>
    </xf>
    <xf numFmtId="3" fontId="3" fillId="23" borderId="183" xfId="0" applyNumberFormat="1" applyFont="1" applyFill="1" applyBorder="1" applyAlignment="1" applyProtection="1"/>
    <xf numFmtId="3" fontId="8" fillId="23" borderId="184" xfId="0" applyNumberFormat="1" applyFont="1" applyFill="1" applyBorder="1" applyAlignment="1" applyProtection="1"/>
    <xf numFmtId="3" fontId="8" fillId="23" borderId="185" xfId="0" applyNumberFormat="1" applyFont="1" applyFill="1" applyBorder="1" applyAlignment="1" applyProtection="1"/>
    <xf numFmtId="3" fontId="3" fillId="23" borderId="45" xfId="0" applyNumberFormat="1" applyFont="1" applyFill="1" applyBorder="1" applyAlignment="1" applyProtection="1">
      <alignment horizontal="center"/>
    </xf>
    <xf numFmtId="3" fontId="5" fillId="23" borderId="77" xfId="0" applyNumberFormat="1" applyFont="1" applyFill="1" applyBorder="1" applyAlignment="1" applyProtection="1"/>
    <xf numFmtId="3" fontId="8" fillId="23" borderId="78" xfId="0" applyNumberFormat="1" applyFont="1" applyFill="1" applyBorder="1" applyAlignment="1" applyProtection="1"/>
    <xf numFmtId="3" fontId="8" fillId="23" borderId="178" xfId="0" applyNumberFormat="1" applyFont="1" applyFill="1" applyBorder="1" applyAlignment="1" applyProtection="1"/>
    <xf numFmtId="3" fontId="3" fillId="23" borderId="186" xfId="0" applyNumberFormat="1" applyFont="1" applyFill="1" applyBorder="1" applyAlignment="1" applyProtection="1">
      <alignment vertical="center"/>
    </xf>
    <xf numFmtId="3" fontId="8" fillId="23" borderId="186" xfId="0" applyNumberFormat="1" applyFont="1" applyFill="1" applyBorder="1" applyProtection="1"/>
    <xf numFmtId="3" fontId="3" fillId="23" borderId="109" xfId="0" applyNumberFormat="1" applyFont="1" applyFill="1" applyBorder="1" applyAlignment="1" applyProtection="1">
      <alignment vertical="center"/>
    </xf>
    <xf numFmtId="3" fontId="8" fillId="23" borderId="75" xfId="0" applyNumberFormat="1" applyFont="1" applyFill="1" applyBorder="1" applyProtection="1"/>
    <xf numFmtId="3" fontId="8" fillId="23" borderId="92" xfId="0" applyNumberFormat="1" applyFont="1" applyFill="1" applyBorder="1" applyProtection="1"/>
    <xf numFmtId="3" fontId="3" fillId="23" borderId="187" xfId="0" applyNumberFormat="1" applyFont="1" applyFill="1" applyBorder="1" applyAlignment="1" applyProtection="1"/>
    <xf numFmtId="3" fontId="3" fillId="23" borderId="109" xfId="0" applyNumberFormat="1" applyFont="1" applyFill="1" applyBorder="1" applyProtection="1"/>
    <xf numFmtId="3" fontId="8" fillId="23" borderId="109" xfId="0" applyNumberFormat="1" applyFont="1" applyFill="1" applyBorder="1" applyProtection="1"/>
    <xf numFmtId="3" fontId="8" fillId="23" borderId="78" xfId="0" applyNumberFormat="1" applyFont="1" applyFill="1" applyBorder="1" applyProtection="1"/>
    <xf numFmtId="3" fontId="8" fillId="23" borderId="178" xfId="0" applyNumberFormat="1" applyFont="1" applyFill="1" applyBorder="1" applyProtection="1"/>
    <xf numFmtId="0" fontId="3" fillId="23" borderId="188" xfId="0" applyFont="1" applyFill="1" applyBorder="1" applyAlignment="1" applyProtection="1">
      <alignment horizontal="left" vertical="top" wrapText="1"/>
    </xf>
    <xf numFmtId="0" fontId="3" fillId="23" borderId="60" xfId="0" applyFont="1" applyFill="1" applyBorder="1" applyAlignment="1" applyProtection="1">
      <alignment horizontal="left"/>
    </xf>
    <xf numFmtId="3" fontId="3" fillId="23" borderId="152" xfId="0" applyNumberFormat="1" applyFont="1" applyFill="1" applyBorder="1" applyAlignment="1" applyProtection="1">
      <alignment horizontal="left"/>
    </xf>
    <xf numFmtId="0" fontId="3" fillId="23" borderId="124" xfId="0" applyFont="1" applyFill="1" applyBorder="1" applyProtection="1"/>
    <xf numFmtId="0" fontId="3" fillId="23" borderId="189" xfId="0" applyFont="1" applyFill="1" applyBorder="1" applyAlignment="1" applyProtection="1">
      <alignment vertical="top" wrapText="1"/>
    </xf>
    <xf numFmtId="0" fontId="3" fillId="23" borderId="113" xfId="0" applyFont="1" applyFill="1" applyBorder="1" applyAlignment="1" applyProtection="1">
      <alignment horizontal="left" vertical="top" wrapText="1"/>
    </xf>
    <xf numFmtId="0" fontId="3" fillId="23" borderId="136" xfId="0" applyFont="1" applyFill="1" applyBorder="1" applyAlignment="1" applyProtection="1">
      <alignment horizontal="left" vertical="top" wrapText="1"/>
    </xf>
    <xf numFmtId="0" fontId="3" fillId="23" borderId="189" xfId="0" applyFont="1" applyFill="1" applyBorder="1" applyAlignment="1" applyProtection="1">
      <alignment horizontal="left" vertical="top" wrapText="1"/>
    </xf>
    <xf numFmtId="0" fontId="3" fillId="23" borderId="60" xfId="0" applyFont="1" applyFill="1" applyBorder="1" applyProtection="1"/>
    <xf numFmtId="0" fontId="7" fillId="23" borderId="90" xfId="0" applyFont="1" applyFill="1" applyBorder="1" applyProtection="1"/>
    <xf numFmtId="0" fontId="3" fillId="23" borderId="44" xfId="0" applyFont="1" applyFill="1" applyBorder="1" applyProtection="1"/>
    <xf numFmtId="0" fontId="3" fillId="23" borderId="169" xfId="0" applyFont="1" applyFill="1" applyBorder="1" applyAlignment="1" applyProtection="1">
      <alignment horizontal="left" vertical="top" wrapText="1"/>
    </xf>
    <xf numFmtId="0" fontId="3" fillId="23" borderId="127" xfId="0" applyFont="1" applyFill="1" applyBorder="1" applyProtection="1"/>
    <xf numFmtId="0" fontId="5" fillId="23" borderId="127" xfId="0" applyFont="1" applyFill="1" applyBorder="1" applyProtection="1"/>
    <xf numFmtId="0" fontId="3" fillId="23" borderId="16" xfId="0" applyFont="1" applyFill="1" applyBorder="1" applyProtection="1"/>
    <xf numFmtId="0" fontId="3" fillId="23" borderId="64" xfId="0" applyFont="1" applyFill="1" applyBorder="1" applyProtection="1"/>
    <xf numFmtId="0" fontId="3" fillId="23" borderId="68" xfId="0" applyFont="1" applyFill="1" applyBorder="1" applyProtection="1"/>
    <xf numFmtId="0" fontId="3" fillId="23" borderId="147" xfId="0" applyFont="1" applyFill="1" applyBorder="1" applyProtection="1"/>
    <xf numFmtId="0" fontId="3" fillId="23" borderId="114" xfId="0" applyFont="1" applyFill="1" applyBorder="1" applyProtection="1"/>
    <xf numFmtId="0" fontId="49" fillId="23" borderId="177" xfId="0" applyFont="1" applyFill="1" applyBorder="1" applyProtection="1"/>
    <xf numFmtId="0" fontId="7" fillId="23" borderId="81" xfId="0" applyFont="1" applyFill="1" applyBorder="1" applyProtection="1"/>
    <xf numFmtId="0" fontId="7" fillId="23" borderId="190" xfId="0" applyFont="1" applyFill="1" applyBorder="1" applyProtection="1"/>
    <xf numFmtId="0" fontId="5" fillId="23" borderId="101" xfId="0" applyFont="1" applyFill="1" applyBorder="1" applyProtection="1"/>
    <xf numFmtId="0" fontId="5" fillId="23" borderId="16" xfId="0" applyFont="1" applyFill="1" applyBorder="1" applyProtection="1"/>
    <xf numFmtId="49" fontId="7" fillId="23" borderId="127" xfId="0" applyNumberFormat="1" applyFont="1" applyFill="1" applyBorder="1" applyAlignment="1" applyProtection="1">
      <alignment horizontal="left"/>
    </xf>
    <xf numFmtId="3" fontId="38" fillId="23" borderId="15" xfId="0" applyNumberFormat="1" applyFont="1" applyFill="1" applyBorder="1" applyAlignment="1" applyProtection="1"/>
    <xf numFmtId="3" fontId="38" fillId="23" borderId="56" xfId="0" applyNumberFormat="1" applyFont="1" applyFill="1" applyBorder="1" applyAlignment="1" applyProtection="1"/>
    <xf numFmtId="49" fontId="5" fillId="23" borderId="154" xfId="0" applyNumberFormat="1" applyFont="1" applyFill="1" applyBorder="1" applyAlignment="1" applyProtection="1"/>
    <xf numFmtId="49" fontId="5" fillId="23" borderId="0" xfId="0" applyNumberFormat="1" applyFont="1" applyFill="1" applyBorder="1" applyAlignment="1" applyProtection="1"/>
    <xf numFmtId="49" fontId="5" fillId="23" borderId="123" xfId="0" applyNumberFormat="1" applyFont="1" applyFill="1" applyBorder="1" applyAlignment="1" applyProtection="1"/>
    <xf numFmtId="49" fontId="5" fillId="23" borderId="27" xfId="0" applyNumberFormat="1" applyFont="1" applyFill="1" applyBorder="1" applyAlignment="1" applyProtection="1"/>
    <xf numFmtId="3" fontId="2" fillId="23" borderId="15" xfId="0" applyNumberFormat="1" applyFont="1" applyFill="1" applyBorder="1" applyAlignment="1" applyProtection="1">
      <alignment horizontal="right"/>
    </xf>
    <xf numFmtId="3" fontId="10" fillId="23" borderId="15" xfId="0" applyNumberFormat="1" applyFont="1" applyFill="1" applyBorder="1" applyProtection="1"/>
    <xf numFmtId="3" fontId="10" fillId="23" borderId="56" xfId="0" applyNumberFormat="1" applyFont="1" applyFill="1" applyBorder="1" applyProtection="1"/>
    <xf numFmtId="3" fontId="10" fillId="23" borderId="0" xfId="0" applyNumberFormat="1" applyFont="1" applyFill="1" applyBorder="1" applyProtection="1"/>
    <xf numFmtId="49" fontId="3" fillId="23" borderId="39" xfId="0" applyNumberFormat="1" applyFont="1" applyFill="1" applyBorder="1" applyAlignment="1" applyProtection="1"/>
    <xf numFmtId="49" fontId="5" fillId="23" borderId="11" xfId="0" applyNumberFormat="1" applyFont="1" applyFill="1" applyBorder="1" applyAlignment="1" applyProtection="1"/>
    <xf numFmtId="3" fontId="38" fillId="23" borderId="60" xfId="0" applyNumberFormat="1" applyFont="1" applyFill="1" applyBorder="1" applyAlignment="1" applyProtection="1"/>
    <xf numFmtId="49" fontId="5" fillId="23" borderId="57" xfId="0" applyNumberFormat="1" applyFont="1" applyFill="1" applyBorder="1" applyAlignment="1" applyProtection="1"/>
    <xf numFmtId="3" fontId="38" fillId="23" borderId="0" xfId="0" applyNumberFormat="1" applyFont="1" applyFill="1" applyBorder="1" applyAlignment="1" applyProtection="1"/>
    <xf numFmtId="3" fontId="2" fillId="23" borderId="68" xfId="0" applyNumberFormat="1" applyFont="1" applyFill="1" applyBorder="1" applyAlignment="1" applyProtection="1">
      <alignment horizontal="right"/>
    </xf>
    <xf numFmtId="3" fontId="38" fillId="23" borderId="57" xfId="0" applyNumberFormat="1" applyFont="1" applyFill="1" applyBorder="1" applyAlignment="1" applyProtection="1"/>
    <xf numFmtId="3" fontId="38" fillId="23" borderId="15" xfId="0" applyNumberFormat="1" applyFont="1" applyFill="1" applyBorder="1" applyProtection="1"/>
    <xf numFmtId="49" fontId="5" fillId="23" borderId="15" xfId="0" applyNumberFormat="1" applyFont="1" applyFill="1" applyBorder="1" applyAlignment="1" applyProtection="1"/>
    <xf numFmtId="3" fontId="2" fillId="29" borderId="17" xfId="0" applyNumberFormat="1" applyFont="1" applyFill="1" applyBorder="1" applyAlignment="1" applyProtection="1">
      <alignment horizontal="right"/>
    </xf>
    <xf numFmtId="49" fontId="3" fillId="23" borderId="134" xfId="0" applyNumberFormat="1" applyFont="1" applyFill="1" applyBorder="1" applyAlignment="1" applyProtection="1">
      <alignment horizontal="left"/>
    </xf>
    <xf numFmtId="0" fontId="5" fillId="23" borderId="64" xfId="0" applyFont="1" applyFill="1" applyBorder="1" applyProtection="1"/>
    <xf numFmtId="49" fontId="3" fillId="23" borderId="22" xfId="0" applyNumberFormat="1" applyFont="1" applyFill="1" applyBorder="1" applyAlignment="1" applyProtection="1">
      <alignment horizontal="left"/>
    </xf>
    <xf numFmtId="49" fontId="3" fillId="23" borderId="92" xfId="0" applyNumberFormat="1" applyFont="1" applyFill="1" applyBorder="1" applyProtection="1"/>
    <xf numFmtId="49" fontId="3" fillId="23" borderId="92" xfId="0" applyNumberFormat="1" applyFont="1" applyFill="1" applyBorder="1" applyAlignment="1" applyProtection="1">
      <alignment wrapText="1"/>
    </xf>
    <xf numFmtId="49" fontId="3" fillId="23" borderId="21" xfId="0" applyNumberFormat="1" applyFont="1" applyFill="1" applyBorder="1" applyAlignment="1" applyProtection="1">
      <alignment horizontal="left"/>
    </xf>
    <xf numFmtId="49" fontId="3" fillId="23" borderId="55" xfId="0" applyNumberFormat="1" applyFont="1" applyFill="1" applyBorder="1" applyAlignment="1" applyProtection="1">
      <alignment wrapText="1"/>
    </xf>
    <xf numFmtId="49" fontId="3" fillId="23" borderId="23" xfId="0" applyNumberFormat="1" applyFont="1" applyFill="1" applyBorder="1" applyAlignment="1" applyProtection="1">
      <alignment horizontal="left"/>
    </xf>
    <xf numFmtId="0" fontId="5" fillId="23" borderId="48" xfId="0" applyFont="1" applyFill="1" applyBorder="1" applyProtection="1"/>
    <xf numFmtId="49" fontId="3" fillId="23" borderId="76" xfId="0" applyNumberFormat="1" applyFont="1" applyFill="1" applyBorder="1" applyProtection="1"/>
    <xf numFmtId="49" fontId="3" fillId="23" borderId="65" xfId="0" applyNumberFormat="1" applyFont="1" applyFill="1" applyBorder="1" applyAlignment="1" applyProtection="1">
      <alignment wrapText="1"/>
    </xf>
    <xf numFmtId="0" fontId="5" fillId="23" borderId="165" xfId="0" applyFont="1" applyFill="1" applyBorder="1" applyProtection="1"/>
    <xf numFmtId="49" fontId="3" fillId="23" borderId="55" xfId="0" applyNumberFormat="1" applyFont="1" applyFill="1" applyBorder="1" applyProtection="1"/>
    <xf numFmtId="49" fontId="3" fillId="23" borderId="6" xfId="0" applyNumberFormat="1" applyFont="1" applyFill="1" applyBorder="1" applyAlignment="1" applyProtection="1">
      <alignment wrapText="1"/>
    </xf>
    <xf numFmtId="49" fontId="3" fillId="23" borderId="3" xfId="0" applyNumberFormat="1" applyFont="1" applyFill="1" applyBorder="1" applyAlignment="1" applyProtection="1">
      <alignment wrapText="1"/>
    </xf>
    <xf numFmtId="49" fontId="3" fillId="23" borderId="177" xfId="0" applyNumberFormat="1" applyFont="1" applyFill="1" applyBorder="1" applyAlignment="1" applyProtection="1">
      <alignment wrapText="1"/>
    </xf>
    <xf numFmtId="0" fontId="5" fillId="23" borderId="191" xfId="0" applyFont="1" applyFill="1" applyBorder="1" applyProtection="1"/>
    <xf numFmtId="49" fontId="3" fillId="23" borderId="12" xfId="0" applyNumberFormat="1" applyFont="1" applyFill="1" applyBorder="1" applyProtection="1"/>
    <xf numFmtId="49" fontId="3" fillId="23" borderId="54" xfId="0" applyNumberFormat="1" applyFont="1" applyFill="1" applyBorder="1" applyProtection="1"/>
    <xf numFmtId="49" fontId="3" fillId="23" borderId="54" xfId="0" applyNumberFormat="1" applyFont="1" applyFill="1" applyBorder="1" applyAlignment="1" applyProtection="1">
      <alignment wrapText="1"/>
    </xf>
    <xf numFmtId="49" fontId="3" fillId="23" borderId="6" xfId="13" applyNumberFormat="1" applyFont="1" applyFill="1" applyBorder="1" applyAlignment="1" applyProtection="1"/>
    <xf numFmtId="49" fontId="3" fillId="23" borderId="130" xfId="0" applyNumberFormat="1" applyFont="1" applyFill="1" applyBorder="1" applyAlignment="1" applyProtection="1">
      <alignment horizontal="left"/>
    </xf>
    <xf numFmtId="49" fontId="3" fillId="23" borderId="171" xfId="13" applyNumberFormat="1" applyFont="1" applyFill="1" applyBorder="1" applyAlignment="1" applyProtection="1"/>
    <xf numFmtId="49" fontId="3" fillId="23" borderId="127" xfId="0" applyNumberFormat="1" applyFont="1" applyFill="1" applyBorder="1" applyAlignment="1" applyProtection="1">
      <alignment horizontal="left"/>
    </xf>
    <xf numFmtId="49" fontId="3" fillId="23" borderId="56" xfId="13" applyNumberFormat="1" applyFont="1" applyFill="1" applyBorder="1" applyAlignment="1" applyProtection="1"/>
    <xf numFmtId="49" fontId="3" fillId="23" borderId="168" xfId="13" applyNumberFormat="1" applyFont="1" applyFill="1" applyBorder="1" applyAlignment="1" applyProtection="1"/>
    <xf numFmtId="49" fontId="3" fillId="23" borderId="177" xfId="13" applyNumberFormat="1" applyFont="1" applyFill="1" applyBorder="1" applyAlignment="1" applyProtection="1"/>
    <xf numFmtId="49" fontId="3" fillId="23" borderId="6" xfId="0" applyNumberFormat="1" applyFont="1" applyFill="1" applyBorder="1" applyProtection="1"/>
    <xf numFmtId="49" fontId="3" fillId="23" borderId="92" xfId="13" applyNumberFormat="1" applyFont="1" applyFill="1" applyBorder="1" applyAlignment="1" applyProtection="1"/>
    <xf numFmtId="49" fontId="3" fillId="23" borderId="24" xfId="0" applyNumberFormat="1" applyFont="1" applyFill="1" applyBorder="1" applyAlignment="1" applyProtection="1">
      <alignment horizontal="left"/>
    </xf>
    <xf numFmtId="49" fontId="3" fillId="23" borderId="72" xfId="13" applyNumberFormat="1" applyFont="1" applyFill="1" applyBorder="1" applyAlignment="1" applyProtection="1"/>
    <xf numFmtId="49" fontId="3" fillId="23" borderId="12" xfId="13" applyNumberFormat="1" applyFont="1" applyFill="1" applyBorder="1" applyAlignment="1" applyProtection="1"/>
    <xf numFmtId="0" fontId="3" fillId="23" borderId="96" xfId="0" applyFont="1" applyFill="1" applyBorder="1" applyAlignment="1" applyProtection="1">
      <alignment wrapText="1"/>
    </xf>
    <xf numFmtId="0" fontId="3" fillId="23" borderId="0" xfId="0" applyFont="1" applyFill="1" applyBorder="1" applyAlignment="1" applyProtection="1">
      <alignment horizontal="center"/>
    </xf>
    <xf numFmtId="0" fontId="3" fillId="23" borderId="173" xfId="0" applyFont="1" applyFill="1" applyBorder="1" applyAlignment="1" applyProtection="1">
      <alignment horizontal="center"/>
    </xf>
    <xf numFmtId="0" fontId="3" fillId="23" borderId="44" xfId="0" applyFont="1" applyFill="1" applyBorder="1" applyAlignment="1" applyProtection="1">
      <alignment horizontal="center"/>
    </xf>
    <xf numFmtId="3" fontId="48" fillId="24" borderId="192" xfId="0" applyNumberFormat="1" applyFont="1" applyFill="1" applyBorder="1" applyProtection="1"/>
    <xf numFmtId="3" fontId="48" fillId="23" borderId="108" xfId="0" applyNumberFormat="1" applyFont="1" applyFill="1" applyBorder="1" applyProtection="1"/>
    <xf numFmtId="9" fontId="48" fillId="23" borderId="108" xfId="14" applyNumberFormat="1" applyFont="1" applyFill="1" applyBorder="1" applyProtection="1"/>
    <xf numFmtId="3" fontId="3" fillId="23" borderId="57" xfId="0" applyNumberFormat="1" applyFont="1" applyFill="1" applyBorder="1" applyProtection="1"/>
    <xf numFmtId="3" fontId="48" fillId="24" borderId="29" xfId="0" applyNumberFormat="1" applyFont="1" applyFill="1" applyBorder="1" applyProtection="1"/>
    <xf numFmtId="3" fontId="48" fillId="23" borderId="109" xfId="0" applyNumberFormat="1" applyFont="1" applyFill="1" applyBorder="1" applyProtection="1"/>
    <xf numFmtId="9" fontId="48" fillId="23" borderId="109" xfId="14" applyNumberFormat="1" applyFont="1" applyFill="1" applyBorder="1" applyProtection="1"/>
    <xf numFmtId="0" fontId="2" fillId="23" borderId="39" xfId="0" applyFont="1" applyFill="1" applyBorder="1" applyProtection="1"/>
    <xf numFmtId="3" fontId="48" fillId="24" borderId="158" xfId="0" applyNumberFormat="1" applyFont="1" applyFill="1" applyBorder="1" applyProtection="1"/>
    <xf numFmtId="3" fontId="48" fillId="23" borderId="93" xfId="0" applyNumberFormat="1" applyFont="1" applyFill="1" applyBorder="1" applyProtection="1"/>
    <xf numFmtId="9" fontId="48" fillId="23" borderId="93" xfId="14" applyNumberFormat="1" applyFont="1" applyFill="1" applyBorder="1" applyProtection="1"/>
    <xf numFmtId="9" fontId="37" fillId="23" borderId="179" xfId="14" applyFont="1" applyFill="1" applyBorder="1" applyProtection="1"/>
    <xf numFmtId="3" fontId="48" fillId="24" borderId="30" xfId="0" applyNumberFormat="1" applyFont="1" applyFill="1" applyBorder="1" applyProtection="1"/>
    <xf numFmtId="9" fontId="48" fillId="23" borderId="108" xfId="0" applyNumberFormat="1" applyFont="1" applyFill="1" applyBorder="1" applyProtection="1"/>
    <xf numFmtId="3" fontId="3" fillId="23" borderId="121" xfId="0" applyNumberFormat="1" applyFont="1" applyFill="1" applyBorder="1" applyProtection="1"/>
    <xf numFmtId="3" fontId="48" fillId="24" borderId="28" xfId="0" applyNumberFormat="1" applyFont="1" applyFill="1" applyBorder="1" applyProtection="1"/>
    <xf numFmtId="0" fontId="3" fillId="23" borderId="58" xfId="0" applyFont="1" applyFill="1" applyBorder="1" applyProtection="1"/>
    <xf numFmtId="0" fontId="9" fillId="23" borderId="39" xfId="0" applyFont="1" applyFill="1" applyBorder="1" applyProtection="1"/>
    <xf numFmtId="3" fontId="48" fillId="24" borderId="193" xfId="0" applyNumberFormat="1" applyFont="1" applyFill="1" applyBorder="1" applyProtection="1"/>
    <xf numFmtId="9" fontId="48" fillId="23" borderId="159" xfId="0" applyNumberFormat="1" applyFont="1" applyFill="1" applyBorder="1" applyProtection="1"/>
    <xf numFmtId="3" fontId="3" fillId="23" borderId="59" xfId="0" applyNumberFormat="1" applyFont="1" applyFill="1" applyBorder="1" applyProtection="1"/>
    <xf numFmtId="9" fontId="48" fillId="23" borderId="186" xfId="0" applyNumberFormat="1" applyFont="1" applyFill="1" applyBorder="1" applyProtection="1"/>
    <xf numFmtId="3" fontId="48" fillId="23" borderId="159" xfId="0" applyNumberFormat="1" applyFont="1" applyFill="1" applyBorder="1" applyProtection="1"/>
    <xf numFmtId="3" fontId="48" fillId="24" borderId="46" xfId="0" applyNumberFormat="1" applyFont="1" applyFill="1" applyBorder="1" applyProtection="1"/>
    <xf numFmtId="3" fontId="48" fillId="24" borderId="45" xfId="0" applyNumberFormat="1" applyFont="1" applyFill="1" applyBorder="1" applyProtection="1"/>
    <xf numFmtId="9" fontId="48" fillId="23" borderId="93" xfId="0" applyNumberFormat="1" applyFont="1" applyFill="1" applyBorder="1" applyProtection="1"/>
    <xf numFmtId="0" fontId="37" fillId="23" borderId="179" xfId="0" applyFont="1" applyFill="1" applyBorder="1" applyProtection="1"/>
    <xf numFmtId="3" fontId="48" fillId="24" borderId="47" xfId="0" applyNumberFormat="1" applyFont="1" applyFill="1" applyBorder="1" applyProtection="1"/>
    <xf numFmtId="3" fontId="48" fillId="23" borderId="186" xfId="0" applyNumberFormat="1" applyFont="1" applyFill="1" applyBorder="1" applyProtection="1"/>
    <xf numFmtId="3" fontId="48" fillId="23" borderId="194" xfId="0" applyNumberFormat="1" applyFont="1" applyFill="1" applyBorder="1" applyProtection="1"/>
    <xf numFmtId="0" fontId="2" fillId="23" borderId="0" xfId="0" applyFont="1" applyFill="1" applyBorder="1" applyProtection="1"/>
    <xf numFmtId="9" fontId="48" fillId="23" borderId="180" xfId="0" applyNumberFormat="1" applyFont="1" applyFill="1" applyBorder="1" applyProtection="1"/>
    <xf numFmtId="0" fontId="9" fillId="23" borderId="144" xfId="0" applyFont="1" applyFill="1" applyBorder="1" applyProtection="1"/>
    <xf numFmtId="0" fontId="7" fillId="23" borderId="124" xfId="0" applyFont="1" applyFill="1" applyBorder="1" applyProtection="1"/>
    <xf numFmtId="0" fontId="2" fillId="23" borderId="124" xfId="0" applyFont="1" applyFill="1" applyBorder="1" applyProtection="1"/>
    <xf numFmtId="0" fontId="7" fillId="23" borderId="0" xfId="0" applyFont="1" applyFill="1" applyBorder="1" applyProtection="1"/>
    <xf numFmtId="0" fontId="7" fillId="23" borderId="0" xfId="0" applyFont="1" applyFill="1" applyBorder="1" applyAlignment="1" applyProtection="1">
      <alignment horizontal="left" vertical="top" wrapText="1"/>
    </xf>
    <xf numFmtId="0" fontId="2" fillId="23" borderId="0" xfId="0" applyFont="1" applyFill="1" applyBorder="1" applyAlignment="1" applyProtection="1">
      <alignment horizontal="left" vertical="top" wrapText="1"/>
    </xf>
    <xf numFmtId="3" fontId="48" fillId="23" borderId="46" xfId="0" applyNumberFormat="1" applyFont="1" applyFill="1" applyBorder="1" applyProtection="1"/>
    <xf numFmtId="3" fontId="37" fillId="23" borderId="57" xfId="0" applyNumberFormat="1" applyFont="1" applyFill="1" applyBorder="1" applyProtection="1"/>
    <xf numFmtId="3" fontId="48" fillId="23" borderId="45" xfId="0" applyNumberFormat="1" applyFont="1" applyFill="1" applyBorder="1" applyProtection="1"/>
    <xf numFmtId="49" fontId="3" fillId="23" borderId="36" xfId="6" applyNumberFormat="1" applyFont="1" applyFill="1" applyBorder="1" applyAlignment="1" applyProtection="1">
      <alignment horizontal="left"/>
    </xf>
    <xf numFmtId="0" fontId="3" fillId="23" borderId="118" xfId="6" applyFont="1" applyFill="1" applyBorder="1" applyAlignment="1" applyProtection="1"/>
    <xf numFmtId="0" fontId="3" fillId="23" borderId="120" xfId="6" applyFont="1" applyFill="1" applyBorder="1" applyProtection="1"/>
    <xf numFmtId="0" fontId="3" fillId="23" borderId="195" xfId="6" applyFont="1" applyFill="1" applyBorder="1" applyProtection="1"/>
    <xf numFmtId="0" fontId="3" fillId="23" borderId="124" xfId="6" applyFont="1" applyFill="1" applyBorder="1" applyProtection="1"/>
    <xf numFmtId="0" fontId="3" fillId="23" borderId="95" xfId="6" applyFont="1" applyFill="1" applyBorder="1" applyProtection="1"/>
    <xf numFmtId="3" fontId="3" fillId="23" borderId="121" xfId="6" applyNumberFormat="1" applyFont="1" applyFill="1" applyBorder="1" applyAlignment="1" applyProtection="1">
      <alignment wrapText="1"/>
    </xf>
    <xf numFmtId="49" fontId="3" fillId="23" borderId="58" xfId="6" applyNumberFormat="1" applyFont="1" applyFill="1" applyBorder="1" applyAlignment="1" applyProtection="1">
      <alignment horizontal="left" vertical="top"/>
    </xf>
    <xf numFmtId="0" fontId="3" fillId="23" borderId="15" xfId="6" applyFont="1" applyFill="1" applyBorder="1" applyProtection="1"/>
    <xf numFmtId="0" fontId="24" fillId="23" borderId="161" xfId="6" applyFont="1" applyFill="1" applyBorder="1" applyProtection="1"/>
    <xf numFmtId="0" fontId="24" fillId="23" borderId="68" xfId="6" applyFont="1" applyFill="1" applyBorder="1" applyProtection="1"/>
    <xf numFmtId="3" fontId="3" fillId="23" borderId="166" xfId="6" applyNumberFormat="1" applyFont="1" applyFill="1" applyBorder="1" applyAlignment="1" applyProtection="1">
      <alignment wrapText="1"/>
    </xf>
    <xf numFmtId="3" fontId="3" fillId="23" borderId="159" xfId="6" applyNumberFormat="1" applyFont="1" applyFill="1" applyBorder="1" applyProtection="1"/>
    <xf numFmtId="0" fontId="3" fillId="23" borderId="159" xfId="6" applyFont="1" applyFill="1" applyBorder="1" applyProtection="1"/>
    <xf numFmtId="3" fontId="3" fillId="23" borderId="0" xfId="6" applyNumberFormat="1" applyFont="1" applyFill="1" applyBorder="1" applyProtection="1"/>
    <xf numFmtId="3" fontId="3" fillId="23" borderId="57" xfId="6" applyNumberFormat="1" applyFont="1" applyFill="1" applyBorder="1" applyProtection="1"/>
    <xf numFmtId="49" fontId="3" fillId="23" borderId="58" xfId="6" applyNumberFormat="1" applyFont="1" applyFill="1" applyBorder="1" applyAlignment="1" applyProtection="1">
      <alignment horizontal="left"/>
    </xf>
    <xf numFmtId="0" fontId="3" fillId="23" borderId="56" xfId="6" applyFont="1" applyFill="1" applyBorder="1" applyProtection="1"/>
    <xf numFmtId="3" fontId="3" fillId="23" borderId="16" xfId="6" applyNumberFormat="1" applyFont="1" applyFill="1" applyBorder="1" applyProtection="1"/>
    <xf numFmtId="49" fontId="7" fillId="23" borderId="58" xfId="6" applyNumberFormat="1" applyFont="1" applyFill="1" applyBorder="1" applyAlignment="1" applyProtection="1">
      <alignment horizontal="left"/>
    </xf>
    <xf numFmtId="0" fontId="3" fillId="23" borderId="168" xfId="6" applyFont="1" applyFill="1" applyBorder="1" applyProtection="1"/>
    <xf numFmtId="0" fontId="3" fillId="23" borderId="159" xfId="6" applyFont="1" applyFill="1" applyBorder="1" applyAlignment="1" applyProtection="1">
      <alignment horizontal="left"/>
    </xf>
    <xf numFmtId="0" fontId="3" fillId="23" borderId="0" xfId="6" applyFont="1" applyFill="1" applyBorder="1" applyProtection="1"/>
    <xf numFmtId="0" fontId="7" fillId="23" borderId="0" xfId="6" applyFont="1" applyFill="1" applyBorder="1" applyAlignment="1" applyProtection="1">
      <alignment horizontal="left"/>
    </xf>
    <xf numFmtId="0" fontId="7" fillId="23" borderId="57" xfId="6" applyFont="1" applyFill="1" applyBorder="1" applyAlignment="1" applyProtection="1">
      <alignment horizontal="left" wrapText="1"/>
    </xf>
    <xf numFmtId="0" fontId="5" fillId="23" borderId="168" xfId="6" applyFont="1" applyFill="1" applyBorder="1" applyProtection="1"/>
    <xf numFmtId="1" fontId="3" fillId="23" borderId="159" xfId="6" applyNumberFormat="1" applyFont="1" applyFill="1" applyBorder="1" applyAlignment="1" applyProtection="1">
      <alignment horizontal="left"/>
    </xf>
    <xf numFmtId="3" fontId="44" fillId="23" borderId="0" xfId="6" applyNumberFormat="1" applyFont="1" applyFill="1" applyBorder="1" applyProtection="1"/>
    <xf numFmtId="3" fontId="44" fillId="23" borderId="57" xfId="6" applyNumberFormat="1" applyFont="1" applyFill="1" applyBorder="1" applyProtection="1"/>
    <xf numFmtId="49" fontId="5" fillId="23" borderId="58" xfId="6" applyNumberFormat="1" applyFont="1" applyFill="1" applyBorder="1" applyAlignment="1" applyProtection="1">
      <alignment horizontal="left"/>
    </xf>
    <xf numFmtId="0" fontId="7" fillId="23" borderId="176" xfId="6" applyFont="1" applyFill="1" applyBorder="1" applyProtection="1"/>
    <xf numFmtId="0" fontId="3" fillId="23" borderId="196" xfId="6" applyFont="1" applyFill="1" applyBorder="1" applyProtection="1"/>
    <xf numFmtId="0" fontId="3" fillId="23" borderId="176" xfId="6" applyFont="1" applyFill="1" applyBorder="1" applyProtection="1"/>
    <xf numFmtId="167" fontId="44" fillId="23" borderId="62" xfId="6" applyNumberFormat="1" applyFont="1" applyFill="1" applyBorder="1" applyProtection="1"/>
    <xf numFmtId="167" fontId="44" fillId="23" borderId="111" xfId="6" applyNumberFormat="1" applyFont="1" applyFill="1" applyBorder="1" applyProtection="1"/>
    <xf numFmtId="167" fontId="44" fillId="23" borderId="143" xfId="6" applyNumberFormat="1" applyFont="1" applyFill="1" applyBorder="1" applyProtection="1"/>
    <xf numFmtId="0" fontId="5" fillId="23" borderId="35" xfId="6" applyFont="1" applyFill="1" applyBorder="1" applyAlignment="1" applyProtection="1">
      <alignment horizontal="left"/>
    </xf>
    <xf numFmtId="0" fontId="5" fillId="23" borderId="35" xfId="6" applyFont="1" applyFill="1" applyBorder="1" applyProtection="1"/>
    <xf numFmtId="0" fontId="3" fillId="23" borderId="2" xfId="6" applyFont="1" applyFill="1" applyBorder="1" applyAlignment="1" applyProtection="1">
      <alignment horizontal="left"/>
    </xf>
    <xf numFmtId="0" fontId="3" fillId="23" borderId="2" xfId="6" applyFont="1" applyFill="1" applyBorder="1" applyProtection="1"/>
    <xf numFmtId="0" fontId="3" fillId="23" borderId="5" xfId="6" applyFont="1" applyFill="1" applyBorder="1" applyProtection="1"/>
    <xf numFmtId="1" fontId="5" fillId="23" borderId="50" xfId="6" applyNumberFormat="1" applyFont="1" applyFill="1" applyBorder="1" applyAlignment="1" applyProtection="1">
      <alignment horizontal="left"/>
    </xf>
    <xf numFmtId="0" fontId="5" fillId="23" borderId="5" xfId="6" applyFont="1" applyFill="1" applyBorder="1" applyProtection="1"/>
    <xf numFmtId="1" fontId="3" fillId="23" borderId="51" xfId="6" applyNumberFormat="1" applyFont="1" applyFill="1" applyBorder="1" applyAlignment="1" applyProtection="1">
      <alignment horizontal="left"/>
    </xf>
    <xf numFmtId="0" fontId="5" fillId="23" borderId="2" xfId="6" applyFont="1" applyFill="1" applyBorder="1" applyAlignment="1" applyProtection="1">
      <alignment horizontal="left"/>
    </xf>
    <xf numFmtId="0" fontId="5" fillId="23" borderId="2" xfId="6" applyFont="1" applyFill="1" applyBorder="1" applyAlignment="1" applyProtection="1">
      <alignment wrapText="1"/>
    </xf>
    <xf numFmtId="0" fontId="5" fillId="23" borderId="5" xfId="6" applyFont="1" applyFill="1" applyBorder="1" applyAlignment="1" applyProtection="1">
      <alignment wrapText="1"/>
    </xf>
    <xf numFmtId="1" fontId="3" fillId="23" borderId="51" xfId="6" applyNumberFormat="1" applyFont="1" applyFill="1" applyBorder="1" applyProtection="1"/>
    <xf numFmtId="1" fontId="5" fillId="23" borderId="197" xfId="6" applyNumberFormat="1" applyFont="1" applyFill="1" applyBorder="1" applyAlignment="1" applyProtection="1">
      <alignment horizontal="left"/>
    </xf>
    <xf numFmtId="0" fontId="5" fillId="23" borderId="9" xfId="6" applyFont="1" applyFill="1" applyBorder="1" applyProtection="1"/>
    <xf numFmtId="1" fontId="3" fillId="23" borderId="50" xfId="6" applyNumberFormat="1" applyFont="1" applyFill="1" applyBorder="1" applyAlignment="1" applyProtection="1">
      <alignment horizontal="left"/>
    </xf>
    <xf numFmtId="49" fontId="3" fillId="23" borderId="5" xfId="6" applyNumberFormat="1" applyFont="1" applyFill="1" applyBorder="1" applyAlignment="1" applyProtection="1">
      <alignment horizontal="left"/>
    </xf>
    <xf numFmtId="0" fontId="3" fillId="23" borderId="6" xfId="6" applyFont="1" applyFill="1" applyBorder="1" applyAlignment="1" applyProtection="1">
      <alignment wrapText="1"/>
    </xf>
    <xf numFmtId="3" fontId="48" fillId="23" borderId="136" xfId="6" applyNumberFormat="1" applyFont="1" applyFill="1" applyBorder="1" applyProtection="1"/>
    <xf numFmtId="3" fontId="3" fillId="23" borderId="198" xfId="6" applyNumberFormat="1" applyFont="1" applyFill="1" applyBorder="1" applyProtection="1"/>
    <xf numFmtId="3" fontId="3" fillId="23" borderId="57" xfId="6" applyNumberFormat="1" applyFont="1" applyFill="1" applyBorder="1" applyAlignment="1" applyProtection="1">
      <alignment horizontal="left"/>
    </xf>
    <xf numFmtId="3" fontId="2" fillId="23" borderId="5" xfId="6" applyNumberFormat="1" applyFont="1" applyFill="1" applyBorder="1" applyProtection="1"/>
    <xf numFmtId="3" fontId="48" fillId="23" borderId="5" xfId="6" applyNumberFormat="1" applyFont="1" applyFill="1" applyBorder="1" applyAlignment="1" applyProtection="1">
      <alignment horizontal="right"/>
    </xf>
    <xf numFmtId="9" fontId="48" fillId="23" borderId="5" xfId="6" quotePrefix="1" applyNumberFormat="1" applyFont="1" applyFill="1" applyBorder="1" applyAlignment="1" applyProtection="1">
      <alignment horizontal="right"/>
    </xf>
    <xf numFmtId="3" fontId="44" fillId="23" borderId="56" xfId="6" applyNumberFormat="1" applyFont="1" applyFill="1" applyBorder="1" applyAlignment="1" applyProtection="1">
      <alignment horizontal="right"/>
    </xf>
    <xf numFmtId="3" fontId="48" fillId="23" borderId="2" xfId="6" applyNumberFormat="1" applyFont="1" applyFill="1" applyBorder="1" applyAlignment="1" applyProtection="1">
      <alignment horizontal="right"/>
    </xf>
    <xf numFmtId="3" fontId="48" fillId="23" borderId="15" xfId="6" applyNumberFormat="1" applyFont="1" applyFill="1" applyBorder="1" applyAlignment="1" applyProtection="1">
      <alignment horizontal="right"/>
    </xf>
    <xf numFmtId="3" fontId="45" fillId="23" borderId="11" xfId="6" applyNumberFormat="1" applyFont="1" applyFill="1" applyBorder="1" applyAlignment="1" applyProtection="1">
      <alignment horizontal="right"/>
    </xf>
    <xf numFmtId="3" fontId="44" fillId="23" borderId="0" xfId="6" applyNumberFormat="1" applyFont="1" applyFill="1" applyBorder="1" applyAlignment="1" applyProtection="1">
      <alignment horizontal="right"/>
    </xf>
    <xf numFmtId="3" fontId="45" fillId="23" borderId="171" xfId="6" applyNumberFormat="1" applyFont="1" applyFill="1" applyBorder="1" applyAlignment="1" applyProtection="1">
      <alignment horizontal="right"/>
    </xf>
    <xf numFmtId="3" fontId="45" fillId="23" borderId="0" xfId="6" applyNumberFormat="1" applyFont="1" applyFill="1" applyBorder="1" applyAlignment="1" applyProtection="1">
      <alignment horizontal="right"/>
    </xf>
    <xf numFmtId="3" fontId="45" fillId="23" borderId="86" xfId="6" applyNumberFormat="1" applyFont="1" applyFill="1" applyBorder="1" applyAlignment="1" applyProtection="1">
      <alignment horizontal="right"/>
    </xf>
    <xf numFmtId="3" fontId="45" fillId="23" borderId="39" xfId="6" applyNumberFormat="1" applyFont="1" applyFill="1" applyBorder="1" applyAlignment="1" applyProtection="1">
      <alignment horizontal="right"/>
    </xf>
    <xf numFmtId="3" fontId="37" fillId="23" borderId="39" xfId="6" quotePrefix="1" applyNumberFormat="1" applyFont="1" applyFill="1" applyBorder="1" applyAlignment="1" applyProtection="1">
      <alignment horizontal="left"/>
    </xf>
    <xf numFmtId="3" fontId="44" fillId="23" borderId="39" xfId="6" applyNumberFormat="1" applyFont="1" applyFill="1" applyBorder="1" applyAlignment="1" applyProtection="1">
      <alignment horizontal="right"/>
    </xf>
    <xf numFmtId="3" fontId="44" fillId="23" borderId="59" xfId="6" applyNumberFormat="1" applyFont="1" applyFill="1" applyBorder="1" applyAlignment="1" applyProtection="1">
      <alignment horizontal="left"/>
    </xf>
    <xf numFmtId="3" fontId="2" fillId="23" borderId="9" xfId="6" applyNumberFormat="1" applyFont="1" applyFill="1" applyBorder="1" applyProtection="1"/>
    <xf numFmtId="3" fontId="48" fillId="23" borderId="9" xfId="6" applyNumberFormat="1" applyFont="1" applyFill="1" applyBorder="1" applyProtection="1"/>
    <xf numFmtId="9" fontId="48" fillId="23" borderId="9" xfId="6" applyNumberFormat="1" applyFont="1" applyFill="1" applyBorder="1" applyProtection="1"/>
    <xf numFmtId="3" fontId="3" fillId="23" borderId="95" xfId="6" applyNumberFormat="1" applyFont="1" applyFill="1" applyBorder="1" applyProtection="1"/>
    <xf numFmtId="167" fontId="3" fillId="23" borderId="121" xfId="6" applyNumberFormat="1" applyFont="1" applyFill="1" applyBorder="1" applyAlignment="1" applyProtection="1">
      <alignment horizontal="left"/>
    </xf>
    <xf numFmtId="3" fontId="2" fillId="23" borderId="2" xfId="6" applyNumberFormat="1" applyFont="1" applyFill="1" applyBorder="1" applyAlignment="1" applyProtection="1">
      <alignment horizontal="right"/>
    </xf>
    <xf numFmtId="167" fontId="44" fillId="23" borderId="57" xfId="6" applyNumberFormat="1" applyFont="1" applyFill="1" applyBorder="1" applyAlignment="1" applyProtection="1">
      <alignment horizontal="left"/>
    </xf>
    <xf numFmtId="3" fontId="2" fillId="23" borderId="5" xfId="6" applyNumberFormat="1" applyFont="1" applyFill="1" applyBorder="1" applyAlignment="1" applyProtection="1">
      <alignment horizontal="right"/>
    </xf>
    <xf numFmtId="3" fontId="2" fillId="23" borderId="9" xfId="6" applyNumberFormat="1" applyFont="1" applyFill="1" applyBorder="1" applyAlignment="1" applyProtection="1">
      <alignment horizontal="right"/>
    </xf>
    <xf numFmtId="3" fontId="3" fillId="23" borderId="52" xfId="6" applyNumberFormat="1" applyFont="1" applyFill="1" applyBorder="1" applyAlignment="1" applyProtection="1">
      <alignment horizontal="left"/>
    </xf>
    <xf numFmtId="3" fontId="3" fillId="23" borderId="53" xfId="6" applyNumberFormat="1" applyFont="1" applyFill="1" applyBorder="1" applyAlignment="1" applyProtection="1">
      <alignment horizontal="left"/>
    </xf>
    <xf numFmtId="0" fontId="2" fillId="23" borderId="0" xfId="6" applyFont="1" applyFill="1" applyProtection="1"/>
    <xf numFmtId="0" fontId="24" fillId="23" borderId="0" xfId="6" applyFill="1" applyProtection="1"/>
    <xf numFmtId="3" fontId="38" fillId="23" borderId="0" xfId="6" applyNumberFormat="1" applyFont="1" applyFill="1" applyBorder="1" applyProtection="1"/>
    <xf numFmtId="0" fontId="24" fillId="23" borderId="0" xfId="6" applyFont="1" applyFill="1" applyProtection="1"/>
    <xf numFmtId="0" fontId="2" fillId="23" borderId="0" xfId="6" applyFont="1" applyFill="1" applyBorder="1" applyProtection="1"/>
    <xf numFmtId="0" fontId="3" fillId="23" borderId="118" xfId="6" applyFont="1" applyFill="1" applyBorder="1" applyProtection="1"/>
    <xf numFmtId="0" fontId="3" fillId="23" borderId="121" xfId="6" applyFont="1" applyFill="1" applyBorder="1" applyProtection="1"/>
    <xf numFmtId="0" fontId="3" fillId="23" borderId="154" xfId="6" applyFont="1" applyFill="1" applyBorder="1" applyProtection="1"/>
    <xf numFmtId="0" fontId="3" fillId="23" borderId="57" xfId="6" applyFont="1" applyFill="1" applyBorder="1" applyProtection="1"/>
    <xf numFmtId="1" fontId="5" fillId="23" borderId="199" xfId="6" applyNumberFormat="1" applyFont="1" applyFill="1" applyBorder="1" applyAlignment="1" applyProtection="1">
      <alignment horizontal="left"/>
    </xf>
    <xf numFmtId="0" fontId="5" fillId="23" borderId="167" xfId="6" applyFont="1" applyFill="1" applyBorder="1" applyProtection="1"/>
    <xf numFmtId="0" fontId="3" fillId="23" borderId="3" xfId="6" applyFont="1" applyFill="1" applyBorder="1" applyProtection="1"/>
    <xf numFmtId="0" fontId="3" fillId="23" borderId="6" xfId="6" applyFont="1" applyFill="1" applyBorder="1" applyProtection="1"/>
    <xf numFmtId="1" fontId="3" fillId="23" borderId="142" xfId="6" applyNumberFormat="1" applyFont="1" applyFill="1" applyBorder="1" applyAlignment="1" applyProtection="1">
      <alignment horizontal="left"/>
    </xf>
    <xf numFmtId="1" fontId="5" fillId="23" borderId="58" xfId="6" applyNumberFormat="1" applyFont="1" applyFill="1" applyBorder="1" applyAlignment="1" applyProtection="1">
      <alignment horizontal="left"/>
    </xf>
    <xf numFmtId="1" fontId="3" fillId="23" borderId="58" xfId="6" applyNumberFormat="1" applyFont="1" applyFill="1" applyBorder="1" applyAlignment="1" applyProtection="1">
      <alignment horizontal="left"/>
    </xf>
    <xf numFmtId="1" fontId="5" fillId="23" borderId="125" xfId="6" applyNumberFormat="1" applyFont="1" applyFill="1" applyBorder="1" applyAlignment="1" applyProtection="1">
      <alignment horizontal="left"/>
    </xf>
    <xf numFmtId="0" fontId="5" fillId="23" borderId="114" xfId="6" applyFont="1" applyFill="1" applyBorder="1" applyProtection="1"/>
    <xf numFmtId="0" fontId="3" fillId="23" borderId="72" xfId="6" applyFont="1" applyFill="1" applyBorder="1" applyProtection="1"/>
    <xf numFmtId="3" fontId="3" fillId="23" borderId="56" xfId="0" applyNumberFormat="1" applyFont="1" applyFill="1" applyBorder="1" applyProtection="1"/>
    <xf numFmtId="49" fontId="7" fillId="23" borderId="58" xfId="0" applyNumberFormat="1" applyFont="1" applyFill="1" applyBorder="1" applyAlignment="1" applyProtection="1">
      <alignment horizontal="left"/>
    </xf>
    <xf numFmtId="49" fontId="12" fillId="23" borderId="58" xfId="0" applyNumberFormat="1" applyFont="1" applyFill="1" applyBorder="1" applyAlignment="1" applyProtection="1">
      <alignment horizontal="left"/>
    </xf>
    <xf numFmtId="1" fontId="5" fillId="23" borderId="134" xfId="0" applyNumberFormat="1" applyFont="1" applyFill="1" applyBorder="1" applyAlignment="1" applyProtection="1">
      <alignment horizontal="left"/>
    </xf>
    <xf numFmtId="1" fontId="3" fillId="23" borderId="22" xfId="0" applyNumberFormat="1" applyFont="1" applyFill="1" applyBorder="1" applyAlignment="1" applyProtection="1">
      <alignment horizontal="left"/>
    </xf>
    <xf numFmtId="1" fontId="5" fillId="23" borderId="22" xfId="0" applyNumberFormat="1" applyFont="1" applyFill="1" applyBorder="1" applyAlignment="1" applyProtection="1">
      <alignment horizontal="left"/>
    </xf>
    <xf numFmtId="1" fontId="3" fillId="23" borderId="24" xfId="0" applyNumberFormat="1" applyFont="1" applyFill="1" applyBorder="1" applyAlignment="1" applyProtection="1">
      <alignment horizontal="left"/>
    </xf>
    <xf numFmtId="1" fontId="5" fillId="23" borderId="58" xfId="0" applyNumberFormat="1" applyFont="1" applyFill="1" applyBorder="1" applyAlignment="1" applyProtection="1">
      <alignment horizontal="left"/>
    </xf>
    <xf numFmtId="1" fontId="5" fillId="23" borderId="129" xfId="0" applyNumberFormat="1" applyFont="1" applyFill="1" applyBorder="1" applyAlignment="1" applyProtection="1">
      <alignment horizontal="left"/>
    </xf>
    <xf numFmtId="1" fontId="5" fillId="23" borderId="130" xfId="0" applyNumberFormat="1" applyFont="1" applyFill="1" applyBorder="1" applyAlignment="1" applyProtection="1">
      <alignment horizontal="left"/>
    </xf>
    <xf numFmtId="3" fontId="3" fillId="23" borderId="195" xfId="0" applyNumberFormat="1" applyFont="1" applyFill="1" applyBorder="1" applyAlignment="1" applyProtection="1">
      <alignment wrapText="1"/>
    </xf>
    <xf numFmtId="3" fontId="3" fillId="23" borderId="121" xfId="0" applyNumberFormat="1" applyFont="1" applyFill="1" applyBorder="1" applyAlignment="1" applyProtection="1">
      <alignment wrapText="1"/>
    </xf>
    <xf numFmtId="3" fontId="3" fillId="23" borderId="44" xfId="0" applyNumberFormat="1" applyFont="1" applyFill="1" applyBorder="1" applyProtection="1"/>
    <xf numFmtId="3" fontId="3" fillId="23" borderId="0" xfId="0" applyNumberFormat="1" applyFont="1" applyFill="1" applyBorder="1" applyProtection="1"/>
    <xf numFmtId="0" fontId="2" fillId="23" borderId="0" xfId="0" applyFont="1" applyFill="1" applyBorder="1" applyAlignment="1" applyProtection="1">
      <alignment wrapText="1"/>
    </xf>
    <xf numFmtId="0" fontId="2" fillId="23" borderId="57" xfId="0" applyFont="1" applyFill="1" applyBorder="1" applyAlignment="1" applyProtection="1">
      <alignment wrapText="1"/>
    </xf>
    <xf numFmtId="0" fontId="9" fillId="23" borderId="176" xfId="0" applyFont="1" applyFill="1" applyBorder="1" applyAlignment="1" applyProtection="1">
      <alignment horizontal="left" wrapText="1"/>
    </xf>
    <xf numFmtId="0" fontId="9" fillId="23" borderId="176" xfId="0" applyFont="1" applyFill="1" applyBorder="1" applyAlignment="1" applyProtection="1">
      <alignment horizontal="left"/>
    </xf>
    <xf numFmtId="0" fontId="9" fillId="23" borderId="1" xfId="0" applyFont="1" applyFill="1" applyBorder="1" applyAlignment="1" applyProtection="1">
      <alignment horizontal="left" wrapText="1"/>
    </xf>
    <xf numFmtId="0" fontId="9" fillId="23" borderId="57" xfId="0" applyFont="1" applyFill="1" applyBorder="1" applyAlignment="1" applyProtection="1">
      <alignment horizontal="left" wrapText="1"/>
    </xf>
    <xf numFmtId="3" fontId="2" fillId="23" borderId="136" xfId="0" applyNumberFormat="1" applyFont="1" applyFill="1" applyBorder="1" applyAlignment="1" applyProtection="1">
      <alignment horizontal="right"/>
    </xf>
    <xf numFmtId="3" fontId="48" fillId="23" borderId="35" xfId="0" quotePrefix="1" applyNumberFormat="1" applyFont="1" applyFill="1" applyBorder="1" applyAlignment="1" applyProtection="1">
      <alignment horizontal="right"/>
    </xf>
    <xf numFmtId="3" fontId="3" fillId="23" borderId="198" xfId="0" applyNumberFormat="1" applyFont="1" applyFill="1" applyBorder="1" applyAlignment="1" applyProtection="1">
      <alignment horizontal="right"/>
    </xf>
    <xf numFmtId="3" fontId="3" fillId="23" borderId="170" xfId="0" applyNumberFormat="1" applyFont="1" applyFill="1" applyBorder="1" applyAlignment="1" applyProtection="1">
      <alignment horizontal="left"/>
    </xf>
    <xf numFmtId="3" fontId="2" fillId="23" borderId="5" xfId="0" applyNumberFormat="1" applyFont="1" applyFill="1" applyBorder="1" applyAlignment="1" applyProtection="1">
      <alignment horizontal="right"/>
    </xf>
    <xf numFmtId="3" fontId="48" fillId="23" borderId="2" xfId="0" applyNumberFormat="1" applyFont="1" applyFill="1" applyBorder="1" applyAlignment="1" applyProtection="1">
      <alignment horizontal="right"/>
    </xf>
    <xf numFmtId="3" fontId="37" fillId="23" borderId="2" xfId="0" quotePrefix="1" applyNumberFormat="1" applyFont="1" applyFill="1" applyBorder="1" applyAlignment="1" applyProtection="1">
      <alignment horizontal="left"/>
    </xf>
    <xf numFmtId="3" fontId="44" fillId="23" borderId="57" xfId="0" applyNumberFormat="1" applyFont="1" applyFill="1" applyBorder="1" applyAlignment="1" applyProtection="1">
      <alignment horizontal="left"/>
    </xf>
    <xf numFmtId="3" fontId="48" fillId="23" borderId="5" xfId="0" applyNumberFormat="1" applyFont="1" applyFill="1" applyBorder="1" applyAlignment="1" applyProtection="1">
      <alignment horizontal="right"/>
    </xf>
    <xf numFmtId="3" fontId="2" fillId="23" borderId="171" xfId="0" applyNumberFormat="1" applyFont="1" applyFill="1" applyBorder="1" applyAlignment="1" applyProtection="1">
      <alignment horizontal="right"/>
    </xf>
    <xf numFmtId="3" fontId="48" fillId="23" borderId="11" xfId="0" applyNumberFormat="1" applyFont="1" applyFill="1" applyBorder="1" applyAlignment="1" applyProtection="1">
      <alignment horizontal="right"/>
    </xf>
    <xf numFmtId="3" fontId="37" fillId="23" borderId="11" xfId="0" applyNumberFormat="1" applyFont="1" applyFill="1" applyBorder="1" applyAlignment="1" applyProtection="1">
      <alignment horizontal="left"/>
    </xf>
    <xf numFmtId="3" fontId="2" fillId="23" borderId="86" xfId="0" applyNumberFormat="1" applyFont="1" applyFill="1" applyBorder="1" applyAlignment="1" applyProtection="1">
      <alignment horizontal="right"/>
    </xf>
    <xf numFmtId="3" fontId="48" fillId="23" borderId="39" xfId="0" applyNumberFormat="1" applyFont="1" applyFill="1" applyBorder="1" applyAlignment="1" applyProtection="1">
      <alignment horizontal="right"/>
    </xf>
    <xf numFmtId="3" fontId="37" fillId="23" borderId="39" xfId="0" quotePrefix="1" applyNumberFormat="1" applyFont="1" applyFill="1" applyBorder="1" applyAlignment="1" applyProtection="1">
      <alignment horizontal="left"/>
    </xf>
    <xf numFmtId="3" fontId="44" fillId="23" borderId="39" xfId="0" applyNumberFormat="1" applyFont="1" applyFill="1" applyBorder="1" applyAlignment="1" applyProtection="1">
      <alignment horizontal="right"/>
    </xf>
    <xf numFmtId="3" fontId="2" fillId="23" borderId="2" xfId="0" applyNumberFormat="1" applyFont="1" applyFill="1" applyBorder="1" applyAlignment="1" applyProtection="1">
      <alignment horizontal="right"/>
    </xf>
    <xf numFmtId="3" fontId="37" fillId="23" borderId="2" xfId="0" applyNumberFormat="1" applyFont="1" applyFill="1" applyBorder="1" applyAlignment="1" applyProtection="1">
      <alignment horizontal="left"/>
    </xf>
    <xf numFmtId="3" fontId="3" fillId="23" borderId="56" xfId="0" applyNumberFormat="1" applyFont="1" applyFill="1" applyBorder="1" applyAlignment="1" applyProtection="1">
      <alignment horizontal="right"/>
    </xf>
    <xf numFmtId="3" fontId="3" fillId="23" borderId="121" xfId="0" applyNumberFormat="1" applyFont="1" applyFill="1" applyBorder="1" applyAlignment="1" applyProtection="1">
      <alignment horizontal="left"/>
    </xf>
    <xf numFmtId="3" fontId="37" fillId="23" borderId="39" xfId="0" applyNumberFormat="1" applyFont="1" applyFill="1" applyBorder="1" applyAlignment="1" applyProtection="1">
      <alignment horizontal="left"/>
    </xf>
    <xf numFmtId="3" fontId="44" fillId="23" borderId="54" xfId="0" applyNumberFormat="1" applyFont="1" applyFill="1" applyBorder="1" applyAlignment="1" applyProtection="1">
      <alignment horizontal="right"/>
    </xf>
    <xf numFmtId="3" fontId="3" fillId="23" borderId="54" xfId="0" applyNumberFormat="1" applyFont="1" applyFill="1" applyBorder="1" applyAlignment="1" applyProtection="1">
      <alignment horizontal="right"/>
    </xf>
    <xf numFmtId="3" fontId="3" fillId="23" borderId="52" xfId="0" applyNumberFormat="1" applyFont="1" applyFill="1" applyBorder="1" applyAlignment="1" applyProtection="1">
      <alignment horizontal="left"/>
    </xf>
    <xf numFmtId="3" fontId="2" fillId="23" borderId="25" xfId="0" applyNumberFormat="1" applyFont="1" applyFill="1" applyBorder="1" applyAlignment="1" applyProtection="1">
      <alignment horizontal="right"/>
    </xf>
    <xf numFmtId="3" fontId="48" fillId="23" borderId="13" xfId="0" quotePrefix="1" applyNumberFormat="1" applyFont="1" applyFill="1" applyBorder="1" applyAlignment="1" applyProtection="1">
      <alignment horizontal="right"/>
    </xf>
    <xf numFmtId="3" fontId="37" fillId="23" borderId="13" xfId="0" applyNumberFormat="1" applyFont="1" applyFill="1" applyBorder="1" applyAlignment="1" applyProtection="1">
      <alignment horizontal="left"/>
    </xf>
    <xf numFmtId="3" fontId="44" fillId="23" borderId="86" xfId="0" applyNumberFormat="1" applyFont="1" applyFill="1" applyBorder="1" applyAlignment="1" applyProtection="1">
      <alignment horizontal="right"/>
    </xf>
    <xf numFmtId="3" fontId="44" fillId="23" borderId="80" xfId="0" applyNumberFormat="1" applyFont="1" applyFill="1" applyBorder="1" applyAlignment="1" applyProtection="1">
      <alignment horizontal="right"/>
    </xf>
    <xf numFmtId="3" fontId="3" fillId="23" borderId="57" xfId="0" applyNumberFormat="1" applyFont="1" applyFill="1" applyBorder="1" applyAlignment="1" applyProtection="1">
      <alignment horizontal="left"/>
    </xf>
    <xf numFmtId="3" fontId="45" fillId="23" borderId="15" xfId="0" applyNumberFormat="1" applyFont="1" applyFill="1" applyBorder="1" applyAlignment="1" applyProtection="1">
      <alignment horizontal="right"/>
    </xf>
    <xf numFmtId="3" fontId="48" fillId="23" borderId="15" xfId="0" applyNumberFormat="1" applyFont="1" applyFill="1" applyBorder="1" applyAlignment="1" applyProtection="1">
      <alignment horizontal="right"/>
    </xf>
    <xf numFmtId="3" fontId="45" fillId="23" borderId="25" xfId="0" applyNumberFormat="1" applyFont="1" applyFill="1" applyBorder="1" applyAlignment="1" applyProtection="1">
      <alignment horizontal="right"/>
    </xf>
    <xf numFmtId="3" fontId="48" fillId="23" borderId="25" xfId="0" applyNumberFormat="1" applyFont="1" applyFill="1" applyBorder="1" applyAlignment="1" applyProtection="1">
      <alignment horizontal="right"/>
    </xf>
    <xf numFmtId="3" fontId="37" fillId="23" borderId="25" xfId="0" quotePrefix="1" applyNumberFormat="1" applyFont="1" applyFill="1" applyBorder="1" applyAlignment="1" applyProtection="1">
      <alignment horizontal="left"/>
    </xf>
    <xf numFmtId="0" fontId="125" fillId="0" borderId="0" xfId="5" applyFont="1" applyFill="1" applyAlignment="1" applyProtection="1"/>
    <xf numFmtId="3" fontId="2" fillId="9" borderId="20" xfId="0" applyNumberFormat="1" applyFont="1" applyFill="1" applyBorder="1" applyProtection="1"/>
    <xf numFmtId="3" fontId="2" fillId="9" borderId="19" xfId="0" applyNumberFormat="1" applyFont="1" applyFill="1" applyBorder="1" applyProtection="1"/>
    <xf numFmtId="0" fontId="126" fillId="0" borderId="0" xfId="5" applyFont="1" applyFill="1" applyBorder="1" applyAlignment="1" applyProtection="1"/>
    <xf numFmtId="49" fontId="126" fillId="0" borderId="0" xfId="5" applyNumberFormat="1" applyFont="1" applyAlignment="1" applyProtection="1">
      <alignment horizontal="left"/>
    </xf>
    <xf numFmtId="0" fontId="126" fillId="0" borderId="0" xfId="5" applyFont="1" applyFill="1" applyAlignment="1" applyProtection="1"/>
    <xf numFmtId="0" fontId="126" fillId="2" borderId="0" xfId="5" applyFont="1" applyFill="1" applyAlignment="1" applyProtection="1">
      <alignment vertical="top"/>
    </xf>
    <xf numFmtId="49" fontId="135" fillId="16" borderId="5" xfId="0" applyNumberFormat="1" applyFont="1" applyFill="1" applyBorder="1" applyAlignment="1" applyProtection="1">
      <alignment horizontal="right"/>
    </xf>
    <xf numFmtId="171" fontId="37" fillId="0" borderId="0" xfId="0" applyNumberFormat="1" applyFont="1" applyFill="1" applyBorder="1" applyAlignment="1" applyProtection="1">
      <alignment horizontal="left" vertical="justify" wrapText="1"/>
    </xf>
    <xf numFmtId="0" fontId="3" fillId="23" borderId="118" xfId="0" applyFont="1" applyFill="1" applyBorder="1" applyAlignment="1" applyProtection="1">
      <alignment horizontal="right"/>
    </xf>
    <xf numFmtId="9" fontId="3" fillId="23" borderId="118" xfId="0" applyNumberFormat="1" applyFont="1" applyFill="1" applyBorder="1" applyAlignment="1" applyProtection="1">
      <alignment horizontal="right"/>
    </xf>
    <xf numFmtId="9" fontId="3" fillId="23" borderId="15" xfId="0" applyNumberFormat="1" applyFont="1" applyFill="1" applyBorder="1" applyAlignment="1" applyProtection="1">
      <alignment horizontal="right"/>
    </xf>
    <xf numFmtId="9" fontId="3" fillId="23" borderId="13" xfId="0" applyNumberFormat="1" applyFont="1" applyFill="1" applyBorder="1" applyAlignment="1" applyProtection="1">
      <alignment horizontal="right"/>
    </xf>
    <xf numFmtId="0" fontId="8" fillId="23" borderId="98" xfId="0" applyFont="1" applyFill="1" applyBorder="1" applyAlignment="1" applyProtection="1">
      <alignment horizontal="center"/>
    </xf>
    <xf numFmtId="0" fontId="8" fillId="23" borderId="127" xfId="0" applyFont="1" applyFill="1" applyBorder="1" applyAlignment="1" applyProtection="1">
      <alignment horizontal="center"/>
    </xf>
    <xf numFmtId="9" fontId="3" fillId="23" borderId="68" xfId="0" applyNumberFormat="1" applyFont="1" applyFill="1" applyBorder="1" applyAlignment="1" applyProtection="1">
      <alignment horizontal="right"/>
    </xf>
    <xf numFmtId="0" fontId="8" fillId="23" borderId="130" xfId="0" applyFont="1" applyFill="1" applyBorder="1" applyAlignment="1" applyProtection="1">
      <alignment horizontal="center"/>
    </xf>
    <xf numFmtId="0" fontId="3" fillId="23" borderId="98" xfId="0" applyFont="1" applyFill="1" applyBorder="1" applyAlignment="1" applyProtection="1">
      <alignment horizontal="center"/>
    </xf>
    <xf numFmtId="0" fontId="136" fillId="23" borderId="88" xfId="0" applyFont="1" applyFill="1" applyBorder="1" applyAlignment="1" applyProtection="1">
      <alignment horizontal="left"/>
    </xf>
    <xf numFmtId="0" fontId="136" fillId="23" borderId="60" xfId="0" applyFont="1" applyFill="1" applyBorder="1" applyAlignment="1" applyProtection="1">
      <alignment horizontal="left"/>
    </xf>
    <xf numFmtId="0" fontId="136" fillId="23" borderId="18" xfId="0" applyFont="1" applyFill="1" applyBorder="1" applyAlignment="1" applyProtection="1">
      <alignment horizontal="left"/>
    </xf>
    <xf numFmtId="0" fontId="136" fillId="23" borderId="69" xfId="0" applyFont="1" applyFill="1" applyBorder="1" applyAlignment="1" applyProtection="1">
      <alignment horizontal="left"/>
    </xf>
    <xf numFmtId="0" fontId="136" fillId="23" borderId="85" xfId="0" applyFont="1" applyFill="1" applyBorder="1" applyAlignment="1" applyProtection="1">
      <alignment horizontal="left"/>
    </xf>
    <xf numFmtId="0" fontId="136" fillId="23" borderId="88" xfId="0" applyFont="1" applyFill="1" applyBorder="1" applyAlignment="1" applyProtection="1">
      <alignment horizontal="right"/>
    </xf>
    <xf numFmtId="0" fontId="136" fillId="23" borderId="60" xfId="0" applyFont="1" applyFill="1" applyBorder="1" applyAlignment="1" applyProtection="1">
      <alignment horizontal="right"/>
    </xf>
    <xf numFmtId="0" fontId="136" fillId="23" borderId="18" xfId="0" applyFont="1" applyFill="1" applyBorder="1" applyAlignment="1" applyProtection="1">
      <alignment horizontal="right"/>
    </xf>
    <xf numFmtId="9" fontId="136" fillId="23" borderId="26" xfId="0" applyNumberFormat="1" applyFont="1" applyFill="1" applyBorder="1" applyAlignment="1" applyProtection="1">
      <alignment horizontal="right"/>
    </xf>
    <xf numFmtId="0" fontId="136" fillId="23" borderId="69" xfId="0" applyFont="1" applyFill="1" applyBorder="1" applyAlignment="1" applyProtection="1">
      <alignment horizontal="right"/>
    </xf>
    <xf numFmtId="9" fontId="136" fillId="23" borderId="85" xfId="0" applyNumberFormat="1" applyFont="1" applyFill="1" applyBorder="1" applyAlignment="1" applyProtection="1">
      <alignment horizontal="right"/>
    </xf>
    <xf numFmtId="0" fontId="8" fillId="0" borderId="124" xfId="0" applyFont="1" applyFill="1" applyBorder="1" applyAlignment="1" applyProtection="1">
      <alignment horizontal="center"/>
    </xf>
    <xf numFmtId="0" fontId="3" fillId="0" borderId="124" xfId="0" applyFont="1" applyFill="1" applyBorder="1" applyAlignment="1" applyProtection="1">
      <alignment horizontal="right"/>
    </xf>
    <xf numFmtId="9" fontId="3" fillId="0" borderId="124" xfId="0" applyNumberFormat="1" applyFont="1" applyFill="1" applyBorder="1" applyAlignment="1" applyProtection="1">
      <alignment horizontal="right"/>
    </xf>
    <xf numFmtId="0" fontId="136" fillId="0" borderId="124" xfId="0" applyFont="1" applyFill="1" applyBorder="1" applyAlignment="1" applyProtection="1">
      <alignment horizontal="right"/>
    </xf>
    <xf numFmtId="9" fontId="3" fillId="23" borderId="107" xfId="0" applyNumberFormat="1" applyFont="1" applyFill="1" applyBorder="1" applyAlignment="1" applyProtection="1">
      <alignment horizontal="right"/>
    </xf>
    <xf numFmtId="9" fontId="3" fillId="23" borderId="54" xfId="0" applyNumberFormat="1" applyFont="1" applyFill="1" applyBorder="1" applyAlignment="1" applyProtection="1">
      <alignment horizontal="right"/>
    </xf>
    <xf numFmtId="0" fontId="37" fillId="0" borderId="0" xfId="0" applyFont="1" applyFill="1" applyAlignment="1" applyProtection="1">
      <alignment horizontal="right"/>
    </xf>
    <xf numFmtId="0" fontId="0" fillId="30" borderId="0" xfId="0" applyFill="1"/>
    <xf numFmtId="49" fontId="24" fillId="2" borderId="124" xfId="0" applyNumberFormat="1" applyFont="1" applyFill="1" applyBorder="1" applyProtection="1"/>
    <xf numFmtId="0" fontId="24" fillId="2" borderId="124" xfId="0" applyFont="1" applyFill="1" applyBorder="1" applyProtection="1"/>
    <xf numFmtId="0" fontId="8" fillId="2" borderId="124" xfId="0" applyFont="1" applyFill="1" applyBorder="1" applyProtection="1"/>
    <xf numFmtId="0" fontId="2" fillId="0" borderId="0" xfId="0" applyFont="1" applyFill="1" applyBorder="1" applyAlignment="1" applyProtection="1">
      <alignment vertical="top"/>
    </xf>
    <xf numFmtId="0" fontId="2" fillId="0" borderId="0" xfId="0" applyFont="1" applyFill="1" applyBorder="1" applyAlignment="1" applyProtection="1"/>
    <xf numFmtId="0" fontId="24" fillId="2" borderId="0" xfId="0" applyFont="1" applyFill="1" applyBorder="1" applyAlignment="1" applyProtection="1">
      <alignment vertical="top"/>
    </xf>
    <xf numFmtId="0" fontId="0" fillId="0" borderId="0" xfId="0" applyBorder="1" applyAlignment="1">
      <alignment vertical="top"/>
    </xf>
    <xf numFmtId="0" fontId="2" fillId="0" borderId="67" xfId="0" applyFont="1" applyFill="1" applyBorder="1" applyAlignment="1" applyProtection="1">
      <alignment vertical="top"/>
    </xf>
    <xf numFmtId="0" fontId="2" fillId="0" borderId="142" xfId="0" applyFont="1" applyFill="1" applyBorder="1" applyAlignment="1" applyProtection="1">
      <alignment vertical="top"/>
    </xf>
    <xf numFmtId="0" fontId="2" fillId="0" borderId="1" xfId="0" applyFont="1" applyFill="1" applyBorder="1" applyAlignment="1" applyProtection="1">
      <alignment vertical="top"/>
    </xf>
    <xf numFmtId="0" fontId="2" fillId="0" borderId="0" xfId="0" applyFont="1" applyBorder="1" applyAlignment="1" applyProtection="1">
      <alignment vertical="top" wrapText="1"/>
    </xf>
    <xf numFmtId="0" fontId="0" fillId="0" borderId="0" xfId="0" applyBorder="1" applyAlignment="1" applyProtection="1">
      <alignment vertical="top" wrapText="1"/>
    </xf>
    <xf numFmtId="0" fontId="0" fillId="0" borderId="0" xfId="0" applyBorder="1" applyAlignment="1" applyProtection="1">
      <alignment wrapText="1"/>
    </xf>
    <xf numFmtId="0" fontId="38" fillId="0" borderId="58" xfId="0" applyFont="1" applyFill="1" applyBorder="1" applyProtection="1"/>
    <xf numFmtId="0" fontId="38" fillId="0" borderId="0" xfId="0" applyFont="1" applyFill="1" applyProtection="1"/>
    <xf numFmtId="0" fontId="136" fillId="0" borderId="0" xfId="0" applyFont="1" applyFill="1" applyProtection="1"/>
    <xf numFmtId="0" fontId="136" fillId="23" borderId="19" xfId="0" applyFont="1" applyFill="1" applyBorder="1" applyAlignment="1" applyProtection="1">
      <alignment horizontal="left"/>
    </xf>
    <xf numFmtId="0" fontId="5" fillId="23" borderId="42" xfId="0" applyFont="1" applyFill="1" applyBorder="1" applyAlignment="1" applyProtection="1">
      <alignment wrapText="1"/>
    </xf>
    <xf numFmtId="3" fontId="39" fillId="0" borderId="0" xfId="0" applyNumberFormat="1" applyFont="1" applyFill="1" applyBorder="1" applyProtection="1"/>
    <xf numFmtId="3" fontId="2" fillId="31" borderId="18" xfId="0" applyNumberFormat="1" applyFont="1" applyFill="1" applyBorder="1" applyAlignment="1" applyProtection="1">
      <alignment horizontal="right"/>
    </xf>
    <xf numFmtId="0" fontId="137" fillId="0" borderId="124" xfId="0" applyFont="1" applyFill="1" applyBorder="1" applyProtection="1"/>
    <xf numFmtId="3" fontId="37" fillId="23" borderId="136" xfId="6" quotePrefix="1" applyNumberFormat="1" applyFont="1" applyFill="1" applyBorder="1" applyProtection="1"/>
    <xf numFmtId="3" fontId="37" fillId="23" borderId="9" xfId="6" quotePrefix="1" applyNumberFormat="1" applyFont="1" applyFill="1" applyBorder="1" applyProtection="1"/>
    <xf numFmtId="3" fontId="2" fillId="23" borderId="156" xfId="0" applyNumberFormat="1" applyFont="1" applyFill="1" applyBorder="1" applyAlignment="1" applyProtection="1">
      <alignment horizontal="right"/>
    </xf>
    <xf numFmtId="3" fontId="2" fillId="23" borderId="118" xfId="0" applyNumberFormat="1" applyFont="1" applyFill="1" applyBorder="1" applyAlignment="1" applyProtection="1">
      <alignment horizontal="right"/>
    </xf>
    <xf numFmtId="3" fontId="2" fillId="23" borderId="13" xfId="0" applyNumberFormat="1" applyFont="1" applyFill="1" applyBorder="1" applyAlignment="1" applyProtection="1">
      <alignment horizontal="right"/>
    </xf>
    <xf numFmtId="0" fontId="138" fillId="0" borderId="0" xfId="0" applyFont="1" applyFill="1" applyProtection="1"/>
    <xf numFmtId="0" fontId="139" fillId="2" borderId="0" xfId="0" applyFont="1" applyFill="1" applyAlignment="1" applyProtection="1">
      <alignment horizontal="left"/>
    </xf>
    <xf numFmtId="0" fontId="9" fillId="0" borderId="0" xfId="0" applyFont="1" applyProtection="1"/>
    <xf numFmtId="3" fontId="10" fillId="31" borderId="7" xfId="0" applyNumberFormat="1" applyFont="1" applyFill="1" applyBorder="1" applyProtection="1"/>
    <xf numFmtId="3" fontId="10" fillId="31" borderId="5" xfId="0" applyNumberFormat="1" applyFont="1" applyFill="1" applyBorder="1" applyProtection="1"/>
    <xf numFmtId="3" fontId="10" fillId="31" borderId="19" xfId="0" applyNumberFormat="1" applyFont="1" applyFill="1" applyBorder="1" applyProtection="1"/>
    <xf numFmtId="0" fontId="37" fillId="23" borderId="0" xfId="0" applyFont="1" applyFill="1" applyBorder="1" applyAlignment="1" applyProtection="1"/>
    <xf numFmtId="0" fontId="37" fillId="23" borderId="39" xfId="0" applyFont="1" applyFill="1" applyBorder="1" applyAlignment="1" applyProtection="1"/>
    <xf numFmtId="0" fontId="37" fillId="23" borderId="27" xfId="0" applyFont="1" applyFill="1" applyBorder="1" applyProtection="1"/>
    <xf numFmtId="49" fontId="2" fillId="10" borderId="139" xfId="0" applyNumberFormat="1" applyFont="1" applyFill="1" applyBorder="1" applyAlignment="1" applyProtection="1"/>
    <xf numFmtId="0" fontId="37" fillId="23" borderId="58" xfId="0" applyFont="1" applyFill="1" applyBorder="1" applyProtection="1"/>
    <xf numFmtId="0" fontId="37" fillId="23" borderId="0" xfId="0" applyFont="1" applyFill="1" applyAlignment="1" applyProtection="1">
      <alignment horizontal="left"/>
    </xf>
    <xf numFmtId="0" fontId="140" fillId="7" borderId="0" xfId="0" applyFont="1" applyFill="1" applyProtection="1"/>
    <xf numFmtId="1" fontId="3" fillId="23" borderId="201" xfId="0" applyNumberFormat="1" applyFont="1" applyFill="1" applyBorder="1" applyAlignment="1" applyProtection="1">
      <alignment horizontal="center" wrapText="1"/>
    </xf>
    <xf numFmtId="0" fontId="1" fillId="0" borderId="0" xfId="0" applyFont="1" applyFill="1" applyProtection="1"/>
    <xf numFmtId="0" fontId="43" fillId="0" borderId="0" xfId="0" applyFont="1" applyFill="1" applyBorder="1" applyAlignment="1" applyProtection="1">
      <alignment horizontal="center"/>
    </xf>
    <xf numFmtId="3" fontId="84" fillId="0" borderId="0" xfId="0" applyNumberFormat="1" applyFont="1" applyFill="1" applyBorder="1" applyAlignment="1" applyProtection="1">
      <alignment horizontal="center"/>
    </xf>
    <xf numFmtId="0" fontId="41" fillId="0" borderId="0" xfId="0" applyFont="1" applyFill="1" applyProtection="1"/>
    <xf numFmtId="3" fontId="136" fillId="0" borderId="0" xfId="0" quotePrefix="1" applyNumberFormat="1" applyFont="1" applyFill="1" applyBorder="1" applyAlignment="1" applyProtection="1">
      <alignment horizontal="left"/>
    </xf>
    <xf numFmtId="49" fontId="3" fillId="0" borderId="0" xfId="0" applyNumberFormat="1" applyFont="1" applyFill="1" applyBorder="1" applyAlignment="1" applyProtection="1">
      <alignment horizontal="left"/>
    </xf>
    <xf numFmtId="1" fontId="5" fillId="0" borderId="0" xfId="0" applyNumberFormat="1" applyFont="1" applyFill="1" applyBorder="1" applyAlignment="1" applyProtection="1">
      <alignment horizontal="left"/>
    </xf>
    <xf numFmtId="0" fontId="105" fillId="0" borderId="0" xfId="0" applyFont="1" applyFill="1" applyProtection="1"/>
    <xf numFmtId="0" fontId="136" fillId="2" borderId="0" xfId="0" applyFont="1" applyFill="1" applyProtection="1"/>
    <xf numFmtId="0" fontId="5" fillId="23" borderId="70" xfId="0" applyFont="1" applyFill="1" applyBorder="1" applyAlignment="1" applyProtection="1">
      <alignment horizontal="left"/>
    </xf>
    <xf numFmtId="165" fontId="48" fillId="23" borderId="0" xfId="0" applyNumberFormat="1" applyFont="1" applyFill="1" applyBorder="1" applyProtection="1"/>
    <xf numFmtId="3" fontId="48" fillId="24" borderId="0" xfId="0" applyNumberFormat="1" applyFont="1" applyFill="1" applyBorder="1" applyAlignment="1" applyProtection="1">
      <alignment horizontal="right"/>
    </xf>
    <xf numFmtId="3" fontId="48" fillId="25" borderId="0" xfId="0" applyNumberFormat="1" applyFont="1" applyFill="1" applyBorder="1" applyProtection="1"/>
    <xf numFmtId="165" fontId="48" fillId="0" borderId="0" xfId="0" applyNumberFormat="1" applyFont="1" applyFill="1" applyBorder="1" applyProtection="1"/>
    <xf numFmtId="3" fontId="48" fillId="0" borderId="0" xfId="0" applyNumberFormat="1" applyFont="1" applyFill="1" applyBorder="1" applyAlignment="1" applyProtection="1">
      <alignment horizontal="right"/>
    </xf>
    <xf numFmtId="3" fontId="48" fillId="0" borderId="0" xfId="0" applyNumberFormat="1" applyFont="1" applyFill="1" applyBorder="1" applyProtection="1"/>
    <xf numFmtId="3" fontId="48" fillId="24" borderId="122" xfId="0" applyNumberFormat="1" applyFont="1" applyFill="1" applyBorder="1" applyProtection="1"/>
    <xf numFmtId="3" fontId="10" fillId="0" borderId="10" xfId="0" applyNumberFormat="1" applyFont="1" applyFill="1" applyBorder="1" applyAlignment="1" applyProtection="1">
      <alignment horizontal="right"/>
      <protection locked="0"/>
    </xf>
    <xf numFmtId="3" fontId="13" fillId="0" borderId="72" xfId="0" applyNumberFormat="1" applyFont="1" applyFill="1" applyBorder="1" applyAlignment="1" applyProtection="1">
      <alignment horizontal="right"/>
      <protection locked="0"/>
    </xf>
    <xf numFmtId="49" fontId="8" fillId="23" borderId="202" xfId="0" applyNumberFormat="1" applyFont="1" applyFill="1" applyBorder="1" applyAlignment="1" applyProtection="1">
      <alignment horizontal="center"/>
    </xf>
    <xf numFmtId="1" fontId="8" fillId="23" borderId="203" xfId="0" applyNumberFormat="1" applyFont="1" applyFill="1" applyBorder="1" applyAlignment="1" applyProtection="1">
      <alignment horizontal="center"/>
    </xf>
    <xf numFmtId="1" fontId="8" fillId="23" borderId="203" xfId="0" applyNumberFormat="1" applyFont="1" applyFill="1" applyBorder="1" applyAlignment="1" applyProtection="1">
      <alignment horizontal="left"/>
    </xf>
    <xf numFmtId="3" fontId="13" fillId="2" borderId="204" xfId="0" applyNumberFormat="1" applyFont="1" applyFill="1" applyBorder="1" applyAlignment="1" applyProtection="1">
      <alignment horizontal="right"/>
      <protection locked="0"/>
    </xf>
    <xf numFmtId="0" fontId="3" fillId="23" borderId="117" xfId="0" applyFont="1" applyFill="1" applyBorder="1" applyAlignment="1" applyProtection="1">
      <alignment horizontal="left" vertical="top" wrapText="1"/>
    </xf>
    <xf numFmtId="0" fontId="35" fillId="23" borderId="168" xfId="0" applyFont="1" applyFill="1" applyBorder="1" applyAlignment="1" applyProtection="1">
      <alignment horizontal="left" vertical="top" wrapText="1"/>
    </xf>
    <xf numFmtId="0" fontId="24" fillId="23" borderId="158" xfId="0" applyFont="1" applyFill="1" applyBorder="1" applyAlignment="1" applyProtection="1">
      <alignment horizontal="left" wrapText="1"/>
    </xf>
    <xf numFmtId="0" fontId="3" fillId="23" borderId="157" xfId="0" applyFont="1" applyFill="1" applyBorder="1" applyAlignment="1" applyProtection="1">
      <alignment vertical="top" wrapText="1"/>
    </xf>
    <xf numFmtId="0" fontId="3" fillId="23" borderId="136" xfId="0" applyFont="1" applyFill="1" applyBorder="1" applyAlignment="1" applyProtection="1">
      <alignment horizontal="left" vertical="top" wrapText="1"/>
    </xf>
    <xf numFmtId="49" fontId="3" fillId="23" borderId="133" xfId="0" applyNumberFormat="1" applyFont="1" applyFill="1" applyBorder="1" applyAlignment="1" applyProtection="1">
      <alignment horizontal="left"/>
    </xf>
    <xf numFmtId="0" fontId="8" fillId="0" borderId="0" xfId="0" applyFont="1" applyFill="1" applyBorder="1" applyAlignment="1" applyProtection="1">
      <alignment horizontal="center"/>
    </xf>
    <xf numFmtId="3" fontId="2" fillId="3" borderId="40" xfId="0" applyNumberFormat="1" applyFont="1" applyFill="1" applyBorder="1" applyProtection="1"/>
    <xf numFmtId="3" fontId="3" fillId="23" borderId="161" xfId="0" applyNumberFormat="1" applyFont="1" applyFill="1" applyBorder="1" applyAlignment="1" applyProtection="1">
      <alignment horizontal="left" vertical="top" wrapText="1"/>
    </xf>
    <xf numFmtId="0" fontId="3" fillId="23" borderId="56" xfId="0" applyFont="1" applyFill="1" applyBorder="1" applyAlignment="1" applyProtection="1">
      <alignment vertical="top" wrapText="1"/>
    </xf>
    <xf numFmtId="0" fontId="3" fillId="23" borderId="62" xfId="0" applyFont="1" applyFill="1" applyBorder="1" applyProtection="1"/>
    <xf numFmtId="3" fontId="3" fillId="23" borderId="158" xfId="0" applyNumberFormat="1" applyFont="1" applyFill="1" applyBorder="1" applyAlignment="1" applyProtection="1">
      <alignment vertical="top" wrapText="1"/>
    </xf>
    <xf numFmtId="3" fontId="3" fillId="23" borderId="16" xfId="0" applyNumberFormat="1" applyFont="1" applyFill="1" applyBorder="1" applyAlignment="1" applyProtection="1">
      <alignment vertical="top" wrapText="1"/>
    </xf>
    <xf numFmtId="0" fontId="3" fillId="23" borderId="98" xfId="0" applyFont="1" applyFill="1" applyBorder="1" applyAlignment="1" applyProtection="1">
      <alignment vertical="top"/>
    </xf>
    <xf numFmtId="0" fontId="3" fillId="23" borderId="124" xfId="0" applyFont="1" applyFill="1" applyBorder="1" applyAlignment="1" applyProtection="1">
      <alignment vertical="top"/>
    </xf>
    <xf numFmtId="0" fontId="3" fillId="23" borderId="102" xfId="0" applyFont="1" applyFill="1" applyBorder="1" applyAlignment="1" applyProtection="1">
      <alignment vertical="top"/>
    </xf>
    <xf numFmtId="0" fontId="3" fillId="23" borderId="96" xfId="0" applyFont="1" applyFill="1" applyBorder="1" applyAlignment="1" applyProtection="1">
      <alignment vertical="top"/>
    </xf>
    <xf numFmtId="0" fontId="5" fillId="23" borderId="164" xfId="0" applyFont="1" applyFill="1" applyBorder="1" applyAlignment="1" applyProtection="1">
      <alignment vertical="top"/>
    </xf>
    <xf numFmtId="0" fontId="3" fillId="23" borderId="164" xfId="0" applyFont="1" applyFill="1" applyBorder="1" applyAlignment="1" applyProtection="1">
      <alignment vertical="top"/>
    </xf>
    <xf numFmtId="0" fontId="3" fillId="23" borderId="205" xfId="0" applyFont="1" applyFill="1" applyBorder="1" applyAlignment="1" applyProtection="1">
      <alignment vertical="top"/>
    </xf>
    <xf numFmtId="0" fontId="3" fillId="23" borderId="137" xfId="0" applyFont="1" applyFill="1" applyBorder="1" applyAlignment="1" applyProtection="1">
      <alignment vertical="top"/>
    </xf>
    <xf numFmtId="0" fontId="7" fillId="0" borderId="0" xfId="0" applyFont="1" applyFill="1" applyBorder="1" applyAlignment="1" applyProtection="1">
      <alignment vertical="top"/>
    </xf>
    <xf numFmtId="0" fontId="5" fillId="23" borderId="195" xfId="0" applyFont="1" applyFill="1" applyBorder="1" applyAlignment="1" applyProtection="1">
      <alignment vertical="center"/>
    </xf>
    <xf numFmtId="0" fontId="5" fillId="23" borderId="206" xfId="0" applyFont="1" applyFill="1" applyBorder="1" applyAlignment="1" applyProtection="1">
      <alignment vertical="center"/>
    </xf>
    <xf numFmtId="1" fontId="8" fillId="23" borderId="130" xfId="0" applyNumberFormat="1" applyFont="1" applyFill="1" applyBorder="1" applyAlignment="1" applyProtection="1">
      <alignment horizontal="left"/>
    </xf>
    <xf numFmtId="1" fontId="8" fillId="23" borderId="94" xfId="0" applyNumberFormat="1" applyFont="1" applyFill="1" applyBorder="1" applyAlignment="1" applyProtection="1">
      <alignment horizontal="left"/>
    </xf>
    <xf numFmtId="3" fontId="8" fillId="23" borderId="7" xfId="0" applyNumberFormat="1" applyFont="1" applyFill="1" applyBorder="1" applyProtection="1"/>
    <xf numFmtId="0" fontId="3" fillId="23" borderId="101" xfId="6" applyFont="1" applyFill="1" applyBorder="1" applyAlignment="1" applyProtection="1">
      <alignment horizontal="left" wrapText="1"/>
    </xf>
    <xf numFmtId="9" fontId="48" fillId="23" borderId="35" xfId="0" quotePrefix="1" applyNumberFormat="1" applyFont="1" applyFill="1" applyBorder="1" applyAlignment="1" applyProtection="1">
      <alignment horizontal="right"/>
    </xf>
    <xf numFmtId="9" fontId="48" fillId="23" borderId="5" xfId="0" quotePrefix="1" applyNumberFormat="1" applyFont="1" applyFill="1" applyBorder="1" applyAlignment="1" applyProtection="1">
      <alignment horizontal="right"/>
    </xf>
    <xf numFmtId="9" fontId="48" fillId="23" borderId="9" xfId="0" quotePrefix="1" applyNumberFormat="1" applyFont="1" applyFill="1" applyBorder="1" applyAlignment="1" applyProtection="1">
      <alignment horizontal="right"/>
    </xf>
    <xf numFmtId="9" fontId="48" fillId="23" borderId="25" xfId="0" quotePrefix="1" applyNumberFormat="1" applyFont="1" applyFill="1" applyBorder="1" applyAlignment="1" applyProtection="1">
      <alignment horizontal="right"/>
    </xf>
    <xf numFmtId="0" fontId="3" fillId="23" borderId="56" xfId="6" applyFont="1" applyFill="1" applyBorder="1" applyAlignment="1" applyProtection="1">
      <alignment horizontal="right"/>
    </xf>
    <xf numFmtId="0" fontId="0" fillId="0" borderId="0" xfId="0" applyFill="1" applyAlignment="1">
      <alignment vertical="top" wrapText="1"/>
    </xf>
    <xf numFmtId="3" fontId="2" fillId="0" borderId="0" xfId="0" applyNumberFormat="1" applyFont="1" applyFill="1" applyBorder="1" applyProtection="1"/>
    <xf numFmtId="0" fontId="21" fillId="0" borderId="0" xfId="6" applyFont="1" applyFill="1" applyBorder="1" applyAlignment="1" applyProtection="1">
      <alignment horizontal="left"/>
    </xf>
    <xf numFmtId="0" fontId="9" fillId="0" borderId="0" xfId="6" applyFont="1" applyFill="1" applyProtection="1"/>
    <xf numFmtId="0" fontId="21" fillId="2" borderId="0" xfId="6" applyNumberFormat="1" applyFont="1" applyFill="1" applyAlignment="1" applyProtection="1">
      <alignment horizontal="left"/>
    </xf>
    <xf numFmtId="0" fontId="9" fillId="0" borderId="0" xfId="6" applyFont="1" applyFill="1" applyBorder="1" applyAlignment="1" applyProtection="1">
      <alignment horizontal="left"/>
    </xf>
    <xf numFmtId="0" fontId="9" fillId="2" borderId="0" xfId="6" applyNumberFormat="1" applyFont="1" applyFill="1" applyAlignment="1" applyProtection="1">
      <alignment horizontal="left"/>
    </xf>
    <xf numFmtId="0" fontId="21" fillId="0" borderId="0" xfId="6" applyFont="1" applyFill="1" applyProtection="1"/>
    <xf numFmtId="3" fontId="3" fillId="23" borderId="159" xfId="6" applyNumberFormat="1" applyFont="1" applyFill="1" applyBorder="1" applyAlignment="1" applyProtection="1">
      <alignment vertical="top"/>
    </xf>
    <xf numFmtId="0" fontId="5" fillId="23" borderId="157" xfId="6" applyFont="1" applyFill="1" applyBorder="1" applyProtection="1"/>
    <xf numFmtId="0" fontId="3" fillId="23" borderId="0" xfId="6" applyFont="1" applyFill="1" applyBorder="1" applyAlignment="1" applyProtection="1">
      <alignment wrapText="1"/>
    </xf>
    <xf numFmtId="3" fontId="13" fillId="2" borderId="185" xfId="0" applyNumberFormat="1" applyFont="1" applyFill="1" applyBorder="1" applyAlignment="1" applyProtection="1">
      <alignment horizontal="right"/>
      <protection locked="0"/>
    </xf>
    <xf numFmtId="0" fontId="2" fillId="0" borderId="0" xfId="0" applyFont="1" applyFill="1" applyBorder="1" applyAlignment="1" applyProtection="1">
      <alignment vertical="top" wrapText="1"/>
      <protection locked="0"/>
    </xf>
    <xf numFmtId="0" fontId="3" fillId="23" borderId="88" xfId="0" applyFont="1" applyFill="1" applyBorder="1" applyAlignment="1" applyProtection="1">
      <alignment vertical="top" wrapText="1"/>
    </xf>
    <xf numFmtId="0" fontId="3" fillId="23" borderId="118" xfId="0" applyFont="1" applyFill="1" applyBorder="1" applyAlignment="1" applyProtection="1">
      <alignment vertical="top" wrapText="1"/>
    </xf>
    <xf numFmtId="0" fontId="5" fillId="23" borderId="124" xfId="0" applyFont="1" applyFill="1" applyBorder="1" applyAlignment="1" applyProtection="1">
      <alignment wrapText="1"/>
    </xf>
    <xf numFmtId="0" fontId="7" fillId="23" borderId="0" xfId="0" applyFont="1" applyFill="1" applyBorder="1" applyAlignment="1" applyProtection="1">
      <alignment wrapText="1"/>
    </xf>
    <xf numFmtId="0" fontId="5" fillId="0" borderId="0" xfId="0" applyFont="1" applyFill="1" applyAlignment="1" applyProtection="1">
      <alignment horizontal="right"/>
    </xf>
    <xf numFmtId="0" fontId="136" fillId="0" borderId="0" xfId="0" applyNumberFormat="1" applyFont="1" applyFill="1" applyProtection="1"/>
    <xf numFmtId="0" fontId="136" fillId="0" borderId="39" xfId="0" applyNumberFormat="1" applyFont="1" applyFill="1" applyBorder="1" applyAlignment="1" applyProtection="1">
      <alignment horizontal="left"/>
    </xf>
    <xf numFmtId="0" fontId="139" fillId="0" borderId="0" xfId="0" applyFont="1" applyFill="1" applyAlignment="1" applyProtection="1">
      <alignment horizontal="left"/>
    </xf>
    <xf numFmtId="0" fontId="3" fillId="23" borderId="0" xfId="0" applyFont="1" applyFill="1" applyBorder="1" applyAlignment="1" applyProtection="1">
      <alignment vertical="top" wrapText="1"/>
    </xf>
    <xf numFmtId="0" fontId="3" fillId="23" borderId="0" xfId="0" applyFont="1" applyFill="1" applyBorder="1" applyAlignment="1" applyProtection="1">
      <alignment vertical="top"/>
    </xf>
    <xf numFmtId="3" fontId="3" fillId="23" borderId="44" xfId="6" applyNumberFormat="1" applyFont="1" applyFill="1" applyBorder="1" applyAlignment="1" applyProtection="1">
      <alignment vertical="center"/>
    </xf>
    <xf numFmtId="3" fontId="5" fillId="23" borderId="159" xfId="6" applyNumberFormat="1" applyFont="1" applyFill="1" applyBorder="1" applyAlignment="1" applyProtection="1">
      <alignment vertical="top"/>
    </xf>
    <xf numFmtId="3" fontId="129" fillId="23" borderId="15" xfId="0" applyNumberFormat="1" applyFont="1" applyFill="1" applyBorder="1" applyAlignment="1" applyProtection="1">
      <alignment vertical="center"/>
    </xf>
    <xf numFmtId="0" fontId="5" fillId="23" borderId="124" xfId="0" applyFont="1" applyFill="1" applyBorder="1" applyProtection="1"/>
    <xf numFmtId="49" fontId="5" fillId="23" borderId="98" xfId="0" applyNumberFormat="1" applyFont="1" applyFill="1" applyBorder="1" applyAlignment="1" applyProtection="1">
      <alignment horizontal="left"/>
    </xf>
    <xf numFmtId="49" fontId="5" fillId="23" borderId="127" xfId="0" applyNumberFormat="1" applyFont="1" applyFill="1" applyBorder="1" applyAlignment="1" applyProtection="1">
      <alignment horizontal="left" vertical="top"/>
    </xf>
    <xf numFmtId="49" fontId="2" fillId="10" borderId="158" xfId="0" applyNumberFormat="1" applyFont="1" applyFill="1" applyBorder="1" applyAlignment="1" applyProtection="1"/>
    <xf numFmtId="3" fontId="49" fillId="20" borderId="39" xfId="0" applyNumberFormat="1" applyFont="1" applyFill="1" applyBorder="1" applyAlignment="1" applyProtection="1">
      <alignment horizontal="right"/>
    </xf>
    <xf numFmtId="0" fontId="0" fillId="0" borderId="0" xfId="0" applyFill="1" applyAlignment="1" applyProtection="1">
      <alignment vertical="top"/>
    </xf>
    <xf numFmtId="0" fontId="136" fillId="0" borderId="0" xfId="0" applyFont="1" applyFill="1" applyBorder="1" applyAlignment="1" applyProtection="1">
      <alignment horizontal="right"/>
    </xf>
    <xf numFmtId="0" fontId="109" fillId="0" borderId="0" xfId="0" applyFont="1" applyFill="1" applyProtection="1"/>
    <xf numFmtId="0" fontId="5" fillId="0" borderId="0" xfId="0" applyFont="1" applyFill="1" applyBorder="1" applyAlignment="1" applyProtection="1">
      <alignment horizontal="center"/>
    </xf>
    <xf numFmtId="0" fontId="136" fillId="0" borderId="0" xfId="0" applyFont="1" applyFill="1" applyBorder="1" applyAlignment="1" applyProtection="1">
      <alignment horizontal="left"/>
    </xf>
    <xf numFmtId="9" fontId="136" fillId="0" borderId="0" xfId="0" applyNumberFormat="1" applyFont="1" applyFill="1" applyBorder="1" applyAlignment="1" applyProtection="1">
      <alignment horizontal="right"/>
    </xf>
    <xf numFmtId="0" fontId="3" fillId="0" borderId="0" xfId="0" applyFont="1" applyFill="1" applyBorder="1" applyAlignment="1" applyProtection="1">
      <alignment horizontal="center"/>
    </xf>
    <xf numFmtId="1" fontId="5" fillId="0" borderId="0" xfId="0" applyNumberFormat="1" applyFont="1" applyFill="1" applyBorder="1" applyAlignment="1" applyProtection="1">
      <alignment horizontal="center"/>
    </xf>
    <xf numFmtId="0" fontId="5" fillId="0" borderId="0" xfId="0" applyFont="1" applyFill="1" applyBorder="1" applyAlignment="1" applyProtection="1"/>
    <xf numFmtId="0" fontId="5" fillId="0" borderId="0" xfId="0" applyFont="1" applyFill="1" applyBorder="1" applyAlignment="1" applyProtection="1">
      <alignment horizontal="right"/>
    </xf>
    <xf numFmtId="0" fontId="113" fillId="0" borderId="0" xfId="0" applyFont="1" applyFill="1" applyBorder="1" applyProtection="1"/>
    <xf numFmtId="0" fontId="7" fillId="0" borderId="0" xfId="0" applyFont="1" applyFill="1" applyBorder="1" applyAlignment="1" applyProtection="1"/>
    <xf numFmtId="3" fontId="5" fillId="0" borderId="0" xfId="0" applyNumberFormat="1" applyFont="1" applyFill="1" applyBorder="1" applyProtection="1"/>
    <xf numFmtId="3" fontId="5" fillId="0" borderId="0" xfId="0" applyNumberFormat="1" applyFont="1" applyFill="1" applyBorder="1" applyAlignment="1" applyProtection="1">
      <alignment horizontal="center" vertical="center" wrapText="1"/>
    </xf>
    <xf numFmtId="49" fontId="3" fillId="23" borderId="9" xfId="0" applyNumberFormat="1" applyFont="1" applyFill="1" applyBorder="1" applyAlignment="1" applyProtection="1">
      <alignment horizontal="left"/>
    </xf>
    <xf numFmtId="1" fontId="3" fillId="0" borderId="0" xfId="0" applyNumberFormat="1" applyFont="1" applyFill="1" applyBorder="1" applyAlignment="1" applyProtection="1">
      <alignment horizontal="center"/>
    </xf>
    <xf numFmtId="1" fontId="3" fillId="0" borderId="0" xfId="0" applyNumberFormat="1" applyFont="1" applyFill="1" applyBorder="1" applyAlignment="1" applyProtection="1">
      <alignment horizontal="left"/>
    </xf>
    <xf numFmtId="49" fontId="3" fillId="0" borderId="0" xfId="0" applyNumberFormat="1" applyFont="1" applyFill="1" applyBorder="1" applyAlignment="1" applyProtection="1">
      <alignment horizontal="center"/>
    </xf>
    <xf numFmtId="49" fontId="8" fillId="0" borderId="0" xfId="0" applyNumberFormat="1" applyFont="1" applyFill="1" applyBorder="1" applyAlignment="1" applyProtection="1">
      <alignment horizontal="left"/>
    </xf>
    <xf numFmtId="3" fontId="3" fillId="23" borderId="75" xfId="0" applyNumberFormat="1" applyFont="1" applyFill="1" applyBorder="1" applyAlignment="1" applyProtection="1"/>
    <xf numFmtId="3" fontId="8" fillId="23" borderId="76" xfId="0" applyNumberFormat="1" applyFont="1" applyFill="1" applyBorder="1" applyAlignment="1" applyProtection="1"/>
    <xf numFmtId="3" fontId="8" fillId="23" borderId="92" xfId="0" applyNumberFormat="1" applyFont="1" applyFill="1" applyBorder="1" applyAlignment="1" applyProtection="1"/>
    <xf numFmtId="3" fontId="2" fillId="0" borderId="207" xfId="0" applyNumberFormat="1" applyFont="1" applyFill="1" applyBorder="1" applyAlignment="1" applyProtection="1">
      <alignment horizontal="right"/>
      <protection locked="0"/>
    </xf>
    <xf numFmtId="49" fontId="3" fillId="0" borderId="0" xfId="10" applyNumberFormat="1" applyFont="1" applyFill="1" applyAlignment="1" applyProtection="1">
      <alignment horizontal="left"/>
    </xf>
    <xf numFmtId="1" fontId="3" fillId="23" borderId="25" xfId="0" applyNumberFormat="1" applyFont="1" applyFill="1" applyBorder="1" applyAlignment="1" applyProtection="1">
      <alignment horizontal="left"/>
    </xf>
    <xf numFmtId="0" fontId="3" fillId="23" borderId="70" xfId="0" applyFont="1" applyFill="1" applyBorder="1" applyProtection="1"/>
    <xf numFmtId="0" fontId="5" fillId="23" borderId="13" xfId="0" applyFont="1" applyFill="1" applyBorder="1" applyAlignment="1" applyProtection="1">
      <alignment vertical="top" wrapText="1"/>
    </xf>
    <xf numFmtId="0" fontId="16" fillId="23" borderId="25" xfId="0" applyFont="1" applyFill="1" applyBorder="1" applyProtection="1"/>
    <xf numFmtId="0" fontId="5" fillId="23" borderId="84" xfId="0" applyFont="1" applyFill="1" applyBorder="1" applyAlignment="1" applyProtection="1">
      <alignment wrapText="1"/>
    </xf>
    <xf numFmtId="1" fontId="3" fillId="23" borderId="13" xfId="0" applyNumberFormat="1" applyFont="1" applyFill="1" applyBorder="1" applyAlignment="1" applyProtection="1">
      <alignment horizontal="center"/>
    </xf>
    <xf numFmtId="0" fontId="3" fillId="23" borderId="13" xfId="0" applyFont="1" applyFill="1" applyBorder="1" applyProtection="1"/>
    <xf numFmtId="1" fontId="8" fillId="0" borderId="0" xfId="0" applyNumberFormat="1" applyFont="1" applyFill="1" applyBorder="1" applyAlignment="1" applyProtection="1">
      <alignment horizontal="center"/>
    </xf>
    <xf numFmtId="1" fontId="3" fillId="0" borderId="0" xfId="0" applyNumberFormat="1" applyFont="1" applyFill="1" applyBorder="1" applyAlignment="1" applyProtection="1">
      <alignment horizontal="center" vertical="center" wrapText="1"/>
    </xf>
    <xf numFmtId="0" fontId="3" fillId="0" borderId="58" xfId="0" applyFont="1" applyFill="1" applyBorder="1" applyAlignment="1" applyProtection="1">
      <alignment horizontal="center"/>
    </xf>
    <xf numFmtId="0" fontId="3" fillId="0" borderId="58" xfId="0" applyFont="1" applyFill="1" applyBorder="1" applyAlignment="1" applyProtection="1">
      <alignment horizontal="left"/>
    </xf>
    <xf numFmtId="0" fontId="16" fillId="0" borderId="58" xfId="0" applyFont="1" applyFill="1" applyBorder="1" applyProtection="1"/>
    <xf numFmtId="0" fontId="141" fillId="2" borderId="0" xfId="0" applyFont="1" applyFill="1" applyBorder="1" applyProtection="1"/>
    <xf numFmtId="0" fontId="141" fillId="32" borderId="0" xfId="0" applyFont="1" applyFill="1" applyProtection="1"/>
    <xf numFmtId="0" fontId="5" fillId="23" borderId="195" xfId="6" applyFont="1" applyFill="1" applyBorder="1" applyProtection="1"/>
    <xf numFmtId="3" fontId="5" fillId="23" borderId="157" xfId="6" applyNumberFormat="1" applyFont="1" applyFill="1" applyBorder="1" applyProtection="1"/>
    <xf numFmtId="0" fontId="5" fillId="23" borderId="117" xfId="6" applyFont="1" applyFill="1" applyBorder="1" applyProtection="1"/>
    <xf numFmtId="0" fontId="12" fillId="23" borderId="159" xfId="6" applyFont="1" applyFill="1" applyBorder="1" applyProtection="1"/>
    <xf numFmtId="0" fontId="3" fillId="23" borderId="16" xfId="6" applyFont="1" applyFill="1" applyBorder="1" applyAlignment="1" applyProtection="1">
      <alignment vertical="top" wrapText="1"/>
    </xf>
    <xf numFmtId="3" fontId="5" fillId="23" borderId="159" xfId="0" applyNumberFormat="1" applyFont="1" applyFill="1" applyBorder="1" applyAlignment="1" applyProtection="1">
      <alignment vertical="top"/>
    </xf>
    <xf numFmtId="3" fontId="3" fillId="23" borderId="94" xfId="6" applyNumberFormat="1" applyFont="1" applyFill="1" applyBorder="1" applyAlignment="1" applyProtection="1"/>
    <xf numFmtId="166" fontId="9" fillId="0" borderId="0" xfId="0" applyNumberFormat="1" applyFont="1" applyFill="1" applyBorder="1" applyProtection="1"/>
    <xf numFmtId="0" fontId="118" fillId="0" borderId="0" xfId="0" applyFont="1" applyFill="1" applyBorder="1" applyProtection="1"/>
    <xf numFmtId="0" fontId="118" fillId="0" borderId="0" xfId="0" applyFont="1" applyFill="1" applyBorder="1" applyAlignment="1" applyProtection="1">
      <alignment horizontal="center"/>
    </xf>
    <xf numFmtId="0" fontId="3" fillId="23" borderId="155" xfId="0" applyFont="1" applyFill="1" applyBorder="1" applyAlignment="1" applyProtection="1">
      <alignment horizontal="left" vertical="top" wrapText="1"/>
    </xf>
    <xf numFmtId="0" fontId="3" fillId="23" borderId="91" xfId="0" applyFont="1" applyFill="1" applyBorder="1" applyAlignment="1" applyProtection="1">
      <alignment horizontal="left" vertical="top"/>
    </xf>
    <xf numFmtId="3" fontId="3" fillId="23" borderId="26" xfId="0" applyNumberFormat="1" applyFont="1" applyFill="1" applyBorder="1" applyAlignment="1" applyProtection="1">
      <alignment vertical="top" wrapText="1"/>
    </xf>
    <xf numFmtId="0" fontId="17" fillId="23" borderId="159" xfId="0" applyFont="1" applyFill="1" applyBorder="1" applyAlignment="1" applyProtection="1">
      <alignment vertical="top" wrapText="1"/>
    </xf>
    <xf numFmtId="0" fontId="3" fillId="23" borderId="174" xfId="0" applyFont="1" applyFill="1" applyBorder="1" applyAlignment="1" applyProtection="1">
      <alignment horizontal="left" wrapText="1"/>
    </xf>
    <xf numFmtId="0" fontId="17" fillId="23" borderId="158" xfId="0" applyFont="1" applyFill="1" applyBorder="1" applyAlignment="1" applyProtection="1">
      <alignment vertical="top" wrapText="1"/>
    </xf>
    <xf numFmtId="0" fontId="20" fillId="33" borderId="5" xfId="0" applyFont="1" applyFill="1" applyBorder="1" applyAlignment="1" applyProtection="1">
      <alignment horizontal="left"/>
    </xf>
    <xf numFmtId="0" fontId="32" fillId="33" borderId="5" xfId="0" applyFont="1" applyFill="1" applyBorder="1" applyProtection="1"/>
    <xf numFmtId="0" fontId="0" fillId="33" borderId="5" xfId="0" applyFill="1" applyBorder="1" applyProtection="1"/>
    <xf numFmtId="1" fontId="58" fillId="33" borderId="22" xfId="6" applyNumberFormat="1" applyFont="1" applyFill="1" applyBorder="1" applyAlignment="1" applyProtection="1">
      <alignment horizontal="center"/>
    </xf>
    <xf numFmtId="0" fontId="24" fillId="33" borderId="5" xfId="0" applyFont="1" applyFill="1" applyBorder="1" applyProtection="1"/>
    <xf numFmtId="0" fontId="91" fillId="33" borderId="5" xfId="0" applyFont="1" applyFill="1" applyBorder="1" applyProtection="1"/>
    <xf numFmtId="0" fontId="36" fillId="2" borderId="0" xfId="0" applyNumberFormat="1" applyFont="1" applyFill="1" applyBorder="1" applyAlignment="1" applyProtection="1">
      <alignment horizontal="center"/>
    </xf>
    <xf numFmtId="0" fontId="3" fillId="23" borderId="16" xfId="6" applyFont="1" applyFill="1" applyBorder="1" applyAlignment="1" applyProtection="1">
      <alignment horizontal="left" vertical="center" wrapText="1"/>
    </xf>
    <xf numFmtId="0" fontId="5" fillId="23" borderId="196" xfId="6" applyFont="1" applyFill="1" applyBorder="1" applyProtection="1"/>
    <xf numFmtId="0" fontId="3" fillId="0" borderId="0" xfId="10" applyFont="1" applyFill="1" applyProtection="1"/>
    <xf numFmtId="3" fontId="98" fillId="0" borderId="0" xfId="10" applyNumberFormat="1" applyFont="1" applyFill="1" applyBorder="1" applyAlignment="1" applyProtection="1"/>
    <xf numFmtId="0" fontId="0" fillId="0" borderId="1" xfId="0" applyFill="1" applyBorder="1"/>
    <xf numFmtId="3" fontId="124" fillId="0" borderId="27" xfId="10" applyNumberFormat="1" applyFont="1" applyFill="1" applyBorder="1" applyAlignment="1" applyProtection="1">
      <alignment horizontal="center" vertical="top"/>
    </xf>
    <xf numFmtId="0" fontId="128" fillId="0" borderId="27" xfId="0" applyFont="1" applyFill="1" applyBorder="1" applyAlignment="1">
      <alignment vertical="top"/>
    </xf>
    <xf numFmtId="0" fontId="128" fillId="0" borderId="111" xfId="0" applyFont="1" applyFill="1" applyBorder="1" applyAlignment="1">
      <alignment vertical="top"/>
    </xf>
    <xf numFmtId="0" fontId="137" fillId="2" borderId="0" xfId="0" applyFont="1" applyFill="1" applyProtection="1"/>
    <xf numFmtId="3" fontId="3" fillId="23" borderId="161" xfId="0" applyNumberFormat="1" applyFont="1" applyFill="1" applyBorder="1" applyAlignment="1" applyProtection="1">
      <alignment horizontal="left" vertical="top"/>
    </xf>
    <xf numFmtId="3" fontId="2" fillId="2" borderId="3" xfId="0" applyNumberFormat="1" applyFont="1" applyFill="1" applyBorder="1" applyAlignment="1" applyProtection="1">
      <alignment horizontal="right"/>
      <protection locked="0"/>
    </xf>
    <xf numFmtId="3" fontId="2" fillId="3" borderId="3" xfId="0" applyNumberFormat="1" applyFont="1" applyFill="1" applyBorder="1" applyAlignment="1" applyProtection="1">
      <alignment horizontal="right"/>
    </xf>
    <xf numFmtId="3" fontId="2" fillId="2" borderId="28" xfId="0" applyNumberFormat="1" applyFont="1" applyFill="1" applyBorder="1" applyAlignment="1" applyProtection="1">
      <alignment horizontal="right"/>
      <protection locked="0"/>
    </xf>
    <xf numFmtId="3" fontId="2" fillId="3" borderId="103" xfId="0" applyNumberFormat="1" applyFont="1" applyFill="1" applyBorder="1" applyAlignment="1" applyProtection="1">
      <alignment horizontal="right"/>
    </xf>
    <xf numFmtId="3" fontId="3" fillId="23" borderId="78" xfId="0" applyNumberFormat="1" applyFont="1" applyFill="1" applyBorder="1" applyProtection="1"/>
    <xf numFmtId="3" fontId="5" fillId="0" borderId="58" xfId="0" applyNumberFormat="1" applyFont="1" applyFill="1" applyBorder="1" applyProtection="1"/>
    <xf numFmtId="3" fontId="5" fillId="0" borderId="57" xfId="0" applyNumberFormat="1" applyFont="1" applyFill="1" applyBorder="1" applyProtection="1"/>
    <xf numFmtId="0" fontId="24" fillId="2" borderId="58" xfId="0" applyFont="1" applyFill="1" applyBorder="1" applyProtection="1"/>
    <xf numFmtId="3" fontId="48" fillId="24" borderId="131" xfId="0" applyNumberFormat="1" applyFont="1" applyFill="1" applyBorder="1" applyProtection="1"/>
    <xf numFmtId="0" fontId="3" fillId="23" borderId="112" xfId="0" applyFont="1" applyFill="1" applyBorder="1" applyProtection="1"/>
    <xf numFmtId="0" fontId="3" fillId="23" borderId="27" xfId="0" applyFont="1" applyFill="1" applyBorder="1" applyProtection="1"/>
    <xf numFmtId="3" fontId="2" fillId="24" borderId="0" xfId="0" applyNumberFormat="1" applyFont="1" applyFill="1" applyBorder="1" applyAlignment="1" applyProtection="1">
      <alignment horizontal="right"/>
    </xf>
    <xf numFmtId="0" fontId="2" fillId="23" borderId="57" xfId="0" applyFont="1" applyFill="1" applyBorder="1" applyProtection="1"/>
    <xf numFmtId="0" fontId="3" fillId="23" borderId="57" xfId="0" applyFont="1" applyFill="1" applyBorder="1" applyAlignment="1" applyProtection="1">
      <alignment horizontal="center"/>
    </xf>
    <xf numFmtId="0" fontId="2" fillId="24" borderId="0" xfId="0" applyFont="1" applyFill="1" applyBorder="1" applyProtection="1"/>
    <xf numFmtId="0" fontId="2" fillId="24" borderId="57" xfId="0" applyFont="1" applyFill="1" applyBorder="1" applyProtection="1"/>
    <xf numFmtId="14" fontId="3" fillId="23" borderId="124" xfId="0" applyNumberFormat="1" applyFont="1" applyFill="1" applyBorder="1" applyAlignment="1" applyProtection="1">
      <alignment horizontal="center"/>
    </xf>
    <xf numFmtId="14" fontId="3" fillId="23" borderId="121" xfId="0" applyNumberFormat="1" applyFont="1" applyFill="1" applyBorder="1" applyAlignment="1" applyProtection="1">
      <alignment horizontal="center"/>
    </xf>
    <xf numFmtId="0" fontId="3" fillId="23" borderId="101" xfId="0" applyFont="1" applyFill="1" applyBorder="1" applyProtection="1"/>
    <xf numFmtId="14" fontId="3" fillId="23" borderId="95" xfId="0" applyNumberFormat="1" applyFont="1" applyFill="1" applyBorder="1" applyAlignment="1" applyProtection="1">
      <alignment horizontal="center"/>
    </xf>
    <xf numFmtId="3" fontId="2" fillId="24" borderId="39" xfId="0" applyNumberFormat="1" applyFont="1" applyFill="1" applyBorder="1" applyAlignment="1" applyProtection="1">
      <alignment horizontal="right"/>
    </xf>
    <xf numFmtId="0" fontId="2" fillId="24" borderId="39" xfId="0" applyFont="1" applyFill="1" applyBorder="1" applyProtection="1"/>
    <xf numFmtId="0" fontId="2" fillId="24" borderId="59" xfId="0" applyFont="1" applyFill="1" applyBorder="1" applyProtection="1"/>
    <xf numFmtId="0" fontId="2" fillId="23" borderId="59" xfId="0" applyFont="1" applyFill="1" applyBorder="1" applyProtection="1"/>
    <xf numFmtId="14" fontId="3" fillId="23" borderId="0" xfId="0" applyNumberFormat="1" applyFont="1" applyFill="1" applyBorder="1" applyAlignment="1" applyProtection="1">
      <alignment horizontal="center"/>
    </xf>
    <xf numFmtId="0" fontId="3" fillId="23" borderId="39" xfId="0" applyFont="1" applyFill="1" applyBorder="1" applyProtection="1"/>
    <xf numFmtId="0" fontId="3" fillId="23" borderId="67" xfId="0" applyFont="1" applyFill="1" applyBorder="1" applyProtection="1"/>
    <xf numFmtId="0" fontId="3" fillId="23" borderId="170" xfId="0" applyFont="1" applyFill="1" applyBorder="1" applyProtection="1"/>
    <xf numFmtId="0" fontId="2" fillId="23" borderId="27" xfId="0" applyFont="1" applyFill="1" applyBorder="1" applyProtection="1"/>
    <xf numFmtId="14" fontId="3" fillId="23" borderId="57" xfId="0" applyNumberFormat="1" applyFont="1" applyFill="1" applyBorder="1" applyAlignment="1" applyProtection="1">
      <alignment horizontal="center"/>
    </xf>
    <xf numFmtId="14" fontId="3" fillId="23" borderId="39" xfId="0" applyNumberFormat="1" applyFont="1" applyFill="1" applyBorder="1" applyAlignment="1" applyProtection="1">
      <alignment horizontal="center"/>
    </xf>
    <xf numFmtId="49" fontId="2" fillId="10" borderId="37" xfId="0" applyNumberFormat="1" applyFont="1" applyFill="1" applyBorder="1" applyAlignment="1" applyProtection="1"/>
    <xf numFmtId="0" fontId="3" fillId="23" borderId="113" xfId="0" applyFont="1" applyFill="1" applyBorder="1" applyProtection="1"/>
    <xf numFmtId="0" fontId="3" fillId="23" borderId="68" xfId="0" applyFont="1" applyFill="1" applyBorder="1" applyAlignment="1" applyProtection="1">
      <alignment wrapText="1"/>
    </xf>
    <xf numFmtId="0" fontId="3" fillId="23" borderId="159" xfId="0" applyFont="1" applyFill="1" applyBorder="1" applyAlignment="1" applyProtection="1">
      <alignment vertical="top" wrapText="1"/>
    </xf>
    <xf numFmtId="0" fontId="3" fillId="23" borderId="38" xfId="0" applyFont="1" applyFill="1" applyBorder="1" applyAlignment="1" applyProtection="1">
      <alignment horizontal="center"/>
    </xf>
    <xf numFmtId="49" fontId="3" fillId="23" borderId="42" xfId="0" applyNumberFormat="1" applyFont="1" applyFill="1" applyBorder="1" applyAlignment="1" applyProtection="1">
      <alignment horizontal="center" wrapText="1"/>
    </xf>
    <xf numFmtId="49" fontId="3" fillId="23" borderId="132" xfId="0" applyNumberFormat="1" applyFont="1" applyFill="1" applyBorder="1" applyAlignment="1" applyProtection="1">
      <alignment horizontal="center"/>
    </xf>
    <xf numFmtId="49" fontId="3" fillId="23" borderId="133" xfId="0" applyNumberFormat="1" applyFont="1" applyFill="1" applyBorder="1" applyAlignment="1" applyProtection="1">
      <alignment horizontal="center"/>
    </xf>
    <xf numFmtId="0" fontId="3" fillId="23" borderId="5" xfId="0" applyFont="1" applyFill="1" applyBorder="1" applyAlignment="1" applyProtection="1">
      <alignment horizontal="center" wrapText="1"/>
    </xf>
    <xf numFmtId="49" fontId="3" fillId="23" borderId="34" xfId="0" applyNumberFormat="1" applyFont="1" applyFill="1" applyBorder="1" applyAlignment="1" applyProtection="1">
      <alignment horizontal="center"/>
    </xf>
    <xf numFmtId="49" fontId="3" fillId="23" borderId="35" xfId="0" applyNumberFormat="1" applyFont="1" applyFill="1" applyBorder="1" applyAlignment="1" applyProtection="1">
      <alignment horizontal="center"/>
    </xf>
    <xf numFmtId="49" fontId="3" fillId="23" borderId="106" xfId="0" applyNumberFormat="1" applyFont="1" applyFill="1" applyBorder="1" applyAlignment="1" applyProtection="1">
      <alignment horizontal="center"/>
    </xf>
    <xf numFmtId="1" fontId="3" fillId="23" borderId="2" xfId="0" applyNumberFormat="1" applyFont="1" applyFill="1" applyBorder="1" applyAlignment="1" applyProtection="1">
      <alignment horizontal="center" wrapText="1"/>
    </xf>
    <xf numFmtId="0" fontId="3" fillId="23" borderId="76" xfId="0" applyFont="1" applyFill="1" applyBorder="1" applyAlignment="1" applyProtection="1">
      <alignment horizontal="center" wrapText="1"/>
    </xf>
    <xf numFmtId="0" fontId="8" fillId="0" borderId="0" xfId="0" applyFont="1" applyFill="1" applyProtection="1"/>
    <xf numFmtId="1" fontId="3" fillId="23" borderId="42" xfId="0" applyNumberFormat="1" applyFont="1" applyFill="1" applyBorder="1" applyAlignment="1" applyProtection="1">
      <alignment horizontal="center" vertical="top" wrapText="1"/>
    </xf>
    <xf numFmtId="49" fontId="3" fillId="23" borderId="14" xfId="0" applyNumberFormat="1" applyFont="1" applyFill="1" applyBorder="1" applyAlignment="1" applyProtection="1">
      <alignment horizontal="center"/>
    </xf>
    <xf numFmtId="49" fontId="3" fillId="23" borderId="9" xfId="0" applyNumberFormat="1" applyFont="1" applyFill="1" applyBorder="1" applyAlignment="1" applyProtection="1">
      <alignment horizontal="center"/>
    </xf>
    <xf numFmtId="0" fontId="3" fillId="23" borderId="91" xfId="0" applyFont="1" applyFill="1" applyBorder="1" applyAlignment="1" applyProtection="1">
      <alignment horizontal="center"/>
    </xf>
    <xf numFmtId="1" fontId="3" fillId="23" borderId="25" xfId="0" applyNumberFormat="1" applyFont="1" applyFill="1" applyBorder="1" applyAlignment="1" applyProtection="1">
      <alignment horizontal="center"/>
    </xf>
    <xf numFmtId="3" fontId="3" fillId="23" borderId="25" xfId="0" applyNumberFormat="1" applyFont="1" applyFill="1" applyBorder="1" applyAlignment="1" applyProtection="1">
      <alignment horizontal="left" vertical="top" wrapText="1"/>
    </xf>
    <xf numFmtId="3" fontId="3" fillId="23" borderId="76" xfId="0" applyNumberFormat="1" applyFont="1" applyFill="1" applyBorder="1" applyAlignment="1" applyProtection="1"/>
    <xf numFmtId="3" fontId="3" fillId="23" borderId="92" xfId="0" applyNumberFormat="1" applyFont="1" applyFill="1" applyBorder="1" applyAlignment="1" applyProtection="1"/>
    <xf numFmtId="0" fontId="3" fillId="34" borderId="101" xfId="0" applyFont="1" applyFill="1" applyBorder="1" applyAlignment="1" applyProtection="1">
      <alignment horizontal="left" vertical="top" wrapText="1"/>
    </xf>
    <xf numFmtId="0" fontId="3" fillId="34" borderId="117" xfId="0" applyFont="1" applyFill="1" applyBorder="1" applyAlignment="1" applyProtection="1">
      <alignment horizontal="left" vertical="top"/>
    </xf>
    <xf numFmtId="0" fontId="0" fillId="34" borderId="44" xfId="0" applyFill="1" applyBorder="1" applyProtection="1"/>
    <xf numFmtId="0" fontId="3" fillId="34" borderId="16" xfId="0" applyFont="1" applyFill="1" applyBorder="1" applyAlignment="1" applyProtection="1">
      <alignment horizontal="left" vertical="top" wrapText="1"/>
    </xf>
    <xf numFmtId="3" fontId="3" fillId="34" borderId="168" xfId="0" applyNumberFormat="1" applyFont="1" applyFill="1" applyBorder="1" applyProtection="1"/>
    <xf numFmtId="3" fontId="3" fillId="34" borderId="101" xfId="0" applyNumberFormat="1" applyFont="1" applyFill="1" applyBorder="1" applyAlignment="1" applyProtection="1">
      <alignment horizontal="left" vertical="top" wrapText="1"/>
    </xf>
    <xf numFmtId="0" fontId="3" fillId="34" borderId="120" xfId="0" applyFont="1" applyFill="1" applyBorder="1" applyAlignment="1" applyProtection="1">
      <alignment horizontal="left" vertical="top" wrapText="1"/>
    </xf>
    <xf numFmtId="3" fontId="3" fillId="34" borderId="118" xfId="0" applyNumberFormat="1" applyFont="1" applyFill="1" applyBorder="1" applyAlignment="1" applyProtection="1">
      <alignment horizontal="left" wrapText="1"/>
    </xf>
    <xf numFmtId="49" fontId="3" fillId="34" borderId="118" xfId="0" applyNumberFormat="1" applyFont="1" applyFill="1" applyBorder="1" applyAlignment="1" applyProtection="1">
      <alignment vertical="top"/>
    </xf>
    <xf numFmtId="3" fontId="3" fillId="34" borderId="101" xfId="0" applyNumberFormat="1" applyFont="1" applyFill="1" applyBorder="1" applyAlignment="1" applyProtection="1">
      <alignment vertical="top"/>
    </xf>
    <xf numFmtId="3" fontId="3" fillId="34" borderId="88" xfId="0" applyNumberFormat="1" applyFont="1" applyFill="1" applyBorder="1" applyAlignment="1" applyProtection="1">
      <alignment vertical="top" wrapText="1"/>
    </xf>
    <xf numFmtId="3" fontId="3" fillId="34" borderId="16" xfId="0" applyNumberFormat="1" applyFont="1" applyFill="1" applyBorder="1" applyAlignment="1" applyProtection="1">
      <alignment horizontal="left" vertical="top" wrapText="1"/>
    </xf>
    <xf numFmtId="0" fontId="3" fillId="34" borderId="154" xfId="0" applyFont="1" applyFill="1" applyBorder="1" applyAlignment="1" applyProtection="1">
      <alignment horizontal="left" vertical="top" wrapText="1"/>
    </xf>
    <xf numFmtId="3" fontId="3" fillId="34" borderId="15" xfId="0" applyNumberFormat="1" applyFont="1" applyFill="1" applyBorder="1" applyAlignment="1" applyProtection="1">
      <alignment horizontal="left" vertical="top" wrapText="1"/>
    </xf>
    <xf numFmtId="0" fontId="11" fillId="34" borderId="0" xfId="0" applyFont="1" applyFill="1" applyBorder="1" applyProtection="1"/>
    <xf numFmtId="3" fontId="3" fillId="34" borderId="16" xfId="0" applyNumberFormat="1" applyFont="1" applyFill="1" applyBorder="1" applyAlignment="1" applyProtection="1">
      <alignment vertical="top"/>
    </xf>
    <xf numFmtId="3" fontId="8" fillId="34" borderId="60" xfId="0" applyNumberFormat="1" applyFont="1" applyFill="1" applyBorder="1" applyProtection="1"/>
    <xf numFmtId="0" fontId="5" fillId="34" borderId="44" xfId="0" applyFont="1" applyFill="1" applyBorder="1" applyProtection="1"/>
    <xf numFmtId="3" fontId="8" fillId="34" borderId="16" xfId="0" applyNumberFormat="1" applyFont="1" applyFill="1" applyBorder="1" applyAlignment="1" applyProtection="1">
      <alignment horizontal="left"/>
    </xf>
    <xf numFmtId="0" fontId="8" fillId="34" borderId="168" xfId="0" applyFont="1" applyFill="1" applyBorder="1" applyProtection="1"/>
    <xf numFmtId="3" fontId="8" fillId="34" borderId="154" xfId="0" applyNumberFormat="1" applyFont="1" applyFill="1" applyBorder="1" applyAlignment="1" applyProtection="1">
      <alignment horizontal="left" vertical="top"/>
    </xf>
    <xf numFmtId="0" fontId="0" fillId="34" borderId="0" xfId="0" applyFill="1" applyBorder="1" applyAlignment="1" applyProtection="1">
      <alignment vertical="top" wrapText="1"/>
    </xf>
    <xf numFmtId="0" fontId="11" fillId="34" borderId="16" xfId="0" applyFont="1" applyFill="1" applyBorder="1" applyProtection="1"/>
    <xf numFmtId="0" fontId="8" fillId="34" borderId="60" xfId="0" applyFont="1" applyFill="1" applyBorder="1" applyProtection="1"/>
    <xf numFmtId="0" fontId="11" fillId="34" borderId="62" xfId="0" applyFont="1" applyFill="1" applyBorder="1" applyProtection="1"/>
    <xf numFmtId="0" fontId="8" fillId="34" borderId="150" xfId="0" applyFont="1" applyFill="1" applyBorder="1" applyProtection="1"/>
    <xf numFmtId="0" fontId="8" fillId="34" borderId="42" xfId="0" applyFont="1" applyFill="1" applyBorder="1" applyProtection="1"/>
    <xf numFmtId="3" fontId="8" fillId="34" borderId="150" xfId="0" applyNumberFormat="1" applyFont="1" applyFill="1" applyBorder="1" applyProtection="1"/>
    <xf numFmtId="3" fontId="3" fillId="34" borderId="15" xfId="0" applyNumberFormat="1" applyFont="1" applyFill="1" applyBorder="1" applyAlignment="1" applyProtection="1">
      <alignment horizontal="left" vertical="top"/>
    </xf>
    <xf numFmtId="49" fontId="8" fillId="34" borderId="89" xfId="0" applyNumberFormat="1" applyFont="1" applyFill="1" applyBorder="1" applyProtection="1"/>
    <xf numFmtId="0" fontId="8" fillId="34" borderId="90" xfId="0" applyFont="1" applyFill="1" applyBorder="1" applyProtection="1"/>
    <xf numFmtId="0" fontId="3" fillId="34" borderId="127" xfId="0" applyFont="1" applyFill="1" applyBorder="1" applyAlignment="1" applyProtection="1">
      <alignment vertical="top" wrapText="1"/>
    </xf>
    <xf numFmtId="0" fontId="3" fillId="34" borderId="15" xfId="0" applyFont="1" applyFill="1" applyBorder="1" applyAlignment="1" applyProtection="1">
      <alignment vertical="top" wrapText="1"/>
    </xf>
    <xf numFmtId="3" fontId="3" fillId="34" borderId="60" xfId="0" applyNumberFormat="1" applyFont="1" applyFill="1" applyBorder="1" applyAlignment="1" applyProtection="1">
      <alignment vertical="top" wrapText="1"/>
    </xf>
    <xf numFmtId="0" fontId="8" fillId="34" borderId="127" xfId="0" applyFont="1" applyFill="1" applyBorder="1" applyProtection="1"/>
    <xf numFmtId="0" fontId="8" fillId="34" borderId="15" xfId="0" applyFont="1" applyFill="1" applyBorder="1" applyProtection="1"/>
    <xf numFmtId="0" fontId="8" fillId="34" borderId="116" xfId="0" applyFont="1" applyFill="1" applyBorder="1" applyProtection="1"/>
    <xf numFmtId="170" fontId="37" fillId="0" borderId="0" xfId="0" applyNumberFormat="1" applyFont="1" applyFill="1" applyBorder="1" applyAlignment="1" applyProtection="1">
      <alignment horizontal="left" vertical="top" wrapText="1"/>
    </xf>
    <xf numFmtId="3" fontId="2" fillId="2" borderId="0" xfId="0" applyNumberFormat="1" applyFont="1" applyFill="1" applyBorder="1" applyAlignment="1" applyProtection="1">
      <alignment horizontal="right"/>
      <protection locked="0"/>
    </xf>
    <xf numFmtId="0" fontId="5" fillId="23" borderId="191" xfId="0" applyFont="1" applyFill="1" applyBorder="1" applyAlignment="1" applyProtection="1">
      <alignment horizontal="left"/>
    </xf>
    <xf numFmtId="0" fontId="3" fillId="23" borderId="35" xfId="0" applyFont="1" applyFill="1" applyBorder="1" applyAlignment="1" applyProtection="1">
      <alignment horizontal="left"/>
    </xf>
    <xf numFmtId="3" fontId="2" fillId="2" borderId="40" xfId="0" applyNumberFormat="1" applyFont="1" applyFill="1" applyBorder="1" applyAlignment="1" applyProtection="1">
      <alignment horizontal="right"/>
      <protection locked="0"/>
    </xf>
    <xf numFmtId="0" fontId="3" fillId="23" borderId="12" xfId="0" applyFont="1" applyFill="1" applyBorder="1" applyAlignment="1" applyProtection="1">
      <alignment horizontal="left"/>
    </xf>
    <xf numFmtId="0" fontId="5" fillId="23" borderId="25" xfId="0" applyFont="1" applyFill="1" applyBorder="1" applyAlignment="1" applyProtection="1">
      <alignment horizontal="left"/>
    </xf>
    <xf numFmtId="3" fontId="2" fillId="2" borderId="209" xfId="0" applyNumberFormat="1" applyFont="1" applyFill="1" applyBorder="1" applyAlignment="1" applyProtection="1">
      <alignment horizontal="right"/>
      <protection locked="0"/>
    </xf>
    <xf numFmtId="0" fontId="3" fillId="23" borderId="163" xfId="0" applyFont="1" applyFill="1" applyBorder="1" applyAlignment="1" applyProtection="1">
      <alignment horizontal="left" wrapText="1"/>
    </xf>
    <xf numFmtId="49" fontId="8" fillId="0" borderId="210" xfId="0" applyNumberFormat="1" applyFont="1" applyFill="1" applyBorder="1" applyAlignment="1" applyProtection="1">
      <alignment horizontal="center"/>
    </xf>
    <xf numFmtId="49" fontId="3" fillId="0" borderId="210" xfId="0" applyNumberFormat="1" applyFont="1" applyFill="1" applyBorder="1" applyAlignment="1" applyProtection="1">
      <alignment horizontal="center" wrapText="1"/>
    </xf>
    <xf numFmtId="49" fontId="3" fillId="0" borderId="210" xfId="0" applyNumberFormat="1" applyFont="1" applyFill="1" applyBorder="1" applyAlignment="1" applyProtection="1">
      <alignment horizontal="left"/>
    </xf>
    <xf numFmtId="3" fontId="3" fillId="23" borderId="15" xfId="0" applyNumberFormat="1" applyFont="1" applyFill="1" applyBorder="1" applyAlignment="1" applyProtection="1">
      <alignment horizontal="left" wrapText="1"/>
    </xf>
    <xf numFmtId="0" fontId="77" fillId="2" borderId="0" xfId="0" applyFont="1" applyFill="1" applyAlignment="1" applyProtection="1"/>
    <xf numFmtId="3" fontId="5" fillId="23" borderId="118" xfId="0" applyNumberFormat="1" applyFont="1" applyFill="1" applyBorder="1" applyAlignment="1" applyProtection="1">
      <alignment horizontal="left"/>
    </xf>
    <xf numFmtId="3" fontId="5" fillId="23" borderId="15" xfId="0" applyNumberFormat="1" applyFont="1" applyFill="1" applyBorder="1" applyAlignment="1" applyProtection="1">
      <alignment horizontal="left" vertical="top" wrapText="1"/>
    </xf>
    <xf numFmtId="49" fontId="3" fillId="23" borderId="42" xfId="0" applyNumberFormat="1" applyFont="1" applyFill="1" applyBorder="1" applyAlignment="1" applyProtection="1">
      <alignment horizontal="left"/>
    </xf>
    <xf numFmtId="3" fontId="13" fillId="9" borderId="63" xfId="0" applyNumberFormat="1" applyFont="1" applyFill="1" applyBorder="1" applyProtection="1"/>
    <xf numFmtId="0" fontId="9" fillId="0" borderId="0" xfId="0" applyFont="1" applyFill="1" applyProtection="1"/>
    <xf numFmtId="3" fontId="10" fillId="0" borderId="5" xfId="0" quotePrefix="1" applyNumberFormat="1" applyFont="1" applyFill="1" applyBorder="1" applyAlignment="1" applyProtection="1">
      <alignment horizontal="right"/>
      <protection locked="0"/>
    </xf>
    <xf numFmtId="0" fontId="18" fillId="2" borderId="0" xfId="0" applyFont="1" applyFill="1" applyBorder="1" applyAlignment="1" applyProtection="1"/>
    <xf numFmtId="3" fontId="143" fillId="23" borderId="0" xfId="0" applyNumberFormat="1" applyFont="1" applyFill="1" applyBorder="1" applyAlignment="1" applyProtection="1"/>
    <xf numFmtId="3" fontId="143" fillId="23" borderId="44" xfId="0" applyNumberFormat="1" applyFont="1" applyFill="1" applyBorder="1" applyAlignment="1" applyProtection="1"/>
    <xf numFmtId="0" fontId="144" fillId="2" borderId="0" xfId="0" applyFont="1" applyFill="1" applyBorder="1" applyProtection="1"/>
    <xf numFmtId="164" fontId="7" fillId="0" borderId="1" xfId="0" applyNumberFormat="1" applyFont="1" applyFill="1" applyBorder="1" applyAlignment="1" applyProtection="1">
      <alignment horizontal="center" vertical="center"/>
    </xf>
    <xf numFmtId="0" fontId="0" fillId="2" borderId="1" xfId="0" applyFill="1" applyBorder="1" applyProtection="1"/>
    <xf numFmtId="0" fontId="3" fillId="2" borderId="1" xfId="0" applyFont="1" applyFill="1" applyBorder="1" applyProtection="1"/>
    <xf numFmtId="3" fontId="9" fillId="2" borderId="114" xfId="0" applyNumberFormat="1" applyFont="1" applyFill="1" applyBorder="1" applyProtection="1">
      <protection locked="0"/>
    </xf>
    <xf numFmtId="3" fontId="9" fillId="2" borderId="71" xfId="0" applyNumberFormat="1" applyFont="1" applyFill="1" applyBorder="1" applyProtection="1">
      <protection locked="0"/>
    </xf>
    <xf numFmtId="3" fontId="2" fillId="35" borderId="5" xfId="6" applyNumberFormat="1" applyFont="1" applyFill="1" applyBorder="1" applyAlignment="1" applyProtection="1"/>
    <xf numFmtId="0" fontId="3" fillId="23" borderId="134" xfId="0" applyFont="1" applyFill="1" applyBorder="1" applyAlignment="1" applyProtection="1">
      <alignment horizontal="center"/>
    </xf>
    <xf numFmtId="0" fontId="109" fillId="7" borderId="0" xfId="0" quotePrefix="1" applyFont="1" applyFill="1" applyBorder="1" applyAlignment="1" applyProtection="1">
      <alignment horizontal="left"/>
    </xf>
    <xf numFmtId="0" fontId="137" fillId="0" borderId="0" xfId="0" applyFont="1" applyFill="1" applyAlignment="1" applyProtection="1">
      <alignment wrapText="1"/>
    </xf>
    <xf numFmtId="3" fontId="3" fillId="23" borderId="9" xfId="0" applyNumberFormat="1" applyFont="1" applyFill="1" applyBorder="1" applyProtection="1"/>
    <xf numFmtId="3" fontId="9" fillId="23" borderId="0" xfId="0" applyNumberFormat="1" applyFont="1" applyFill="1" applyBorder="1" applyProtection="1"/>
    <xf numFmtId="3" fontId="9" fillId="23" borderId="39" xfId="0" applyNumberFormat="1" applyFont="1" applyFill="1" applyBorder="1" applyProtection="1"/>
    <xf numFmtId="3" fontId="7" fillId="23" borderId="0" xfId="0" applyNumberFormat="1" applyFont="1" applyFill="1" applyBorder="1" applyProtection="1"/>
    <xf numFmtId="3" fontId="7" fillId="23" borderId="0" xfId="0" applyNumberFormat="1" applyFont="1" applyFill="1" applyBorder="1" applyAlignment="1" applyProtection="1">
      <alignment horizontal="left" vertical="top" wrapText="1"/>
    </xf>
    <xf numFmtId="0" fontId="140" fillId="0" borderId="0" xfId="0" applyFont="1" applyFill="1" applyProtection="1"/>
    <xf numFmtId="0" fontId="3" fillId="23" borderId="47" xfId="0" applyFont="1" applyFill="1" applyBorder="1" applyAlignment="1" applyProtection="1">
      <alignment horizontal="center"/>
    </xf>
    <xf numFmtId="0" fontId="3" fillId="23" borderId="158" xfId="0" applyFont="1" applyFill="1" applyBorder="1" applyAlignment="1" applyProtection="1">
      <alignment horizontal="center"/>
    </xf>
    <xf numFmtId="0" fontId="5" fillId="23" borderId="158" xfId="0" applyFont="1" applyFill="1" applyBorder="1" applyAlignment="1" applyProtection="1">
      <alignment horizontal="center"/>
    </xf>
    <xf numFmtId="0" fontId="3" fillId="23" borderId="162" xfId="0" applyFont="1" applyFill="1" applyBorder="1" applyAlignment="1" applyProtection="1">
      <alignment horizontal="center"/>
    </xf>
    <xf numFmtId="3" fontId="2" fillId="23" borderId="47" xfId="0" applyNumberFormat="1" applyFont="1" applyFill="1" applyBorder="1" applyAlignment="1" applyProtection="1">
      <alignment horizontal="right"/>
    </xf>
    <xf numFmtId="3" fontId="2" fillId="23" borderId="158" xfId="0" applyNumberFormat="1" applyFont="1" applyFill="1" applyBorder="1" applyAlignment="1" applyProtection="1">
      <alignment horizontal="right"/>
    </xf>
    <xf numFmtId="3" fontId="2" fillId="23" borderId="46" xfId="0" applyNumberFormat="1" applyFont="1" applyFill="1" applyBorder="1" applyAlignment="1" applyProtection="1">
      <alignment horizontal="right"/>
    </xf>
    <xf numFmtId="3" fontId="2" fillId="23" borderId="131" xfId="0" applyNumberFormat="1" applyFont="1" applyFill="1" applyBorder="1" applyAlignment="1" applyProtection="1">
      <alignment horizontal="right"/>
    </xf>
    <xf numFmtId="3" fontId="2" fillId="24" borderId="158" xfId="0" applyNumberFormat="1" applyFont="1" applyFill="1" applyBorder="1" applyAlignment="1" applyProtection="1">
      <alignment horizontal="left"/>
    </xf>
    <xf numFmtId="3" fontId="2" fillId="24" borderId="45" xfId="0" applyNumberFormat="1" applyFont="1" applyFill="1" applyBorder="1" applyAlignment="1" applyProtection="1">
      <alignment horizontal="right"/>
    </xf>
    <xf numFmtId="0" fontId="9" fillId="36" borderId="211" xfId="0" applyFont="1" applyFill="1" applyBorder="1" applyAlignment="1" applyProtection="1">
      <alignment horizontal="left" vertical="center"/>
    </xf>
    <xf numFmtId="0" fontId="105" fillId="36" borderId="211" xfId="0" applyFont="1" applyFill="1" applyBorder="1" applyAlignment="1" applyProtection="1">
      <alignment horizontal="left" vertical="center"/>
    </xf>
    <xf numFmtId="0" fontId="17" fillId="34" borderId="117" xfId="0" applyFont="1" applyFill="1" applyBorder="1" applyAlignment="1" applyProtection="1">
      <alignment horizontal="center" vertical="center"/>
    </xf>
    <xf numFmtId="0" fontId="0" fillId="0" borderId="0" xfId="0" quotePrefix="1"/>
    <xf numFmtId="0" fontId="0" fillId="0" borderId="0" xfId="0" applyFill="1" applyBorder="1" applyAlignment="1">
      <alignment horizontal="left" wrapText="1"/>
    </xf>
    <xf numFmtId="0" fontId="0" fillId="23" borderId="160" xfId="0" applyFill="1" applyBorder="1" applyAlignment="1">
      <alignment vertical="top" wrapText="1"/>
    </xf>
    <xf numFmtId="0" fontId="24" fillId="23" borderId="58" xfId="6" applyFill="1" applyBorder="1" applyAlignment="1" applyProtection="1">
      <alignment wrapText="1"/>
    </xf>
    <xf numFmtId="0" fontId="24" fillId="23" borderId="44" xfId="6" applyFill="1" applyBorder="1" applyAlignment="1" applyProtection="1">
      <alignment wrapText="1"/>
    </xf>
    <xf numFmtId="0" fontId="3" fillId="23" borderId="213" xfId="0" applyFont="1" applyFill="1" applyBorder="1" applyAlignment="1" applyProtection="1">
      <alignment horizontal="center"/>
    </xf>
    <xf numFmtId="49" fontId="3" fillId="23" borderId="150" xfId="0" applyNumberFormat="1" applyFont="1" applyFill="1" applyBorder="1" applyAlignment="1" applyProtection="1">
      <alignment horizontal="center"/>
    </xf>
    <xf numFmtId="49" fontId="3" fillId="23" borderId="161" xfId="0" applyNumberFormat="1" applyFont="1" applyFill="1" applyBorder="1" applyAlignment="1" applyProtection="1">
      <alignment horizontal="center"/>
    </xf>
    <xf numFmtId="0" fontId="3" fillId="23" borderId="35" xfId="0" applyFont="1" applyFill="1" applyBorder="1" applyAlignment="1" applyProtection="1">
      <alignment horizontal="center"/>
    </xf>
    <xf numFmtId="0" fontId="3" fillId="23" borderId="70" xfId="0" applyFont="1" applyFill="1" applyBorder="1" applyAlignment="1" applyProtection="1">
      <alignment horizontal="center"/>
    </xf>
    <xf numFmtId="3" fontId="3" fillId="23" borderId="27" xfId="0" applyNumberFormat="1" applyFont="1" applyFill="1" applyBorder="1" applyAlignment="1" applyProtection="1"/>
    <xf numFmtId="3" fontId="3" fillId="0" borderId="0" xfId="10" applyNumberFormat="1" applyFont="1" applyFill="1" applyAlignment="1" applyProtection="1"/>
    <xf numFmtId="3" fontId="3" fillId="0" borderId="0" xfId="10" applyNumberFormat="1" applyFont="1" applyFill="1" applyAlignment="1" applyProtection="1">
      <alignment horizontal="left"/>
    </xf>
    <xf numFmtId="49" fontId="3" fillId="23" borderId="58" xfId="0" applyNumberFormat="1" applyFont="1" applyFill="1" applyBorder="1" applyAlignment="1" applyProtection="1">
      <alignment horizontal="left" vertical="top"/>
    </xf>
    <xf numFmtId="49" fontId="3" fillId="23" borderId="142" xfId="0" applyNumberFormat="1" applyFont="1" applyFill="1" applyBorder="1" applyAlignment="1" applyProtection="1">
      <alignment horizontal="left" vertical="top"/>
    </xf>
    <xf numFmtId="0" fontId="31" fillId="7" borderId="0" xfId="0" applyFont="1" applyFill="1" applyBorder="1" applyProtection="1"/>
    <xf numFmtId="1" fontId="17" fillId="0" borderId="0" xfId="0" applyNumberFormat="1" applyFont="1" applyFill="1" applyBorder="1" applyAlignment="1" applyProtection="1">
      <alignment horizontal="center"/>
    </xf>
    <xf numFmtId="164" fontId="3" fillId="0" borderId="0" xfId="0" applyNumberFormat="1" applyFont="1" applyFill="1" applyBorder="1" applyProtection="1"/>
    <xf numFmtId="0" fontId="5" fillId="0" borderId="0"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49" fontId="16" fillId="0" borderId="0" xfId="0" applyNumberFormat="1" applyFont="1" applyFill="1" applyBorder="1" applyAlignment="1" applyProtection="1">
      <alignment horizontal="center"/>
    </xf>
    <xf numFmtId="1" fontId="5" fillId="0" borderId="0" xfId="0" applyNumberFormat="1" applyFont="1" applyFill="1" applyBorder="1" applyAlignment="1" applyProtection="1">
      <alignment horizontal="center" wrapText="1"/>
    </xf>
    <xf numFmtId="3" fontId="8" fillId="0" borderId="0"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0" fontId="3" fillId="0" borderId="0" xfId="0" applyFont="1" applyFill="1" applyBorder="1" applyAlignment="1" applyProtection="1">
      <alignment horizontal="left" vertical="top"/>
    </xf>
    <xf numFmtId="0" fontId="5" fillId="0" borderId="0" xfId="0" applyFont="1" applyFill="1" applyBorder="1" applyAlignment="1" applyProtection="1">
      <alignment horizontal="left" vertical="top"/>
    </xf>
    <xf numFmtId="1" fontId="3" fillId="0" borderId="0" xfId="0" applyNumberFormat="1" applyFont="1" applyFill="1" applyBorder="1" applyAlignment="1" applyProtection="1">
      <alignment horizontal="center" vertical="top" wrapText="1"/>
    </xf>
    <xf numFmtId="2" fontId="3" fillId="0" borderId="0" xfId="0" applyNumberFormat="1" applyFont="1" applyFill="1" applyBorder="1" applyAlignment="1" applyProtection="1">
      <alignment horizontal="center" wrapText="1"/>
    </xf>
    <xf numFmtId="49" fontId="3" fillId="0" borderId="0" xfId="0" applyNumberFormat="1" applyFont="1" applyFill="1" applyBorder="1" applyAlignment="1" applyProtection="1">
      <alignment horizontal="center" wrapText="1"/>
    </xf>
    <xf numFmtId="49" fontId="143" fillId="0" borderId="0" xfId="0" applyNumberFormat="1" applyFont="1" applyFill="1" applyBorder="1" applyAlignment="1" applyProtection="1">
      <alignment horizontal="center" wrapText="1"/>
    </xf>
    <xf numFmtId="1" fontId="143" fillId="0" borderId="0" xfId="0" applyNumberFormat="1" applyFont="1" applyFill="1" applyBorder="1" applyAlignment="1" applyProtection="1">
      <alignment horizontal="center"/>
    </xf>
    <xf numFmtId="0" fontId="8" fillId="0" borderId="0" xfId="0" applyFont="1" applyFill="1" applyBorder="1" applyAlignment="1" applyProtection="1">
      <alignment horizontal="center" wrapText="1"/>
    </xf>
    <xf numFmtId="0" fontId="3" fillId="0" borderId="0" xfId="0" applyFont="1" applyFill="1" applyBorder="1" applyAlignment="1" applyProtection="1">
      <alignment horizontal="center" wrapText="1"/>
    </xf>
    <xf numFmtId="0" fontId="7" fillId="0" borderId="0" xfId="0" applyFont="1" applyFill="1" applyBorder="1" applyAlignment="1" applyProtection="1">
      <alignment horizontal="center"/>
    </xf>
    <xf numFmtId="1" fontId="8" fillId="0" borderId="0" xfId="0" applyNumberFormat="1" applyFont="1" applyFill="1" applyBorder="1" applyAlignment="1" applyProtection="1">
      <alignment horizontal="center" vertical="center" wrapText="1"/>
    </xf>
    <xf numFmtId="3" fontId="2" fillId="2" borderId="114" xfId="0" applyNumberFormat="1" applyFont="1" applyFill="1" applyBorder="1" applyAlignment="1" applyProtection="1">
      <alignment horizontal="right"/>
      <protection locked="0"/>
    </xf>
    <xf numFmtId="3" fontId="2" fillId="2" borderId="6" xfId="0" applyNumberFormat="1" applyFont="1" applyFill="1" applyBorder="1" applyAlignment="1" applyProtection="1">
      <alignment horizontal="right"/>
      <protection locked="0"/>
    </xf>
    <xf numFmtId="49" fontId="3" fillId="23" borderId="35" xfId="0" applyNumberFormat="1" applyFont="1" applyFill="1" applyBorder="1" applyAlignment="1" applyProtection="1">
      <alignment horizontal="left" wrapText="1"/>
    </xf>
    <xf numFmtId="3" fontId="5" fillId="23" borderId="157" xfId="6" applyNumberFormat="1" applyFont="1" applyFill="1" applyBorder="1" applyAlignment="1" applyProtection="1">
      <alignment vertical="top"/>
    </xf>
    <xf numFmtId="3" fontId="4" fillId="0" borderId="0" xfId="0" applyNumberFormat="1" applyFont="1" applyFill="1" applyBorder="1" applyProtection="1"/>
    <xf numFmtId="49" fontId="12" fillId="0" borderId="0" xfId="0" applyNumberFormat="1" applyFont="1" applyFill="1" applyBorder="1" applyAlignment="1" applyProtection="1">
      <alignment horizontal="center"/>
    </xf>
    <xf numFmtId="3" fontId="3" fillId="0" borderId="0" xfId="0" applyNumberFormat="1" applyFont="1" applyFill="1" applyBorder="1" applyAlignment="1" applyProtection="1"/>
    <xf numFmtId="3" fontId="5" fillId="23" borderId="124" xfId="0" applyNumberFormat="1" applyFont="1" applyFill="1" applyBorder="1" applyAlignment="1" applyProtection="1">
      <alignment horizontal="left" vertical="top" wrapText="1"/>
    </xf>
    <xf numFmtId="0" fontId="7" fillId="23" borderId="160" xfId="0" applyFont="1" applyFill="1" applyBorder="1" applyAlignment="1">
      <alignment vertical="top" wrapText="1"/>
    </xf>
    <xf numFmtId="3" fontId="3" fillId="23" borderId="119" xfId="0" applyNumberFormat="1" applyFont="1" applyFill="1" applyBorder="1" applyAlignment="1" applyProtection="1">
      <alignment wrapText="1"/>
    </xf>
    <xf numFmtId="0" fontId="0" fillId="23" borderId="150" xfId="0" applyFill="1" applyBorder="1" applyAlignment="1">
      <alignment vertical="center"/>
    </xf>
    <xf numFmtId="0" fontId="0" fillId="23" borderId="42" xfId="0" applyFill="1" applyBorder="1" applyAlignment="1">
      <alignment vertical="center"/>
    </xf>
    <xf numFmtId="0" fontId="7" fillId="23" borderId="42" xfId="0" applyFont="1" applyFill="1" applyBorder="1" applyAlignment="1" applyProtection="1"/>
    <xf numFmtId="0" fontId="0" fillId="23" borderId="162" xfId="0" applyFill="1" applyBorder="1" applyAlignment="1" applyProtection="1">
      <alignment wrapText="1"/>
    </xf>
    <xf numFmtId="0" fontId="0" fillId="23" borderId="42" xfId="0" applyFill="1" applyBorder="1" applyAlignment="1">
      <alignment vertical="center" wrapText="1"/>
    </xf>
    <xf numFmtId="0" fontId="7" fillId="23" borderId="42" xfId="0" applyFont="1" applyFill="1" applyBorder="1" applyProtection="1"/>
    <xf numFmtId="0" fontId="0" fillId="23" borderId="142" xfId="0" applyFill="1" applyBorder="1" applyAlignment="1">
      <alignment horizontal="left" vertical="center"/>
    </xf>
    <xf numFmtId="0" fontId="0" fillId="23" borderId="1" xfId="0" applyFill="1" applyBorder="1" applyAlignment="1">
      <alignment horizontal="left" vertical="center"/>
    </xf>
    <xf numFmtId="0" fontId="0" fillId="23" borderId="89" xfId="0" applyFill="1" applyBorder="1" applyAlignment="1">
      <alignment horizontal="left" vertical="center"/>
    </xf>
    <xf numFmtId="0" fontId="0" fillId="23" borderId="90" xfId="0" applyFill="1" applyBorder="1" applyAlignment="1">
      <alignment horizontal="left" wrapText="1"/>
    </xf>
    <xf numFmtId="0" fontId="5" fillId="23" borderId="158" xfId="0" applyFont="1" applyFill="1" applyBorder="1" applyAlignment="1" applyProtection="1">
      <alignment vertical="top" wrapText="1"/>
    </xf>
    <xf numFmtId="0" fontId="3" fillId="23" borderId="16" xfId="0" applyFont="1" applyFill="1" applyBorder="1" applyAlignment="1" applyProtection="1">
      <alignment vertical="center"/>
    </xf>
    <xf numFmtId="0" fontId="3" fillId="23" borderId="15" xfId="0" applyFont="1" applyFill="1" applyBorder="1" applyAlignment="1" applyProtection="1">
      <alignment vertical="center"/>
    </xf>
    <xf numFmtId="0" fontId="3" fillId="23" borderId="15" xfId="0" applyFont="1" applyFill="1" applyBorder="1" applyAlignment="1" applyProtection="1">
      <alignment vertical="center" wrapText="1"/>
    </xf>
    <xf numFmtId="0" fontId="0" fillId="23" borderId="196" xfId="0" applyFill="1" applyBorder="1" applyAlignment="1">
      <alignment horizontal="center" vertical="center"/>
    </xf>
    <xf numFmtId="0" fontId="0" fillId="23" borderId="176" xfId="0" applyFill="1" applyBorder="1" applyAlignment="1" applyProtection="1">
      <alignment vertical="top" wrapText="1"/>
    </xf>
    <xf numFmtId="0" fontId="3" fillId="23" borderId="123" xfId="0" applyFont="1" applyFill="1" applyBorder="1" applyAlignment="1" applyProtection="1">
      <alignment vertical="top"/>
    </xf>
    <xf numFmtId="0" fontId="3" fillId="23" borderId="68" xfId="0" applyFont="1" applyFill="1" applyBorder="1" applyAlignment="1" applyProtection="1">
      <alignment horizontal="left" vertical="top" wrapText="1"/>
    </xf>
    <xf numFmtId="0" fontId="17" fillId="23" borderId="168" xfId="0" applyFont="1" applyFill="1" applyBorder="1" applyAlignment="1" applyProtection="1">
      <alignment horizontal="center" vertical="center" wrapText="1"/>
    </xf>
    <xf numFmtId="0" fontId="7" fillId="23" borderId="159" xfId="0" applyFont="1" applyFill="1" applyBorder="1" applyAlignment="1" applyProtection="1"/>
    <xf numFmtId="0" fontId="3" fillId="23" borderId="15" xfId="0" applyFont="1" applyFill="1" applyBorder="1" applyAlignment="1" applyProtection="1"/>
    <xf numFmtId="0" fontId="3" fillId="23" borderId="128" xfId="0" applyFont="1" applyFill="1" applyBorder="1" applyAlignment="1" applyProtection="1">
      <alignment horizontal="left" vertical="top" wrapText="1"/>
    </xf>
    <xf numFmtId="0" fontId="3" fillId="23" borderId="58" xfId="0" applyFont="1" applyFill="1" applyBorder="1" applyAlignment="1" applyProtection="1">
      <alignment horizontal="left" vertical="center"/>
    </xf>
    <xf numFmtId="0" fontId="3" fillId="23" borderId="0" xfId="0" applyFont="1" applyFill="1" applyBorder="1" applyAlignment="1" applyProtection="1">
      <alignment horizontal="left" vertical="center"/>
    </xf>
    <xf numFmtId="0" fontId="3" fillId="23" borderId="154" xfId="0" applyFont="1" applyFill="1" applyBorder="1" applyAlignment="1" applyProtection="1">
      <alignment horizontal="left" vertical="center"/>
    </xf>
    <xf numFmtId="0" fontId="3" fillId="23" borderId="60" xfId="0" applyFont="1" applyFill="1" applyBorder="1" applyAlignment="1" applyProtection="1">
      <alignment horizontal="left" wrapText="1"/>
    </xf>
    <xf numFmtId="3" fontId="3" fillId="23" borderId="159" xfId="6" applyNumberFormat="1" applyFont="1" applyFill="1" applyBorder="1" applyAlignment="1" applyProtection="1"/>
    <xf numFmtId="3" fontId="5" fillId="23" borderId="159" xfId="6" applyNumberFormat="1" applyFont="1" applyFill="1" applyBorder="1" applyAlignment="1" applyProtection="1">
      <alignment vertical="top" wrapText="1"/>
    </xf>
    <xf numFmtId="49" fontId="3" fillId="23" borderId="176" xfId="6" applyNumberFormat="1" applyFont="1" applyFill="1" applyBorder="1" applyProtection="1"/>
    <xf numFmtId="3" fontId="3" fillId="23" borderId="168" xfId="6" applyNumberFormat="1" applyFont="1" applyFill="1" applyBorder="1" applyAlignment="1" applyProtection="1"/>
    <xf numFmtId="0" fontId="3" fillId="23" borderId="196" xfId="6" applyFont="1" applyFill="1" applyBorder="1" applyAlignment="1" applyProtection="1">
      <alignment horizontal="left" vertical="center"/>
    </xf>
    <xf numFmtId="0" fontId="5" fillId="23" borderId="161" xfId="6" applyFont="1" applyFill="1" applyBorder="1" applyAlignment="1" applyProtection="1">
      <alignment vertical="top"/>
    </xf>
    <xf numFmtId="0" fontId="3" fillId="23" borderId="68" xfId="0" applyFont="1" applyFill="1" applyBorder="1" applyAlignment="1" applyProtection="1">
      <alignment vertical="top"/>
    </xf>
    <xf numFmtId="0" fontId="5" fillId="23" borderId="27" xfId="6" applyFont="1" applyFill="1" applyBorder="1" applyAlignment="1" applyProtection="1"/>
    <xf numFmtId="0" fontId="3" fillId="23" borderId="15" xfId="6" applyFont="1" applyFill="1" applyBorder="1" applyAlignment="1" applyProtection="1">
      <alignment horizontal="right"/>
    </xf>
    <xf numFmtId="0" fontId="3" fillId="23" borderId="154" xfId="6" applyFont="1" applyFill="1" applyBorder="1" applyAlignment="1" applyProtection="1"/>
    <xf numFmtId="0" fontId="3" fillId="23" borderId="15" xfId="6" applyFont="1" applyFill="1" applyBorder="1" applyAlignment="1" applyProtection="1"/>
    <xf numFmtId="0" fontId="3" fillId="23" borderId="15" xfId="6" applyFont="1" applyFill="1" applyBorder="1" applyAlignment="1" applyProtection="1">
      <alignment horizontal="left" vertical="top" wrapText="1"/>
    </xf>
    <xf numFmtId="0" fontId="3" fillId="23" borderId="16" xfId="6" applyFont="1" applyFill="1" applyBorder="1" applyAlignment="1" applyProtection="1">
      <alignment horizontal="left" vertical="top" wrapText="1"/>
    </xf>
    <xf numFmtId="49" fontId="3" fillId="23" borderId="159" xfId="6" applyNumberFormat="1" applyFont="1" applyFill="1" applyBorder="1" applyAlignment="1" applyProtection="1">
      <alignment vertical="top"/>
    </xf>
    <xf numFmtId="0" fontId="0" fillId="23" borderId="15" xfId="0" applyFill="1" applyBorder="1" applyAlignment="1">
      <alignment vertical="top" wrapText="1"/>
    </xf>
    <xf numFmtId="0" fontId="0" fillId="23" borderId="42" xfId="0" applyFill="1" applyBorder="1" applyAlignment="1">
      <alignment vertical="top" wrapText="1"/>
    </xf>
    <xf numFmtId="0" fontId="3" fillId="23" borderId="176" xfId="0" applyFont="1" applyFill="1" applyBorder="1" applyAlignment="1" applyProtection="1">
      <alignment horizontal="left" vertical="center"/>
    </xf>
    <xf numFmtId="3" fontId="136" fillId="0" borderId="58" xfId="0" applyNumberFormat="1" applyFont="1" applyFill="1" applyBorder="1" applyProtection="1"/>
    <xf numFmtId="3" fontId="3" fillId="37" borderId="42" xfId="0" applyNumberFormat="1" applyFont="1" applyFill="1" applyBorder="1" applyAlignment="1" applyProtection="1">
      <alignment horizontal="left" vertical="top" wrapText="1"/>
    </xf>
    <xf numFmtId="3" fontId="3" fillId="23" borderId="42" xfId="0" applyNumberFormat="1" applyFont="1" applyFill="1" applyBorder="1" applyAlignment="1" applyProtection="1">
      <alignment horizontal="left" vertical="top"/>
    </xf>
    <xf numFmtId="0" fontId="0" fillId="23" borderId="44" xfId="0" applyFill="1" applyBorder="1" applyProtection="1"/>
    <xf numFmtId="0" fontId="0" fillId="23" borderId="159" xfId="0" applyFill="1" applyBorder="1" applyProtection="1"/>
    <xf numFmtId="3" fontId="37" fillId="23" borderId="180" xfId="6" quotePrefix="1" applyNumberFormat="1" applyFont="1" applyFill="1" applyBorder="1" applyAlignment="1" applyProtection="1">
      <alignment horizontal="left"/>
    </xf>
    <xf numFmtId="3" fontId="37" fillId="23" borderId="181" xfId="6" quotePrefix="1" applyNumberFormat="1" applyFont="1" applyFill="1" applyBorder="1" applyAlignment="1" applyProtection="1">
      <alignment horizontal="left"/>
    </xf>
    <xf numFmtId="0" fontId="0" fillId="23" borderId="180" xfId="0" applyFill="1" applyBorder="1" applyProtection="1"/>
    <xf numFmtId="3" fontId="5" fillId="23" borderId="214" xfId="0" applyNumberFormat="1" applyFont="1" applyFill="1" applyBorder="1" applyAlignment="1" applyProtection="1">
      <alignment horizontal="left" vertical="center" wrapText="1"/>
    </xf>
    <xf numFmtId="3" fontId="2" fillId="23" borderId="109" xfId="0" applyNumberFormat="1" applyFont="1" applyFill="1" applyBorder="1" applyAlignment="1" applyProtection="1">
      <alignment horizontal="right"/>
    </xf>
    <xf numFmtId="3" fontId="2" fillId="23" borderId="108" xfId="0" applyNumberFormat="1" applyFont="1" applyFill="1" applyBorder="1" applyAlignment="1" applyProtection="1">
      <alignment horizontal="right"/>
    </xf>
    <xf numFmtId="3" fontId="2" fillId="23" borderId="157" xfId="0" applyNumberFormat="1" applyFont="1" applyFill="1" applyBorder="1" applyAlignment="1" applyProtection="1">
      <alignment horizontal="right"/>
    </xf>
    <xf numFmtId="3" fontId="2" fillId="23" borderId="93" xfId="0" applyNumberFormat="1" applyFont="1" applyFill="1" applyBorder="1" applyAlignment="1" applyProtection="1">
      <alignment horizontal="right"/>
    </xf>
    <xf numFmtId="3" fontId="2" fillId="23" borderId="194" xfId="0" applyNumberFormat="1" applyFont="1" applyFill="1" applyBorder="1" applyAlignment="1" applyProtection="1">
      <alignment horizontal="right"/>
    </xf>
    <xf numFmtId="3" fontId="48" fillId="23" borderId="181" xfId="14" applyNumberFormat="1" applyFont="1" applyFill="1" applyBorder="1" applyAlignment="1" applyProtection="1">
      <alignment horizontal="center"/>
    </xf>
    <xf numFmtId="3" fontId="48" fillId="23" borderId="181" xfId="10" applyNumberFormat="1" applyFont="1" applyFill="1" applyBorder="1" applyAlignment="1" applyProtection="1">
      <alignment horizontal="center"/>
    </xf>
    <xf numFmtId="3" fontId="120" fillId="23" borderId="181" xfId="10" applyNumberFormat="1" applyFont="1" applyFill="1" applyBorder="1" applyAlignment="1" applyProtection="1">
      <alignment horizontal="center"/>
    </xf>
    <xf numFmtId="9" fontId="48" fillId="23" borderId="107" xfId="0" applyNumberFormat="1" applyFont="1" applyFill="1" applyBorder="1" applyProtection="1"/>
    <xf numFmtId="3" fontId="48" fillId="23" borderId="215" xfId="10" applyNumberFormat="1" applyFont="1" applyFill="1" applyBorder="1" applyAlignment="1" applyProtection="1">
      <alignment horizontal="center"/>
    </xf>
    <xf numFmtId="3" fontId="5" fillId="23" borderId="216" xfId="0" applyNumberFormat="1" applyFont="1" applyFill="1" applyBorder="1" applyAlignment="1" applyProtection="1">
      <alignment horizontal="left" vertical="center" wrapText="1"/>
    </xf>
    <xf numFmtId="3" fontId="2" fillId="23" borderId="30" xfId="0" applyNumberFormat="1" applyFont="1" applyFill="1" applyBorder="1" applyAlignment="1" applyProtection="1">
      <alignment horizontal="right"/>
    </xf>
    <xf numFmtId="0" fontId="9" fillId="23" borderId="47" xfId="0" applyFont="1" applyFill="1" applyBorder="1" applyProtection="1"/>
    <xf numFmtId="3" fontId="2" fillId="23" borderId="186" xfId="0" applyNumberFormat="1" applyFont="1" applyFill="1" applyBorder="1" applyAlignment="1" applyProtection="1">
      <alignment horizontal="right"/>
    </xf>
    <xf numFmtId="3" fontId="2" fillId="23" borderId="105" xfId="0" applyNumberFormat="1" applyFont="1" applyFill="1" applyBorder="1" applyAlignment="1" applyProtection="1">
      <alignment horizontal="right"/>
    </xf>
    <xf numFmtId="3" fontId="2" fillId="23" borderId="217" xfId="0" applyNumberFormat="1" applyFont="1" applyFill="1" applyBorder="1" applyAlignment="1" applyProtection="1">
      <alignment horizontal="right"/>
    </xf>
    <xf numFmtId="0" fontId="0" fillId="23" borderId="193" xfId="0" applyFill="1" applyBorder="1" applyProtection="1"/>
    <xf numFmtId="0" fontId="3" fillId="23" borderId="133" xfId="0" applyFont="1" applyFill="1" applyBorder="1" applyProtection="1"/>
    <xf numFmtId="3" fontId="9" fillId="2" borderId="212" xfId="0" applyNumberFormat="1" applyFont="1" applyFill="1" applyBorder="1" applyProtection="1">
      <protection locked="0"/>
    </xf>
    <xf numFmtId="0" fontId="132" fillId="2" borderId="0" xfId="5" applyFont="1" applyFill="1" applyAlignment="1" applyProtection="1">
      <alignment vertical="top"/>
    </xf>
    <xf numFmtId="0" fontId="5" fillId="23" borderId="96" xfId="6" applyFont="1" applyFill="1" applyBorder="1" applyProtection="1"/>
    <xf numFmtId="0" fontId="5" fillId="23" borderId="44" xfId="6" applyFont="1" applyFill="1" applyBorder="1" applyProtection="1"/>
    <xf numFmtId="0" fontId="5" fillId="23" borderId="27" xfId="6" applyFont="1" applyFill="1" applyBorder="1" applyAlignment="1" applyProtection="1">
      <alignment horizontal="left"/>
    </xf>
    <xf numFmtId="0" fontId="5" fillId="23" borderId="195" xfId="6" applyFont="1" applyFill="1" applyBorder="1" applyAlignment="1" applyProtection="1">
      <alignment horizontal="left"/>
    </xf>
    <xf numFmtId="0" fontId="3" fillId="23" borderId="56" xfId="6" applyFont="1" applyFill="1" applyBorder="1" applyAlignment="1" applyProtection="1">
      <alignment vertical="top"/>
    </xf>
    <xf numFmtId="0" fontId="3" fillId="23" borderId="56" xfId="6" applyFont="1" applyFill="1" applyBorder="1" applyAlignment="1" applyProtection="1">
      <alignment horizontal="left" vertical="center"/>
    </xf>
    <xf numFmtId="0" fontId="3" fillId="23" borderId="159" xfId="6" applyFont="1" applyFill="1" applyBorder="1" applyAlignment="1" applyProtection="1">
      <alignment horizontal="center"/>
    </xf>
    <xf numFmtId="3" fontId="3" fillId="23" borderId="44" xfId="6" applyNumberFormat="1" applyFont="1" applyFill="1" applyBorder="1" applyAlignment="1" applyProtection="1">
      <alignment wrapText="1"/>
    </xf>
    <xf numFmtId="3" fontId="3" fillId="23" borderId="44" xfId="6" applyNumberFormat="1" applyFont="1" applyFill="1" applyBorder="1" applyAlignment="1" applyProtection="1">
      <alignment vertical="center" wrapText="1"/>
    </xf>
    <xf numFmtId="0" fontId="5" fillId="23" borderId="195" xfId="0" applyFont="1" applyFill="1" applyBorder="1" applyAlignment="1" applyProtection="1">
      <alignment horizontal="left"/>
    </xf>
    <xf numFmtId="0" fontId="5" fillId="23" borderId="96" xfId="0" applyFont="1" applyFill="1" applyBorder="1" applyAlignment="1" applyProtection="1">
      <alignment horizontal="left"/>
    </xf>
    <xf numFmtId="0" fontId="5" fillId="23" borderId="27" xfId="0" applyFont="1" applyFill="1" applyBorder="1" applyAlignment="1" applyProtection="1">
      <alignment horizontal="left"/>
    </xf>
    <xf numFmtId="0" fontId="5" fillId="23" borderId="44" xfId="0" applyFont="1" applyFill="1" applyBorder="1" applyAlignment="1" applyProtection="1">
      <alignment horizontal="left"/>
    </xf>
    <xf numFmtId="0" fontId="3" fillId="23" borderId="159" xfId="0" applyFont="1" applyFill="1" applyBorder="1" applyAlignment="1" applyProtection="1">
      <alignment horizontal="center"/>
    </xf>
    <xf numFmtId="0" fontId="3" fillId="23" borderId="159" xfId="6" applyFont="1" applyFill="1" applyBorder="1" applyAlignment="1" applyProtection="1">
      <alignment horizontal="center" vertical="top"/>
    </xf>
    <xf numFmtId="0" fontId="3" fillId="23" borderId="56" xfId="6" applyFont="1" applyFill="1" applyBorder="1" applyAlignment="1" applyProtection="1">
      <alignment vertical="top" wrapText="1"/>
    </xf>
    <xf numFmtId="0" fontId="3" fillId="23" borderId="62" xfId="6" applyFont="1" applyFill="1" applyBorder="1" applyProtection="1"/>
    <xf numFmtId="1" fontId="3" fillId="23" borderId="16" xfId="6" applyNumberFormat="1" applyFont="1" applyFill="1" applyBorder="1" applyAlignment="1" applyProtection="1">
      <alignment horizontal="center"/>
    </xf>
    <xf numFmtId="1" fontId="3" fillId="23" borderId="168" xfId="6" applyNumberFormat="1" applyFont="1" applyFill="1" applyBorder="1" applyAlignment="1" applyProtection="1">
      <alignment horizontal="center"/>
    </xf>
    <xf numFmtId="3" fontId="5" fillId="23" borderId="176" xfId="6" applyNumberFormat="1" applyFont="1" applyFill="1" applyBorder="1" applyAlignment="1" applyProtection="1">
      <alignment vertical="top"/>
    </xf>
    <xf numFmtId="3" fontId="5" fillId="23" borderId="44" xfId="6" applyNumberFormat="1" applyFont="1" applyFill="1" applyBorder="1" applyAlignment="1" applyProtection="1">
      <alignment vertical="center"/>
    </xf>
    <xf numFmtId="3" fontId="5" fillId="23" borderId="44" xfId="0" applyNumberFormat="1" applyFont="1" applyFill="1" applyBorder="1" applyAlignment="1" applyProtection="1">
      <alignment vertical="center"/>
    </xf>
    <xf numFmtId="3" fontId="5" fillId="23" borderId="176" xfId="0" applyNumberFormat="1" applyFont="1" applyFill="1" applyBorder="1" applyAlignment="1" applyProtection="1">
      <alignment vertical="top"/>
    </xf>
    <xf numFmtId="0" fontId="3" fillId="23" borderId="159" xfId="6" applyFont="1" applyFill="1" applyBorder="1" applyAlignment="1" applyProtection="1">
      <alignment vertical="top" wrapText="1"/>
    </xf>
    <xf numFmtId="0" fontId="3" fillId="23" borderId="159" xfId="6" applyFont="1" applyFill="1" applyBorder="1" applyAlignment="1" applyProtection="1">
      <alignment vertical="center" wrapText="1"/>
    </xf>
    <xf numFmtId="0" fontId="3" fillId="10" borderId="58" xfId="0" applyFont="1" applyFill="1" applyBorder="1" applyAlignment="1" applyProtection="1">
      <alignment horizontal="center"/>
    </xf>
    <xf numFmtId="0" fontId="5" fillId="23" borderId="15" xfId="0" applyFont="1" applyFill="1" applyBorder="1" applyAlignment="1" applyProtection="1">
      <alignment horizontal="left" vertical="center" wrapText="1"/>
    </xf>
    <xf numFmtId="3" fontId="2" fillId="23" borderId="50" xfId="0" applyNumberFormat="1" applyFont="1" applyFill="1" applyBorder="1" applyAlignment="1" applyProtection="1">
      <alignment horizontal="right"/>
    </xf>
    <xf numFmtId="3" fontId="18" fillId="23" borderId="7" xfId="0" applyNumberFormat="1" applyFont="1" applyFill="1" applyBorder="1" applyProtection="1"/>
    <xf numFmtId="3" fontId="47" fillId="23" borderId="5" xfId="0" applyNumberFormat="1" applyFont="1" applyFill="1" applyBorder="1" applyProtection="1"/>
    <xf numFmtId="3" fontId="104" fillId="23" borderId="5" xfId="0" applyNumberFormat="1" applyFont="1" applyFill="1" applyBorder="1" applyProtection="1"/>
    <xf numFmtId="3" fontId="104" fillId="23" borderId="6" xfId="0" applyNumberFormat="1" applyFont="1" applyFill="1" applyBorder="1" applyProtection="1"/>
    <xf numFmtId="0" fontId="2" fillId="23" borderId="7" xfId="0" applyFont="1" applyFill="1" applyBorder="1" applyAlignment="1" applyProtection="1">
      <alignment vertical="top"/>
    </xf>
    <xf numFmtId="0" fontId="2" fillId="23" borderId="5" xfId="0" applyFont="1" applyFill="1" applyBorder="1" applyAlignment="1" applyProtection="1">
      <alignment vertical="top"/>
    </xf>
    <xf numFmtId="0" fontId="2" fillId="23" borderId="6" xfId="0" applyFont="1" applyFill="1" applyBorder="1" applyAlignment="1" applyProtection="1">
      <alignment vertical="top"/>
    </xf>
    <xf numFmtId="0" fontId="21" fillId="23" borderId="0" xfId="0" applyFont="1" applyFill="1" applyBorder="1" applyProtection="1"/>
    <xf numFmtId="0" fontId="21" fillId="23" borderId="15" xfId="0" applyFont="1" applyFill="1" applyBorder="1" applyProtection="1"/>
    <xf numFmtId="0" fontId="4" fillId="23" borderId="15" xfId="0" applyFont="1" applyFill="1" applyBorder="1" applyProtection="1"/>
    <xf numFmtId="0" fontId="4" fillId="23" borderId="168" xfId="0" applyFont="1" applyFill="1" applyBorder="1" applyProtection="1"/>
    <xf numFmtId="0" fontId="8" fillId="23" borderId="218" xfId="0" applyFont="1" applyFill="1" applyBorder="1" applyAlignment="1" applyProtection="1">
      <alignment horizontal="left"/>
    </xf>
    <xf numFmtId="0" fontId="8" fillId="23" borderId="66" xfId="0" applyFont="1" applyFill="1" applyBorder="1" applyAlignment="1" applyProtection="1">
      <alignment horizontal="left"/>
    </xf>
    <xf numFmtId="0" fontId="3" fillId="23" borderId="66" xfId="0" applyFont="1" applyFill="1" applyBorder="1" applyAlignment="1" applyProtection="1">
      <alignment horizontal="left"/>
    </xf>
    <xf numFmtId="0" fontId="35" fillId="23" borderId="177" xfId="0" applyFont="1" applyFill="1" applyBorder="1" applyAlignment="1" applyProtection="1">
      <alignment horizontal="left" vertical="top" wrapText="1"/>
    </xf>
    <xf numFmtId="0" fontId="2" fillId="23" borderId="106" xfId="0" applyFont="1" applyFill="1" applyBorder="1" applyAlignment="1" applyProtection="1">
      <alignment vertical="top"/>
    </xf>
    <xf numFmtId="0" fontId="2" fillId="23" borderId="70" xfId="0" applyFont="1" applyFill="1" applyBorder="1" applyAlignment="1" applyProtection="1">
      <alignment vertical="top"/>
    </xf>
    <xf numFmtId="0" fontId="2" fillId="23" borderId="71" xfId="0" applyFont="1" applyFill="1" applyBorder="1" applyAlignment="1" applyProtection="1">
      <alignment vertical="top"/>
    </xf>
    <xf numFmtId="3" fontId="50" fillId="23" borderId="7" xfId="0" applyNumberFormat="1" applyFont="1" applyFill="1" applyBorder="1" applyProtection="1"/>
    <xf numFmtId="3" fontId="47" fillId="23" borderId="8" xfId="0" applyNumberFormat="1" applyFont="1" applyFill="1" applyBorder="1" applyProtection="1"/>
    <xf numFmtId="3" fontId="104" fillId="23" borderId="8" xfId="0" applyNumberFormat="1" applyFont="1" applyFill="1" applyBorder="1" applyProtection="1"/>
    <xf numFmtId="3" fontId="104" fillId="23" borderId="92" xfId="0" applyNumberFormat="1" applyFont="1" applyFill="1" applyBorder="1" applyProtection="1"/>
    <xf numFmtId="3" fontId="47" fillId="23" borderId="7" xfId="0" applyNumberFormat="1" applyFont="1" applyFill="1" applyBorder="1" applyProtection="1"/>
    <xf numFmtId="3" fontId="2" fillId="23" borderId="7" xfId="0" applyNumberFormat="1" applyFont="1" applyFill="1" applyBorder="1" applyAlignment="1" applyProtection="1">
      <alignment vertical="top"/>
    </xf>
    <xf numFmtId="3" fontId="45" fillId="23" borderId="29" xfId="0" applyNumberFormat="1" applyFont="1" applyFill="1" applyBorder="1" applyAlignment="1" applyProtection="1">
      <alignment vertical="top" wrapText="1"/>
    </xf>
    <xf numFmtId="3" fontId="2" fillId="23" borderId="46" xfId="0" applyNumberFormat="1" applyFont="1" applyFill="1" applyBorder="1" applyAlignment="1" applyProtection="1">
      <alignment horizontal="right"/>
    </xf>
    <xf numFmtId="3" fontId="45" fillId="23" borderId="146" xfId="0" applyNumberFormat="1" applyFont="1" applyFill="1" applyBorder="1" applyAlignment="1" applyProtection="1">
      <alignment vertical="top" wrapText="1"/>
    </xf>
    <xf numFmtId="167" fontId="44" fillId="23" borderId="158" xfId="0" applyNumberFormat="1" applyFont="1" applyFill="1" applyBorder="1" applyProtection="1"/>
    <xf numFmtId="3" fontId="10" fillId="23" borderId="7" xfId="0" applyNumberFormat="1" applyFont="1" applyFill="1" applyBorder="1" applyAlignment="1" applyProtection="1">
      <alignment vertical="top"/>
      <protection locked="0"/>
    </xf>
    <xf numFmtId="3" fontId="10" fillId="23" borderId="5" xfId="0" applyNumberFormat="1" applyFont="1" applyFill="1" applyBorder="1" applyAlignment="1" applyProtection="1">
      <alignment vertical="top"/>
      <protection locked="0"/>
    </xf>
    <xf numFmtId="3" fontId="10" fillId="23" borderId="6" xfId="0" applyNumberFormat="1" applyFont="1" applyFill="1" applyBorder="1" applyAlignment="1" applyProtection="1">
      <alignment vertical="top"/>
      <protection locked="0"/>
    </xf>
    <xf numFmtId="0" fontId="2" fillId="23" borderId="5" xfId="0" applyFont="1" applyFill="1" applyBorder="1" applyAlignment="1" applyProtection="1">
      <alignment vertical="top"/>
      <protection locked="0"/>
    </xf>
    <xf numFmtId="0" fontId="2" fillId="23" borderId="6" xfId="0" applyFont="1" applyFill="1" applyBorder="1" applyAlignment="1" applyProtection="1">
      <alignment vertical="top"/>
      <protection locked="0"/>
    </xf>
    <xf numFmtId="0" fontId="2" fillId="23" borderId="161" xfId="0" applyFont="1" applyFill="1" applyBorder="1" applyAlignment="1" applyProtection="1">
      <alignment vertical="top"/>
      <protection locked="0"/>
    </xf>
    <xf numFmtId="0" fontId="2" fillId="23" borderId="68" xfId="0" applyFont="1" applyFill="1" applyBorder="1" applyAlignment="1" applyProtection="1">
      <alignment vertical="top"/>
      <protection locked="0"/>
    </xf>
    <xf numFmtId="0" fontId="2" fillId="23" borderId="94" xfId="0" applyFont="1" applyFill="1" applyBorder="1" applyAlignment="1" applyProtection="1">
      <alignment vertical="top"/>
      <protection locked="0"/>
    </xf>
    <xf numFmtId="3" fontId="18" fillId="23" borderId="14" xfId="0" applyNumberFormat="1" applyFont="1" applyFill="1" applyBorder="1" applyProtection="1"/>
    <xf numFmtId="3" fontId="47" fillId="23" borderId="17" xfId="0" applyNumberFormat="1" applyFont="1" applyFill="1" applyBorder="1" applyProtection="1"/>
    <xf numFmtId="3" fontId="104" fillId="23" borderId="17" xfId="0" applyNumberFormat="1" applyFont="1" applyFill="1" applyBorder="1" applyProtection="1"/>
    <xf numFmtId="3" fontId="104" fillId="23" borderId="165" xfId="0" applyNumberFormat="1" applyFont="1" applyFill="1" applyBorder="1" applyProtection="1"/>
    <xf numFmtId="3" fontId="2" fillId="23" borderId="7" xfId="0" applyNumberFormat="1" applyFont="1" applyFill="1" applyBorder="1" applyAlignment="1" applyProtection="1">
      <alignment vertical="top"/>
      <protection locked="0"/>
    </xf>
    <xf numFmtId="0" fontId="16" fillId="23" borderId="94" xfId="0" applyFont="1" applyFill="1" applyBorder="1" applyAlignment="1" applyProtection="1">
      <alignment wrapText="1"/>
    </xf>
    <xf numFmtId="0" fontId="9" fillId="23" borderId="197" xfId="0" applyFont="1" applyFill="1" applyBorder="1" applyProtection="1"/>
    <xf numFmtId="3" fontId="136" fillId="23" borderId="7" xfId="0" applyNumberFormat="1" applyFont="1" applyFill="1" applyBorder="1" applyProtection="1"/>
    <xf numFmtId="3" fontId="138" fillId="23" borderId="5" xfId="0" applyNumberFormat="1" applyFont="1" applyFill="1" applyBorder="1" applyProtection="1"/>
    <xf numFmtId="3" fontId="25" fillId="23" borderId="5" xfId="0" applyNumberFormat="1" applyFont="1" applyFill="1" applyBorder="1" applyProtection="1"/>
    <xf numFmtId="3" fontId="48" fillId="23" borderId="161" xfId="0" applyNumberFormat="1" applyFont="1" applyFill="1" applyBorder="1" applyProtection="1"/>
    <xf numFmtId="3" fontId="48" fillId="23" borderId="128" xfId="0" applyNumberFormat="1" applyFont="1" applyFill="1" applyBorder="1" applyProtection="1"/>
    <xf numFmtId="9" fontId="48" fillId="23" borderId="94" xfId="0" applyNumberFormat="1" applyFont="1" applyFill="1" applyBorder="1" applyProtection="1"/>
    <xf numFmtId="3" fontId="2" fillId="23" borderId="46" xfId="0" applyNumberFormat="1" applyFont="1" applyFill="1" applyBorder="1" applyAlignment="1" applyProtection="1">
      <alignment horizontal="right" vertical="top" wrapText="1"/>
    </xf>
    <xf numFmtId="3" fontId="45" fillId="23" borderId="22" xfId="0" applyNumberFormat="1" applyFont="1" applyFill="1" applyBorder="1" applyAlignment="1" applyProtection="1">
      <alignment vertical="top"/>
    </xf>
    <xf numFmtId="0" fontId="9" fillId="23" borderId="5" xfId="0" applyFont="1" applyFill="1" applyBorder="1" applyAlignment="1" applyProtection="1">
      <alignment vertical="top"/>
    </xf>
    <xf numFmtId="0" fontId="9" fillId="23" borderId="6" xfId="0" applyFont="1" applyFill="1" applyBorder="1" applyAlignment="1" applyProtection="1">
      <alignment vertical="top"/>
    </xf>
    <xf numFmtId="3" fontId="3" fillId="23" borderId="133" xfId="0" applyNumberFormat="1" applyFont="1" applyFill="1" applyBorder="1" applyProtection="1"/>
    <xf numFmtId="3" fontId="3" fillId="23" borderId="212" xfId="0" applyNumberFormat="1" applyFont="1" applyFill="1" applyBorder="1" applyProtection="1"/>
    <xf numFmtId="0" fontId="7" fillId="23" borderId="0" xfId="0" applyFont="1" applyFill="1" applyBorder="1" applyAlignment="1" applyProtection="1">
      <alignment vertical="top" wrapText="1"/>
    </xf>
    <xf numFmtId="0" fontId="49" fillId="23" borderId="44" xfId="0" applyFont="1" applyFill="1" applyBorder="1" applyAlignment="1" applyProtection="1">
      <alignment vertical="center"/>
    </xf>
    <xf numFmtId="3" fontId="48" fillId="23" borderId="16" xfId="0" applyNumberFormat="1" applyFont="1" applyFill="1" applyBorder="1" applyProtection="1"/>
    <xf numFmtId="3" fontId="48" fillId="23" borderId="68" xfId="0" applyNumberFormat="1" applyFont="1" applyFill="1" applyBorder="1" applyProtection="1"/>
    <xf numFmtId="0" fontId="9" fillId="23" borderId="7" xfId="0" applyFont="1" applyFill="1" applyBorder="1" applyAlignment="1" applyProtection="1">
      <alignment vertical="top"/>
    </xf>
    <xf numFmtId="3" fontId="145" fillId="3" borderId="63" xfId="0" applyNumberFormat="1" applyFont="1" applyFill="1" applyBorder="1" applyAlignment="1" applyProtection="1">
      <alignment horizontal="right"/>
    </xf>
    <xf numFmtId="3" fontId="145" fillId="3" borderId="215" xfId="0" applyNumberFormat="1" applyFont="1" applyFill="1" applyBorder="1" applyAlignment="1" applyProtection="1">
      <alignment horizontal="right"/>
    </xf>
    <xf numFmtId="3" fontId="3" fillId="0" borderId="0" xfId="0" applyNumberFormat="1" applyFont="1" applyFill="1" applyBorder="1" applyAlignment="1" applyProtection="1">
      <alignment horizontal="center"/>
    </xf>
    <xf numFmtId="3" fontId="5" fillId="0" borderId="0" xfId="0" applyNumberFormat="1" applyFont="1" applyFill="1" applyBorder="1" applyAlignment="1" applyProtection="1"/>
    <xf numFmtId="3" fontId="8" fillId="0" borderId="0" xfId="0" applyNumberFormat="1" applyFont="1" applyFill="1" applyBorder="1" applyAlignment="1" applyProtection="1"/>
    <xf numFmtId="3" fontId="8" fillId="23" borderId="12" xfId="0" applyNumberFormat="1" applyFont="1" applyFill="1" applyBorder="1" applyAlignment="1" applyProtection="1"/>
    <xf numFmtId="1" fontId="8" fillId="23" borderId="35" xfId="0" applyNumberFormat="1" applyFont="1" applyFill="1" applyBorder="1" applyAlignment="1" applyProtection="1">
      <alignment horizontal="center"/>
    </xf>
    <xf numFmtId="1" fontId="3" fillId="23" borderId="35" xfId="0" applyNumberFormat="1" applyFont="1" applyFill="1" applyBorder="1" applyAlignment="1" applyProtection="1">
      <alignment horizontal="left"/>
    </xf>
    <xf numFmtId="3" fontId="13" fillId="2" borderId="64" xfId="0" applyNumberFormat="1" applyFont="1" applyFill="1" applyBorder="1" applyAlignment="1" applyProtection="1">
      <alignment horizontal="right"/>
      <protection locked="0"/>
    </xf>
    <xf numFmtId="0" fontId="137" fillId="0" borderId="0" xfId="0" applyFont="1" applyFill="1" applyProtection="1"/>
    <xf numFmtId="3" fontId="39" fillId="0" borderId="0" xfId="0" applyNumberFormat="1" applyFont="1" applyFill="1" applyBorder="1" applyAlignment="1" applyProtection="1">
      <alignment horizontal="left"/>
    </xf>
    <xf numFmtId="0" fontId="137" fillId="0" borderId="0" xfId="0" applyFont="1" applyFill="1" applyBorder="1" applyProtection="1"/>
    <xf numFmtId="0" fontId="137" fillId="2" borderId="0" xfId="0" applyFont="1" applyFill="1" applyBorder="1" applyProtection="1"/>
    <xf numFmtId="3" fontId="137" fillId="2" borderId="0" xfId="0" applyNumberFormat="1" applyFont="1" applyFill="1" applyBorder="1" applyProtection="1"/>
    <xf numFmtId="3" fontId="2" fillId="23" borderId="45" xfId="0" applyNumberFormat="1" applyFont="1" applyFill="1" applyBorder="1" applyProtection="1"/>
    <xf numFmtId="3" fontId="2" fillId="23" borderId="93" xfId="0" applyNumberFormat="1" applyFont="1" applyFill="1" applyBorder="1" applyProtection="1"/>
    <xf numFmtId="0" fontId="24" fillId="23" borderId="5" xfId="0" applyFont="1" applyFill="1" applyBorder="1" applyProtection="1"/>
    <xf numFmtId="0" fontId="1" fillId="23" borderId="5" xfId="0" applyFont="1" applyFill="1" applyBorder="1" applyProtection="1"/>
    <xf numFmtId="3" fontId="2" fillId="24" borderId="72" xfId="0" applyNumberFormat="1" applyFont="1" applyFill="1" applyBorder="1" applyAlignment="1" applyProtection="1">
      <alignment horizontal="right"/>
    </xf>
    <xf numFmtId="3" fontId="146" fillId="23" borderId="5" xfId="0" applyNumberFormat="1" applyFont="1" applyFill="1" applyBorder="1" applyAlignment="1" applyProtection="1"/>
    <xf numFmtId="9" fontId="146" fillId="23" borderId="5" xfId="0" applyNumberFormat="1" applyFont="1" applyFill="1" applyBorder="1" applyAlignment="1" applyProtection="1"/>
    <xf numFmtId="3" fontId="48" fillId="25" borderId="138" xfId="0" applyNumberFormat="1" applyFont="1" applyFill="1" applyBorder="1" applyProtection="1"/>
    <xf numFmtId="3" fontId="37" fillId="2" borderId="0" xfId="0" applyNumberFormat="1" applyFont="1" applyFill="1" applyAlignment="1" applyProtection="1">
      <alignment vertical="top" wrapText="1"/>
    </xf>
    <xf numFmtId="9" fontId="0" fillId="0" borderId="0" xfId="0" applyNumberFormat="1"/>
    <xf numFmtId="0" fontId="141" fillId="0" borderId="0" xfId="0" applyFont="1" applyFill="1" applyProtection="1"/>
    <xf numFmtId="3" fontId="99" fillId="2" borderId="1" xfId="10" applyNumberFormat="1" applyFont="1" applyFill="1" applyBorder="1" applyAlignment="1" applyProtection="1"/>
    <xf numFmtId="0" fontId="3" fillId="23" borderId="25" xfId="6" applyFont="1" applyFill="1" applyBorder="1" applyProtection="1"/>
    <xf numFmtId="0" fontId="37" fillId="23" borderId="175" xfId="0" applyFont="1" applyFill="1" applyBorder="1" applyAlignment="1" applyProtection="1">
      <alignment wrapText="1"/>
    </xf>
    <xf numFmtId="0" fontId="37" fillId="23" borderId="160" xfId="0" applyFont="1" applyFill="1" applyBorder="1" applyProtection="1"/>
    <xf numFmtId="3" fontId="136" fillId="0" borderId="0" xfId="0" applyNumberFormat="1" applyFont="1" applyFill="1" applyBorder="1" applyAlignment="1" applyProtection="1">
      <alignment vertical="top"/>
    </xf>
    <xf numFmtId="3" fontId="2" fillId="0" borderId="18" xfId="0" applyNumberFormat="1" applyFont="1" applyFill="1" applyBorder="1" applyProtection="1">
      <protection locked="0"/>
    </xf>
    <xf numFmtId="3" fontId="9" fillId="0" borderId="0" xfId="0" applyNumberFormat="1" applyFont="1" applyFill="1" applyBorder="1" applyProtection="1">
      <protection locked="0"/>
    </xf>
    <xf numFmtId="3" fontId="2" fillId="0" borderId="0" xfId="0" applyNumberFormat="1" applyFont="1" applyFill="1" applyBorder="1" applyAlignment="1" applyProtection="1">
      <alignment horizontal="right"/>
      <protection locked="0"/>
    </xf>
    <xf numFmtId="49" fontId="3" fillId="23" borderId="219" xfId="0" applyNumberFormat="1" applyFont="1" applyFill="1" applyBorder="1" applyAlignment="1" applyProtection="1">
      <alignment horizontal="left"/>
    </xf>
    <xf numFmtId="0" fontId="55" fillId="2" borderId="169" xfId="0" applyFont="1" applyFill="1" applyBorder="1" applyProtection="1"/>
    <xf numFmtId="0" fontId="55" fillId="2" borderId="167" xfId="0" applyFont="1" applyFill="1" applyBorder="1" applyProtection="1"/>
    <xf numFmtId="3" fontId="2" fillId="2" borderId="43" xfId="0" applyNumberFormat="1" applyFont="1" applyFill="1" applyBorder="1" applyAlignment="1" applyProtection="1">
      <alignment horizontal="right"/>
      <protection locked="0"/>
    </xf>
    <xf numFmtId="0" fontId="0" fillId="2" borderId="57" xfId="0" applyFill="1" applyBorder="1" applyProtection="1"/>
    <xf numFmtId="0" fontId="2" fillId="0" borderId="0" xfId="0" applyFont="1" applyBorder="1" applyAlignment="1" applyProtection="1">
      <alignment wrapText="1"/>
      <protection locked="0"/>
    </xf>
    <xf numFmtId="0" fontId="55" fillId="2" borderId="1" xfId="0" applyFont="1" applyFill="1" applyBorder="1" applyProtection="1"/>
    <xf numFmtId="0" fontId="0" fillId="2" borderId="62" xfId="0" applyFill="1" applyBorder="1" applyProtection="1"/>
    <xf numFmtId="49" fontId="3" fillId="0" borderId="210" xfId="0" applyNumberFormat="1" applyFont="1" applyFill="1" applyBorder="1" applyAlignment="1" applyProtection="1">
      <alignment horizontal="center"/>
    </xf>
    <xf numFmtId="0" fontId="55" fillId="2" borderId="43" xfId="0" applyFont="1" applyFill="1" applyBorder="1" applyProtection="1"/>
    <xf numFmtId="0" fontId="0" fillId="33" borderId="0" xfId="0" applyFill="1" applyBorder="1" applyProtection="1"/>
    <xf numFmtId="3" fontId="2" fillId="9" borderId="85" xfId="0" applyNumberFormat="1" applyFont="1" applyFill="1" applyBorder="1" applyProtection="1"/>
    <xf numFmtId="3" fontId="13" fillId="2" borderId="35" xfId="0" applyNumberFormat="1" applyFont="1" applyFill="1" applyBorder="1" applyAlignment="1" applyProtection="1">
      <alignment horizontal="right"/>
      <protection locked="0"/>
    </xf>
    <xf numFmtId="3" fontId="13" fillId="2" borderId="40" xfId="0" applyNumberFormat="1" applyFont="1" applyFill="1" applyBorder="1" applyAlignment="1" applyProtection="1">
      <alignment horizontal="right"/>
      <protection locked="0"/>
    </xf>
    <xf numFmtId="0" fontId="3" fillId="23" borderId="133" xfId="0" applyFont="1" applyFill="1" applyBorder="1" applyAlignment="1" applyProtection="1">
      <alignment horizontal="center"/>
    </xf>
    <xf numFmtId="3" fontId="2" fillId="0" borderId="36" xfId="0" applyNumberFormat="1" applyFont="1" applyFill="1" applyBorder="1" applyProtection="1"/>
    <xf numFmtId="0" fontId="136" fillId="2" borderId="0" xfId="0" applyFont="1" applyFill="1" applyBorder="1" applyProtection="1"/>
    <xf numFmtId="165" fontId="5" fillId="23" borderId="147" xfId="0" applyNumberFormat="1" applyFont="1" applyFill="1" applyBorder="1" applyAlignment="1" applyProtection="1">
      <alignment horizontal="left"/>
    </xf>
    <xf numFmtId="3" fontId="13" fillId="2" borderId="107" xfId="0" applyNumberFormat="1" applyFont="1" applyFill="1" applyBorder="1" applyAlignment="1" applyProtection="1">
      <alignment horizontal="right"/>
      <protection locked="0"/>
    </xf>
    <xf numFmtId="165" fontId="5" fillId="23" borderId="95" xfId="0" applyNumberFormat="1" applyFont="1" applyFill="1" applyBorder="1" applyAlignment="1" applyProtection="1">
      <alignment horizontal="left"/>
    </xf>
    <xf numFmtId="165" fontId="3" fillId="23" borderId="56" xfId="0" applyNumberFormat="1" applyFont="1" applyFill="1" applyBorder="1" applyAlignment="1" applyProtection="1">
      <alignment horizontal="left"/>
    </xf>
    <xf numFmtId="0" fontId="3" fillId="23" borderId="34" xfId="0" applyNumberFormat="1" applyFont="1" applyFill="1" applyBorder="1" applyAlignment="1" applyProtection="1">
      <alignment horizontal="center"/>
    </xf>
    <xf numFmtId="49" fontId="3" fillId="23" borderId="35" xfId="0" applyNumberFormat="1" applyFont="1" applyFill="1" applyBorder="1" applyAlignment="1" applyProtection="1">
      <alignment horizontal="center" wrapText="1"/>
    </xf>
    <xf numFmtId="3" fontId="2" fillId="9" borderId="26" xfId="0" applyNumberFormat="1" applyFont="1" applyFill="1" applyBorder="1" applyAlignment="1" applyProtection="1"/>
    <xf numFmtId="1" fontId="147" fillId="23" borderId="90" xfId="0" applyNumberFormat="1" applyFont="1" applyFill="1" applyBorder="1" applyAlignment="1" applyProtection="1">
      <alignment horizontal="left" vertical="top" wrapText="1"/>
    </xf>
    <xf numFmtId="0" fontId="3" fillId="23" borderId="204" xfId="0" applyFont="1" applyFill="1" applyBorder="1" applyAlignment="1" applyProtection="1">
      <alignment wrapText="1"/>
    </xf>
    <xf numFmtId="0" fontId="3" fillId="23" borderId="212" xfId="0" applyFont="1" applyFill="1" applyBorder="1" applyAlignment="1" applyProtection="1">
      <alignment horizontal="left" wrapText="1"/>
    </xf>
    <xf numFmtId="0" fontId="149" fillId="23" borderId="150" xfId="0" applyFont="1" applyFill="1" applyBorder="1" applyProtection="1"/>
    <xf numFmtId="3" fontId="2" fillId="3" borderId="114" xfId="0" applyNumberFormat="1" applyFont="1" applyFill="1" applyBorder="1" applyProtection="1"/>
    <xf numFmtId="3" fontId="2" fillId="3" borderId="7" xfId="0" applyNumberFormat="1" applyFont="1" applyFill="1" applyBorder="1" applyProtection="1"/>
    <xf numFmtId="3" fontId="10" fillId="2" borderId="6" xfId="0" quotePrefix="1" applyNumberFormat="1" applyFont="1" applyFill="1" applyBorder="1" applyAlignment="1" applyProtection="1">
      <alignment horizontal="right"/>
      <protection locked="0"/>
    </xf>
    <xf numFmtId="3" fontId="10" fillId="0" borderId="6" xfId="0" quotePrefix="1" applyNumberFormat="1" applyFont="1" applyFill="1" applyBorder="1" applyAlignment="1" applyProtection="1">
      <alignment horizontal="right"/>
      <protection locked="0"/>
    </xf>
    <xf numFmtId="3" fontId="2" fillId="9" borderId="177" xfId="0" applyNumberFormat="1" applyFont="1" applyFill="1" applyBorder="1" applyAlignment="1" applyProtection="1"/>
    <xf numFmtId="3" fontId="2" fillId="9" borderId="91" xfId="0" applyNumberFormat="1" applyFont="1" applyFill="1" applyBorder="1" applyAlignment="1" applyProtection="1"/>
    <xf numFmtId="0" fontId="3" fillId="0" borderId="0" xfId="0" applyFont="1" applyAlignment="1"/>
    <xf numFmtId="1" fontId="2" fillId="0" borderId="0" xfId="0" applyNumberFormat="1" applyFont="1" applyFill="1" applyBorder="1" applyAlignment="1" applyProtection="1">
      <alignment horizontal="left" vertical="top"/>
    </xf>
    <xf numFmtId="3" fontId="2" fillId="0" borderId="18" xfId="6" applyNumberFormat="1" applyFont="1" applyFill="1" applyBorder="1" applyAlignment="1" applyProtection="1">
      <alignment horizontal="right"/>
      <protection locked="0"/>
    </xf>
    <xf numFmtId="0" fontId="3" fillId="23" borderId="23" xfId="0" applyFont="1" applyFill="1" applyBorder="1" applyAlignment="1" applyProtection="1">
      <alignment horizontal="left" vertical="top" wrapText="1"/>
    </xf>
    <xf numFmtId="0" fontId="3" fillId="23" borderId="23" xfId="6" applyFont="1" applyFill="1" applyBorder="1" applyAlignment="1" applyProtection="1">
      <alignment horizontal="left" vertical="top" wrapText="1"/>
    </xf>
    <xf numFmtId="0" fontId="2" fillId="0" borderId="0" xfId="0" quotePrefix="1" applyFont="1" applyFill="1" applyBorder="1" applyAlignment="1" applyProtection="1">
      <alignment vertical="top"/>
    </xf>
    <xf numFmtId="49" fontId="3" fillId="23" borderId="0" xfId="6" applyNumberFormat="1" applyFont="1" applyFill="1" applyBorder="1" applyAlignment="1" applyProtection="1">
      <alignment horizontal="center"/>
    </xf>
    <xf numFmtId="0" fontId="3" fillId="23" borderId="36" xfId="6" applyFont="1" applyFill="1" applyBorder="1" applyAlignment="1" applyProtection="1">
      <alignment horizontal="left" vertical="top" wrapText="1"/>
    </xf>
    <xf numFmtId="0" fontId="5" fillId="23" borderId="15" xfId="6" applyFont="1" applyFill="1" applyBorder="1" applyProtection="1"/>
    <xf numFmtId="0" fontId="3" fillId="23" borderId="42" xfId="6" applyFont="1" applyFill="1" applyBorder="1" applyProtection="1"/>
    <xf numFmtId="3" fontId="2" fillId="3" borderId="63" xfId="6" applyNumberFormat="1" applyFont="1" applyFill="1" applyBorder="1" applyAlignment="1" applyProtection="1">
      <alignment horizontal="right"/>
    </xf>
    <xf numFmtId="0" fontId="37" fillId="2" borderId="0" xfId="6" applyFont="1" applyFill="1" applyBorder="1" applyAlignment="1" applyProtection="1">
      <alignment horizontal="left" vertical="top"/>
    </xf>
    <xf numFmtId="3" fontId="2" fillId="3" borderId="84" xfId="6" applyNumberFormat="1" applyFont="1" applyFill="1" applyBorder="1" applyAlignment="1" applyProtection="1">
      <alignment horizontal="right"/>
    </xf>
    <xf numFmtId="0" fontId="5" fillId="23" borderId="118" xfId="6" applyFont="1" applyFill="1" applyBorder="1" applyAlignment="1" applyProtection="1">
      <alignment horizontal="left"/>
    </xf>
    <xf numFmtId="0" fontId="2" fillId="0" borderId="0" xfId="6" applyFont="1" applyFill="1" applyBorder="1" applyAlignment="1" applyProtection="1">
      <alignment vertical="top"/>
    </xf>
    <xf numFmtId="0" fontId="3" fillId="23" borderId="15" xfId="6" applyFont="1" applyFill="1" applyBorder="1" applyProtection="1"/>
    <xf numFmtId="3" fontId="2" fillId="0" borderId="2" xfId="6" applyNumberFormat="1" applyFont="1" applyFill="1" applyBorder="1" applyAlignment="1" applyProtection="1">
      <alignment horizontal="right"/>
      <protection locked="0"/>
    </xf>
    <xf numFmtId="3" fontId="2" fillId="0" borderId="15" xfId="6" applyNumberFormat="1" applyFont="1" applyFill="1" applyBorder="1" applyAlignment="1" applyProtection="1">
      <alignment horizontal="right"/>
      <protection locked="0"/>
    </xf>
    <xf numFmtId="3" fontId="2" fillId="0" borderId="60" xfId="6" applyNumberFormat="1" applyFont="1" applyFill="1" applyBorder="1" applyAlignment="1" applyProtection="1">
      <alignment horizontal="right"/>
      <protection locked="0"/>
    </xf>
    <xf numFmtId="0" fontId="1" fillId="2" borderId="0" xfId="6" applyFont="1" applyFill="1" applyAlignment="1" applyProtection="1">
      <alignment vertical="top"/>
    </xf>
    <xf numFmtId="3" fontId="37" fillId="2" borderId="0" xfId="6" applyNumberFormat="1" applyFont="1" applyFill="1" applyAlignment="1" applyProtection="1">
      <alignment vertical="top"/>
    </xf>
    <xf numFmtId="0" fontId="74" fillId="2" borderId="0" xfId="6" applyFont="1" applyFill="1" applyAlignment="1" applyProtection="1">
      <alignment vertical="top"/>
    </xf>
    <xf numFmtId="0" fontId="24" fillId="2" borderId="0" xfId="6" applyFill="1" applyBorder="1" applyAlignment="1" applyProtection="1">
      <alignment horizontal="left" vertical="top"/>
    </xf>
    <xf numFmtId="0" fontId="24" fillId="2" borderId="0" xfId="6" applyFill="1" applyAlignment="1" applyProtection="1">
      <alignment vertical="top"/>
    </xf>
    <xf numFmtId="0" fontId="75" fillId="2" borderId="0" xfId="6" applyFont="1" applyFill="1" applyAlignment="1" applyProtection="1">
      <alignment vertical="top"/>
    </xf>
    <xf numFmtId="3" fontId="3" fillId="23" borderId="20" xfId="0" applyNumberFormat="1" applyFont="1" applyFill="1" applyBorder="1" applyAlignment="1" applyProtection="1">
      <alignment horizontal="center"/>
    </xf>
    <xf numFmtId="3" fontId="3" fillId="23" borderId="27" xfId="0" applyNumberFormat="1" applyFont="1" applyFill="1" applyBorder="1" applyAlignment="1" applyProtection="1">
      <alignment vertical="center" wrapText="1"/>
    </xf>
    <xf numFmtId="3" fontId="3" fillId="23" borderId="57" xfId="0" applyNumberFormat="1" applyFont="1" applyFill="1" applyBorder="1" applyAlignment="1" applyProtection="1">
      <alignment vertical="center" wrapText="1"/>
    </xf>
    <xf numFmtId="3" fontId="2" fillId="23" borderId="35" xfId="6" applyNumberFormat="1" applyFont="1" applyFill="1" applyBorder="1" applyProtection="1"/>
    <xf numFmtId="3" fontId="3" fillId="23" borderId="159" xfId="6" applyNumberFormat="1" applyFont="1" applyFill="1" applyBorder="1" applyProtection="1"/>
    <xf numFmtId="0" fontId="7" fillId="23" borderId="176" xfId="6" applyFont="1" applyFill="1" applyBorder="1" applyProtection="1"/>
    <xf numFmtId="3" fontId="2" fillId="23" borderId="5" xfId="6" applyNumberFormat="1" applyFont="1" applyFill="1" applyBorder="1" applyProtection="1"/>
    <xf numFmtId="3" fontId="45" fillId="23" borderId="39" xfId="6" applyNumberFormat="1" applyFont="1" applyFill="1" applyBorder="1" applyAlignment="1" applyProtection="1">
      <alignment horizontal="right"/>
    </xf>
    <xf numFmtId="167" fontId="44" fillId="23" borderId="150" xfId="6" applyNumberFormat="1" applyFont="1" applyFill="1" applyBorder="1" applyProtection="1"/>
    <xf numFmtId="167" fontId="44" fillId="23" borderId="196" xfId="6" applyNumberFormat="1" applyFont="1" applyFill="1" applyBorder="1" applyProtection="1"/>
    <xf numFmtId="0" fontId="3" fillId="23" borderId="157" xfId="6" applyFont="1" applyFill="1" applyBorder="1" applyProtection="1"/>
    <xf numFmtId="3" fontId="5" fillId="23" borderId="111" xfId="6" applyNumberFormat="1" applyFont="1" applyFill="1" applyBorder="1" applyAlignment="1" applyProtection="1">
      <alignment vertical="top"/>
    </xf>
    <xf numFmtId="3" fontId="3" fillId="23" borderId="0" xfId="6" applyNumberFormat="1" applyFont="1" applyFill="1" applyBorder="1" applyAlignment="1" applyProtection="1">
      <alignment vertical="top"/>
    </xf>
    <xf numFmtId="167" fontId="3" fillId="23" borderId="1" xfId="6" applyNumberFormat="1" applyFont="1" applyFill="1" applyBorder="1" applyProtection="1"/>
    <xf numFmtId="3" fontId="2" fillId="23" borderId="68" xfId="6" applyNumberFormat="1" applyFont="1" applyFill="1" applyBorder="1" applyProtection="1"/>
    <xf numFmtId="3" fontId="48" fillId="23" borderId="35" xfId="6" applyNumberFormat="1" applyFont="1" applyFill="1" applyBorder="1" applyProtection="1"/>
    <xf numFmtId="3" fontId="3" fillId="23" borderId="173" xfId="6" applyNumberFormat="1" applyFont="1" applyFill="1" applyBorder="1" applyAlignment="1" applyProtection="1">
      <alignment vertical="top" wrapText="1"/>
    </xf>
    <xf numFmtId="0" fontId="3" fillId="23" borderId="169" xfId="6" applyFont="1" applyFill="1" applyBorder="1" applyAlignment="1" applyProtection="1">
      <alignment vertical="top" wrapText="1"/>
    </xf>
    <xf numFmtId="3" fontId="3" fillId="23" borderId="159" xfId="6" applyNumberFormat="1" applyFont="1" applyFill="1" applyBorder="1" applyAlignment="1" applyProtection="1">
      <alignment vertical="center"/>
    </xf>
    <xf numFmtId="0" fontId="3" fillId="23" borderId="16" xfId="6" applyFont="1" applyFill="1" applyBorder="1" applyAlignment="1" applyProtection="1">
      <alignment horizontal="left" vertical="center"/>
    </xf>
    <xf numFmtId="0" fontId="3" fillId="23" borderId="16" xfId="6" applyFont="1" applyFill="1" applyBorder="1" applyAlignment="1" applyProtection="1">
      <alignment vertical="top"/>
    </xf>
    <xf numFmtId="3" fontId="2" fillId="23" borderId="15" xfId="6" applyNumberFormat="1" applyFont="1" applyFill="1" applyBorder="1" applyProtection="1"/>
    <xf numFmtId="3" fontId="2" fillId="23" borderId="13" xfId="6" applyNumberFormat="1" applyFont="1" applyFill="1" applyBorder="1" applyProtection="1"/>
    <xf numFmtId="0" fontId="3" fillId="23" borderId="195" xfId="0" applyFont="1" applyFill="1" applyBorder="1" applyAlignment="1" applyProtection="1"/>
    <xf numFmtId="3" fontId="3" fillId="23" borderId="157" xfId="0" applyNumberFormat="1" applyFont="1" applyFill="1" applyBorder="1" applyAlignment="1" applyProtection="1"/>
    <xf numFmtId="3" fontId="3" fillId="23" borderId="159" xfId="0" applyNumberFormat="1" applyFont="1" applyFill="1" applyBorder="1" applyAlignment="1" applyProtection="1"/>
    <xf numFmtId="0" fontId="0" fillId="2" borderId="0" xfId="0" applyFill="1" applyAlignment="1" applyProtection="1"/>
    <xf numFmtId="0" fontId="3" fillId="0" borderId="0" xfId="0" applyFont="1" applyFill="1" applyAlignment="1" applyProtection="1"/>
    <xf numFmtId="0" fontId="3" fillId="23" borderId="118" xfId="0" applyFont="1" applyFill="1" applyBorder="1" applyAlignment="1" applyProtection="1"/>
    <xf numFmtId="3" fontId="5" fillId="23" borderId="96" xfId="0" applyNumberFormat="1" applyFont="1" applyFill="1" applyBorder="1" applyAlignment="1" applyProtection="1"/>
    <xf numFmtId="0" fontId="5" fillId="23" borderId="157" xfId="6" applyFont="1" applyFill="1" applyBorder="1" applyAlignment="1" applyProtection="1"/>
    <xf numFmtId="3" fontId="2" fillId="3" borderId="5" xfId="0" applyNumberFormat="1" applyFont="1" applyFill="1" applyBorder="1" applyAlignment="1" applyProtection="1"/>
    <xf numFmtId="3" fontId="3" fillId="23" borderId="0" xfId="0" applyNumberFormat="1" applyFont="1" applyFill="1" applyBorder="1" applyAlignment="1" applyProtection="1"/>
    <xf numFmtId="3" fontId="3" fillId="23" borderId="57" xfId="0" applyNumberFormat="1" applyFont="1" applyFill="1" applyBorder="1" applyAlignment="1" applyProtection="1"/>
    <xf numFmtId="3" fontId="2" fillId="9" borderId="5" xfId="0" applyNumberFormat="1" applyFont="1" applyFill="1" applyBorder="1" applyAlignment="1" applyProtection="1"/>
    <xf numFmtId="0" fontId="3" fillId="23" borderId="56" xfId="0" applyFont="1" applyFill="1" applyBorder="1" applyAlignment="1" applyProtection="1"/>
    <xf numFmtId="0" fontId="3" fillId="23" borderId="111" xfId="6" applyFont="1" applyFill="1" applyBorder="1" applyAlignment="1" applyProtection="1"/>
    <xf numFmtId="0" fontId="3" fillId="23" borderId="62" xfId="6" applyFont="1" applyFill="1" applyBorder="1" applyAlignment="1" applyProtection="1"/>
    <xf numFmtId="0" fontId="0" fillId="33" borderId="0" xfId="0" applyFill="1" applyAlignment="1" applyProtection="1"/>
    <xf numFmtId="0" fontId="3" fillId="23" borderId="0" xfId="0" applyFont="1" applyFill="1" applyBorder="1" applyAlignment="1" applyProtection="1"/>
    <xf numFmtId="0" fontId="3" fillId="23" borderId="168" xfId="0" applyFont="1" applyFill="1" applyBorder="1" applyAlignment="1" applyProtection="1"/>
    <xf numFmtId="0" fontId="3" fillId="23" borderId="159" xfId="6" applyFont="1" applyFill="1" applyBorder="1" applyAlignment="1" applyProtection="1"/>
    <xf numFmtId="0" fontId="3" fillId="23" borderId="159" xfId="0" applyFont="1" applyFill="1" applyBorder="1" applyAlignment="1" applyProtection="1"/>
    <xf numFmtId="0" fontId="3" fillId="23" borderId="147" xfId="0" applyFont="1" applyFill="1" applyBorder="1" applyAlignment="1" applyProtection="1"/>
    <xf numFmtId="0" fontId="5" fillId="23" borderId="54" xfId="0" applyFont="1" applyFill="1" applyBorder="1" applyAlignment="1" applyProtection="1"/>
    <xf numFmtId="3" fontId="2" fillId="9" borderId="35" xfId="0" applyNumberFormat="1" applyFont="1" applyFill="1" applyBorder="1" applyAlignment="1" applyProtection="1"/>
    <xf numFmtId="3" fontId="2" fillId="9" borderId="136" xfId="0" applyNumberFormat="1" applyFont="1" applyFill="1" applyBorder="1" applyAlignment="1" applyProtection="1"/>
    <xf numFmtId="0" fontId="3" fillId="0" borderId="0" xfId="6" applyFont="1" applyBorder="1" applyAlignment="1" applyProtection="1"/>
    <xf numFmtId="0" fontId="24" fillId="0" borderId="0" xfId="6" applyBorder="1" applyAlignment="1" applyProtection="1"/>
    <xf numFmtId="0" fontId="3" fillId="23" borderId="5" xfId="0" applyFont="1" applyFill="1" applyBorder="1" applyAlignment="1" applyProtection="1"/>
    <xf numFmtId="0" fontId="5" fillId="23" borderId="5" xfId="0" applyFont="1" applyFill="1" applyBorder="1" applyAlignment="1" applyProtection="1"/>
    <xf numFmtId="0" fontId="3" fillId="23" borderId="107" xfId="0" applyFont="1" applyFill="1" applyBorder="1" applyAlignment="1" applyProtection="1"/>
    <xf numFmtId="0" fontId="5" fillId="23" borderId="55" xfId="0" applyFont="1" applyFill="1" applyBorder="1" applyAlignment="1" applyProtection="1"/>
    <xf numFmtId="3" fontId="2" fillId="9" borderId="2" xfId="0" applyNumberFormat="1" applyFont="1" applyFill="1" applyBorder="1" applyAlignment="1" applyProtection="1"/>
    <xf numFmtId="3" fontId="2" fillId="9" borderId="54" xfId="0" applyNumberFormat="1" applyFont="1" applyFill="1" applyBorder="1" applyAlignment="1" applyProtection="1"/>
    <xf numFmtId="0" fontId="3" fillId="23" borderId="2" xfId="0" applyFont="1" applyFill="1" applyBorder="1" applyAlignment="1" applyProtection="1"/>
    <xf numFmtId="0" fontId="5" fillId="23" borderId="2" xfId="0" applyFont="1" applyFill="1" applyBorder="1" applyAlignment="1" applyProtection="1"/>
    <xf numFmtId="0" fontId="3" fillId="23" borderId="25" xfId="0" applyFont="1" applyFill="1" applyBorder="1" applyAlignment="1" applyProtection="1"/>
    <xf numFmtId="0" fontId="5" fillId="23" borderId="13" xfId="0" applyFont="1" applyFill="1" applyBorder="1" applyAlignment="1" applyProtection="1"/>
    <xf numFmtId="0" fontId="5" fillId="23" borderId="15" xfId="0" applyFont="1" applyFill="1" applyBorder="1" applyAlignment="1" applyProtection="1"/>
    <xf numFmtId="0" fontId="10" fillId="0" borderId="0" xfId="0" applyFont="1" applyFill="1" applyBorder="1" applyAlignment="1" applyProtection="1"/>
    <xf numFmtId="0" fontId="24" fillId="0" borderId="0" xfId="0" applyFont="1" applyFill="1" applyAlignment="1" applyProtection="1"/>
    <xf numFmtId="0" fontId="24" fillId="0" borderId="0" xfId="0" applyFont="1" applyFill="1" applyBorder="1" applyAlignment="1" applyProtection="1"/>
    <xf numFmtId="0" fontId="1" fillId="23" borderId="176" xfId="0" applyFont="1" applyFill="1" applyBorder="1" applyAlignment="1">
      <alignment wrapText="1"/>
    </xf>
    <xf numFmtId="0" fontId="138" fillId="0" borderId="0" xfId="0" applyFont="1" applyAlignment="1">
      <alignment horizontal="left"/>
    </xf>
    <xf numFmtId="3" fontId="138" fillId="0" borderId="0" xfId="0" applyNumberFormat="1" applyFont="1" applyAlignment="1">
      <alignment horizontal="right"/>
    </xf>
    <xf numFmtId="0" fontId="150" fillId="0" borderId="0" xfId="0" applyFont="1"/>
    <xf numFmtId="1" fontId="3" fillId="23" borderId="89" xfId="0" applyNumberFormat="1" applyFont="1" applyFill="1" applyBorder="1" applyAlignment="1" applyProtection="1">
      <alignment horizontal="center" vertical="top" wrapText="1"/>
    </xf>
    <xf numFmtId="3" fontId="3" fillId="23" borderId="159" xfId="0" applyNumberFormat="1" applyFont="1" applyFill="1" applyBorder="1" applyAlignment="1" applyProtection="1">
      <alignment vertical="top"/>
    </xf>
    <xf numFmtId="0" fontId="2" fillId="0" borderId="67" xfId="6" applyFont="1" applyBorder="1" applyAlignment="1" applyProtection="1">
      <alignment vertical="top" wrapText="1"/>
    </xf>
    <xf numFmtId="3" fontId="45" fillId="0" borderId="0" xfId="6" applyNumberFormat="1" applyFont="1" applyFill="1" applyBorder="1" applyAlignment="1" applyProtection="1">
      <alignment horizontal="right"/>
    </xf>
    <xf numFmtId="0" fontId="0" fillId="0" borderId="0" xfId="0" applyAlignment="1" applyProtection="1">
      <alignment horizontal="right"/>
    </xf>
    <xf numFmtId="0" fontId="0" fillId="0" borderId="0" xfId="0" applyBorder="1" applyAlignment="1" applyProtection="1">
      <alignment horizontal="right"/>
    </xf>
    <xf numFmtId="3" fontId="45" fillId="0" borderId="0" xfId="6" quotePrefix="1" applyNumberFormat="1" applyFont="1" applyFill="1" applyBorder="1" applyAlignment="1" applyProtection="1"/>
    <xf numFmtId="3" fontId="45" fillId="0" borderId="0" xfId="6" quotePrefix="1" applyNumberFormat="1" applyFont="1" applyFill="1" applyBorder="1" applyAlignment="1" applyProtection="1">
      <alignment horizontal="right"/>
    </xf>
    <xf numFmtId="3" fontId="136" fillId="2" borderId="0" xfId="0" applyNumberFormat="1" applyFont="1" applyFill="1" applyProtection="1"/>
    <xf numFmtId="3" fontId="2" fillId="0" borderId="7" xfId="0" applyNumberFormat="1" applyFont="1" applyFill="1" applyBorder="1" applyAlignment="1" applyProtection="1">
      <alignment horizontal="right"/>
      <protection locked="0"/>
    </xf>
    <xf numFmtId="0" fontId="136" fillId="2" borderId="0" xfId="0" applyFont="1" applyFill="1" applyBorder="1" applyAlignment="1" applyProtection="1">
      <alignment horizontal="left"/>
    </xf>
    <xf numFmtId="0" fontId="136" fillId="2" borderId="0" xfId="0" applyFont="1" applyFill="1" applyBorder="1" applyAlignment="1" applyProtection="1"/>
    <xf numFmtId="49" fontId="7" fillId="2" borderId="0" xfId="0" applyNumberFormat="1" applyFont="1" applyFill="1" applyBorder="1" applyAlignment="1" applyProtection="1">
      <alignment vertical="top"/>
    </xf>
    <xf numFmtId="0" fontId="7" fillId="2" borderId="0" xfId="0" applyFont="1" applyFill="1" applyAlignment="1" applyProtection="1"/>
    <xf numFmtId="3" fontId="45" fillId="0" borderId="124" xfId="6" applyNumberFormat="1" applyFont="1" applyFill="1" applyBorder="1" applyAlignment="1" applyProtection="1">
      <alignment horizontal="right"/>
    </xf>
    <xf numFmtId="3" fontId="37" fillId="0" borderId="124" xfId="6" quotePrefix="1" applyNumberFormat="1" applyFont="1" applyFill="1" applyBorder="1" applyAlignment="1" applyProtection="1">
      <alignment horizontal="left"/>
    </xf>
    <xf numFmtId="0" fontId="2" fillId="0" borderId="58" xfId="0" applyFont="1" applyFill="1" applyBorder="1" applyAlignment="1" applyProtection="1">
      <alignment vertical="top" wrapText="1"/>
      <protection locked="0"/>
    </xf>
    <xf numFmtId="49" fontId="3" fillId="23" borderId="130" xfId="0" applyNumberFormat="1" applyFont="1" applyFill="1" applyBorder="1" applyAlignment="1" applyProtection="1">
      <alignment horizontal="left"/>
    </xf>
    <xf numFmtId="49" fontId="3" fillId="23" borderId="171" xfId="0" applyNumberFormat="1" applyFont="1" applyFill="1" applyBorder="1" applyProtection="1"/>
    <xf numFmtId="3" fontId="10" fillId="31" borderId="161" xfId="0" applyNumberFormat="1" applyFont="1" applyFill="1" applyBorder="1" applyProtection="1"/>
    <xf numFmtId="3" fontId="10" fillId="31" borderId="68" xfId="0" applyNumberFormat="1" applyFont="1" applyFill="1" applyBorder="1" applyProtection="1"/>
    <xf numFmtId="3" fontId="10" fillId="31" borderId="69" xfId="0" applyNumberFormat="1" applyFont="1" applyFill="1" applyBorder="1" applyProtection="1"/>
    <xf numFmtId="3" fontId="48" fillId="23" borderId="46" xfId="0" applyNumberFormat="1" applyFont="1" applyFill="1" applyBorder="1" applyProtection="1"/>
    <xf numFmtId="3" fontId="48" fillId="23" borderId="194" xfId="0" applyNumberFormat="1" applyFont="1" applyFill="1" applyBorder="1" applyProtection="1"/>
    <xf numFmtId="1" fontId="3" fillId="23" borderId="221" xfId="0" applyNumberFormat="1" applyFont="1" applyFill="1" applyBorder="1" applyAlignment="1" applyProtection="1">
      <alignment horizontal="left"/>
    </xf>
    <xf numFmtId="1" fontId="3" fillId="23" borderId="221" xfId="0" applyNumberFormat="1" applyFont="1" applyFill="1" applyBorder="1" applyProtection="1"/>
    <xf numFmtId="1" fontId="2" fillId="23" borderId="222" xfId="0" applyNumberFormat="1" applyFont="1" applyFill="1" applyBorder="1" applyAlignment="1" applyProtection="1"/>
    <xf numFmtId="1" fontId="48" fillId="23" borderId="225" xfId="0" applyNumberFormat="1" applyFont="1" applyFill="1" applyBorder="1" applyProtection="1"/>
    <xf numFmtId="1" fontId="48" fillId="23" borderId="226" xfId="0" applyNumberFormat="1" applyFont="1" applyFill="1" applyBorder="1" applyProtection="1"/>
    <xf numFmtId="1" fontId="37" fillId="23" borderId="227" xfId="0" applyNumberFormat="1" applyFont="1" applyFill="1" applyBorder="1" applyProtection="1"/>
    <xf numFmtId="1" fontId="3" fillId="23" borderId="224" xfId="0" applyNumberFormat="1" applyFont="1" applyFill="1" applyBorder="1" applyProtection="1"/>
    <xf numFmtId="1" fontId="151" fillId="23" borderId="228" xfId="0" applyNumberFormat="1" applyFont="1" applyFill="1" applyBorder="1" applyProtection="1"/>
    <xf numFmtId="1" fontId="152" fillId="23" borderId="223" xfId="0" applyNumberFormat="1" applyFont="1" applyFill="1" applyBorder="1" applyAlignment="1" applyProtection="1"/>
    <xf numFmtId="1" fontId="151" fillId="23" borderId="229" xfId="0" applyNumberFormat="1" applyFont="1" applyFill="1" applyBorder="1" applyProtection="1"/>
    <xf numFmtId="1" fontId="151" fillId="23" borderId="230" xfId="0" applyNumberFormat="1" applyFont="1" applyFill="1" applyBorder="1" applyProtection="1"/>
    <xf numFmtId="1" fontId="152" fillId="23" borderId="179" xfId="0" applyNumberFormat="1" applyFont="1" applyFill="1" applyBorder="1" applyAlignment="1" applyProtection="1"/>
    <xf numFmtId="1" fontId="152" fillId="23" borderId="39" xfId="0" applyNumberFormat="1" applyFont="1" applyFill="1" applyBorder="1" applyAlignment="1" applyProtection="1"/>
    <xf numFmtId="1" fontId="152" fillId="23" borderId="59" xfId="0" applyNumberFormat="1" applyFont="1" applyFill="1" applyBorder="1" applyAlignment="1" applyProtection="1"/>
    <xf numFmtId="1" fontId="152" fillId="23" borderId="0" xfId="0" applyNumberFormat="1" applyFont="1" applyFill="1" applyBorder="1" applyAlignment="1" applyProtection="1"/>
    <xf numFmtId="0" fontId="143" fillId="23" borderId="39" xfId="0" applyNumberFormat="1" applyFont="1" applyFill="1" applyBorder="1" applyAlignment="1" applyProtection="1"/>
    <xf numFmtId="0" fontId="143" fillId="23" borderId="66" xfId="0" applyNumberFormat="1" applyFont="1" applyFill="1" applyBorder="1" applyAlignment="1" applyProtection="1"/>
    <xf numFmtId="0" fontId="143" fillId="23" borderId="179" xfId="0" applyNumberFormat="1" applyFont="1" applyFill="1" applyBorder="1" applyAlignment="1" applyProtection="1"/>
    <xf numFmtId="49" fontId="152" fillId="23" borderId="39" xfId="0" applyNumberFormat="1" applyFont="1" applyFill="1" applyBorder="1" applyAlignment="1" applyProtection="1"/>
    <xf numFmtId="0" fontId="143" fillId="23" borderId="59" xfId="0" applyNumberFormat="1" applyFont="1" applyFill="1" applyBorder="1" applyAlignment="1" applyProtection="1"/>
    <xf numFmtId="3" fontId="2" fillId="2" borderId="91" xfId="0" applyNumberFormat="1" applyFont="1" applyFill="1" applyBorder="1" applyAlignment="1" applyProtection="1">
      <alignment horizontal="right"/>
      <protection locked="0"/>
    </xf>
    <xf numFmtId="0" fontId="24" fillId="23" borderId="160" xfId="6" applyFont="1" applyFill="1" applyBorder="1" applyAlignment="1" applyProtection="1">
      <alignment horizontal="left" wrapText="1"/>
    </xf>
    <xf numFmtId="167" fontId="44" fillId="23" borderId="160" xfId="6" applyNumberFormat="1" applyFont="1" applyFill="1" applyBorder="1" applyProtection="1"/>
    <xf numFmtId="0" fontId="24" fillId="23" borderId="160" xfId="6" applyFill="1" applyBorder="1" applyProtection="1"/>
    <xf numFmtId="3" fontId="45" fillId="23" borderId="160" xfId="6" applyNumberFormat="1" applyFont="1" applyFill="1" applyBorder="1" applyProtection="1"/>
    <xf numFmtId="3" fontId="2" fillId="23" borderId="32" xfId="6" applyNumberFormat="1" applyFont="1" applyFill="1" applyBorder="1" applyAlignment="1" applyProtection="1">
      <alignment horizontal="right"/>
    </xf>
    <xf numFmtId="3" fontId="2" fillId="23" borderId="31" xfId="6" applyNumberFormat="1" applyFont="1" applyFill="1" applyBorder="1" applyAlignment="1" applyProtection="1">
      <alignment horizontal="right"/>
    </xf>
    <xf numFmtId="3" fontId="2" fillId="23" borderId="33" xfId="6" applyNumberFormat="1" applyFont="1" applyFill="1" applyBorder="1" applyAlignment="1" applyProtection="1">
      <alignment horizontal="right"/>
    </xf>
    <xf numFmtId="3" fontId="2" fillId="23" borderId="119" xfId="6" applyNumberFormat="1" applyFont="1" applyFill="1" applyBorder="1" applyAlignment="1" applyProtection="1">
      <alignment horizontal="right"/>
    </xf>
    <xf numFmtId="3" fontId="2" fillId="23" borderId="103" xfId="6" applyNumberFormat="1" applyFont="1" applyFill="1" applyBorder="1" applyAlignment="1" applyProtection="1">
      <alignment horizontal="right"/>
    </xf>
    <xf numFmtId="3" fontId="2" fillId="23" borderId="220" xfId="6" applyNumberFormat="1" applyFont="1" applyFill="1" applyBorder="1" applyAlignment="1" applyProtection="1">
      <alignment horizontal="right"/>
    </xf>
    <xf numFmtId="3" fontId="2" fillId="23" borderId="215" xfId="6" applyNumberFormat="1" applyFont="1" applyFill="1" applyBorder="1" applyAlignment="1" applyProtection="1">
      <alignment horizontal="right"/>
    </xf>
    <xf numFmtId="3" fontId="2" fillId="23" borderId="33" xfId="6" applyNumberFormat="1" applyFont="1" applyFill="1" applyBorder="1" applyProtection="1"/>
    <xf numFmtId="0" fontId="24" fillId="23" borderId="181" xfId="6" applyFill="1" applyBorder="1" applyProtection="1"/>
    <xf numFmtId="3" fontId="48" fillId="24" borderId="130" xfId="0" applyNumberFormat="1" applyFont="1" applyFill="1" applyBorder="1" applyProtection="1"/>
    <xf numFmtId="0" fontId="0" fillId="0" borderId="57" xfId="0" applyFill="1" applyBorder="1" applyProtection="1"/>
    <xf numFmtId="3" fontId="136" fillId="0" borderId="124" xfId="6" applyNumberFormat="1" applyFont="1" applyFill="1" applyBorder="1" applyAlignment="1" applyProtection="1">
      <alignment horizontal="right"/>
    </xf>
    <xf numFmtId="0" fontId="0" fillId="0" borderId="0" xfId="0" applyBorder="1" applyAlignment="1" applyProtection="1">
      <alignment wrapText="1"/>
      <protection locked="0"/>
    </xf>
    <xf numFmtId="3" fontId="2" fillId="0" borderId="19" xfId="0" applyNumberFormat="1" applyFont="1" applyFill="1" applyBorder="1" applyAlignment="1" applyProtection="1">
      <alignment horizontal="right"/>
      <protection locked="0"/>
    </xf>
    <xf numFmtId="3" fontId="3" fillId="23" borderId="56" xfId="0" applyNumberFormat="1" applyFont="1" applyFill="1" applyBorder="1" applyAlignment="1" applyProtection="1">
      <alignment horizontal="left" wrapText="1"/>
    </xf>
    <xf numFmtId="3" fontId="3" fillId="23" borderId="56" xfId="0" applyNumberFormat="1" applyFont="1" applyFill="1" applyBorder="1" applyAlignment="1" applyProtection="1">
      <alignment horizontal="left" vertical="top"/>
    </xf>
    <xf numFmtId="3" fontId="3" fillId="23" borderId="147" xfId="0" applyNumberFormat="1" applyFont="1" applyFill="1" applyBorder="1" applyAlignment="1" applyProtection="1">
      <alignment horizontal="left" vertical="top"/>
    </xf>
    <xf numFmtId="169" fontId="3" fillId="23" borderId="232" xfId="0" applyNumberFormat="1" applyFont="1" applyFill="1" applyBorder="1" applyAlignment="1" applyProtection="1">
      <alignment horizontal="left"/>
    </xf>
    <xf numFmtId="3" fontId="13" fillId="2" borderId="147" xfId="0" applyNumberFormat="1" applyFont="1" applyFill="1" applyBorder="1" applyAlignment="1" applyProtection="1">
      <alignment horizontal="right"/>
      <protection locked="0"/>
    </xf>
    <xf numFmtId="3" fontId="2" fillId="3" borderId="233" xfId="0" applyNumberFormat="1" applyFont="1" applyFill="1" applyBorder="1" applyAlignment="1" applyProtection="1">
      <alignment horizontal="right"/>
    </xf>
    <xf numFmtId="3" fontId="13" fillId="6" borderId="147" xfId="0" applyNumberFormat="1" applyFont="1" applyFill="1" applyBorder="1" applyAlignment="1" applyProtection="1">
      <alignment horizontal="right"/>
      <protection locked="0"/>
    </xf>
    <xf numFmtId="3" fontId="2" fillId="23" borderId="232" xfId="0" applyNumberFormat="1" applyFont="1" applyFill="1" applyBorder="1" applyAlignment="1" applyProtection="1">
      <alignment horizontal="right"/>
    </xf>
    <xf numFmtId="3" fontId="2" fillId="3" borderId="147" xfId="0" applyNumberFormat="1" applyFont="1" applyFill="1" applyBorder="1" applyAlignment="1" applyProtection="1">
      <alignment horizontal="right"/>
    </xf>
    <xf numFmtId="3" fontId="2" fillId="3" borderId="219" xfId="0" applyNumberFormat="1" applyFont="1" applyFill="1" applyBorder="1" applyAlignment="1" applyProtection="1">
      <alignment horizontal="right"/>
    </xf>
    <xf numFmtId="3" fontId="13" fillId="2" borderId="86" xfId="0" applyNumberFormat="1" applyFont="1" applyFill="1" applyBorder="1" applyAlignment="1" applyProtection="1">
      <alignment horizontal="right"/>
      <protection locked="0"/>
    </xf>
    <xf numFmtId="3" fontId="2" fillId="3" borderId="207" xfId="0" applyNumberFormat="1" applyFont="1" applyFill="1" applyBorder="1" applyAlignment="1" applyProtection="1">
      <alignment horizontal="right"/>
    </xf>
    <xf numFmtId="3" fontId="5" fillId="0" borderId="58" xfId="0" applyNumberFormat="1" applyFont="1" applyFill="1" applyBorder="1" applyAlignment="1" applyProtection="1">
      <alignment horizontal="left"/>
    </xf>
    <xf numFmtId="3" fontId="3" fillId="0" borderId="0" xfId="0" applyNumberFormat="1" applyFont="1" applyFill="1" applyBorder="1" applyAlignment="1" applyProtection="1">
      <alignment horizontal="left"/>
    </xf>
    <xf numFmtId="3" fontId="5" fillId="0" borderId="58" xfId="0" applyNumberFormat="1" applyFont="1" applyFill="1" applyBorder="1" applyAlignment="1" applyProtection="1">
      <alignment horizontal="left" vertical="top" wrapText="1"/>
    </xf>
    <xf numFmtId="3" fontId="3" fillId="0" borderId="0" xfId="0" applyNumberFormat="1" applyFont="1" applyFill="1" applyBorder="1" applyAlignment="1" applyProtection="1">
      <alignment horizontal="left" wrapText="1"/>
    </xf>
    <xf numFmtId="0" fontId="5" fillId="0" borderId="58" xfId="0" applyFont="1" applyFill="1" applyBorder="1" applyAlignment="1" applyProtection="1">
      <alignment horizontal="left"/>
    </xf>
    <xf numFmtId="3" fontId="3" fillId="0" borderId="0" xfId="0" applyNumberFormat="1" applyFont="1" applyFill="1" applyBorder="1" applyAlignment="1" applyProtection="1">
      <alignment horizontal="left" vertical="top"/>
    </xf>
    <xf numFmtId="3" fontId="3" fillId="0" borderId="58" xfId="0" applyNumberFormat="1" applyFont="1" applyFill="1" applyBorder="1" applyAlignment="1" applyProtection="1">
      <alignment horizontal="left" vertical="top" wrapText="1"/>
    </xf>
    <xf numFmtId="169" fontId="3" fillId="0" borderId="58" xfId="0" applyNumberFormat="1" applyFont="1" applyFill="1" applyBorder="1" applyAlignment="1" applyProtection="1">
      <alignment horizontal="left"/>
    </xf>
    <xf numFmtId="169" fontId="3" fillId="0" borderId="0" xfId="0" applyNumberFormat="1" applyFont="1" applyFill="1" applyBorder="1" applyAlignment="1" applyProtection="1">
      <alignment horizontal="left"/>
    </xf>
    <xf numFmtId="3" fontId="136" fillId="0" borderId="0" xfId="0" applyNumberFormat="1" applyFont="1" applyFill="1" applyBorder="1" applyAlignment="1" applyProtection="1">
      <alignment horizontal="right"/>
    </xf>
    <xf numFmtId="0" fontId="2" fillId="0" borderId="0" xfId="0" applyFont="1" applyBorder="1" applyAlignment="1" applyProtection="1"/>
    <xf numFmtId="0" fontId="0" fillId="0" borderId="27" xfId="0" applyBorder="1" applyAlignment="1">
      <alignment wrapText="1"/>
    </xf>
    <xf numFmtId="0" fontId="0" fillId="0" borderId="0" xfId="0" applyBorder="1" applyAlignment="1">
      <alignment wrapText="1"/>
    </xf>
    <xf numFmtId="0" fontId="0" fillId="0" borderId="0" xfId="0" applyBorder="1" applyAlignment="1" applyProtection="1">
      <alignment vertical="top"/>
    </xf>
    <xf numFmtId="0" fontId="3" fillId="0" borderId="0" xfId="0" applyFont="1" applyBorder="1" applyAlignment="1" applyProtection="1"/>
    <xf numFmtId="49" fontId="3" fillId="23" borderId="91" xfId="0" applyNumberFormat="1" applyFont="1" applyFill="1" applyBorder="1" applyAlignment="1" applyProtection="1">
      <alignment horizontal="center"/>
    </xf>
    <xf numFmtId="49" fontId="3" fillId="23" borderId="178" xfId="0" applyNumberFormat="1" applyFont="1" applyFill="1" applyBorder="1" applyAlignment="1" applyProtection="1">
      <alignment horizontal="left"/>
    </xf>
    <xf numFmtId="0" fontId="2" fillId="23" borderId="110" xfId="0" applyFont="1" applyFill="1" applyBorder="1" applyProtection="1"/>
    <xf numFmtId="49" fontId="3" fillId="23" borderId="71" xfId="0" applyNumberFormat="1" applyFont="1" applyFill="1" applyBorder="1" applyAlignment="1" applyProtection="1">
      <alignment horizontal="left"/>
    </xf>
    <xf numFmtId="49" fontId="3" fillId="23" borderId="25" xfId="0" applyNumberFormat="1" applyFont="1" applyFill="1" applyBorder="1" applyAlignment="1" applyProtection="1">
      <alignment horizontal="center"/>
    </xf>
    <xf numFmtId="0" fontId="3" fillId="23" borderId="117" xfId="0" applyNumberFormat="1" applyFont="1" applyFill="1" applyBorder="1" applyAlignment="1" applyProtection="1">
      <alignment horizontal="center" vertical="top" wrapText="1"/>
    </xf>
    <xf numFmtId="0" fontId="136" fillId="0" borderId="58" xfId="0" applyNumberFormat="1" applyFont="1" applyFill="1" applyBorder="1" applyAlignment="1" applyProtection="1">
      <alignment horizontal="left"/>
    </xf>
    <xf numFmtId="0" fontId="2" fillId="23" borderId="98" xfId="0" applyFont="1" applyFill="1" applyBorder="1" applyAlignment="1" applyProtection="1">
      <alignment horizontal="left" vertical="top" wrapText="1"/>
    </xf>
    <xf numFmtId="0" fontId="37" fillId="0" borderId="0" xfId="0" applyFont="1" applyFill="1" applyAlignment="1" applyProtection="1"/>
    <xf numFmtId="0" fontId="3" fillId="23" borderId="111" xfId="6" applyFont="1" applyFill="1" applyBorder="1" applyAlignment="1" applyProtection="1">
      <alignment horizontal="left" vertical="top"/>
    </xf>
    <xf numFmtId="3" fontId="48" fillId="23" borderId="9" xfId="6" applyNumberFormat="1" applyFont="1" applyFill="1" applyBorder="1" applyAlignment="1" applyProtection="1">
      <alignment horizontal="right"/>
    </xf>
    <xf numFmtId="3" fontId="3" fillId="23" borderId="0" xfId="6" applyNumberFormat="1" applyFont="1" applyFill="1" applyBorder="1" applyAlignment="1" applyProtection="1">
      <alignment horizontal="right"/>
    </xf>
    <xf numFmtId="0" fontId="3" fillId="23" borderId="3" xfId="0" applyFont="1" applyFill="1" applyBorder="1" applyAlignment="1" applyProtection="1">
      <alignment vertical="top" wrapText="1"/>
    </xf>
    <xf numFmtId="3" fontId="2" fillId="2" borderId="234" xfId="0" applyNumberFormat="1" applyFont="1" applyFill="1" applyBorder="1" applyProtection="1">
      <protection locked="0"/>
    </xf>
    <xf numFmtId="3" fontId="2" fillId="2" borderId="110" xfId="0" applyNumberFormat="1" applyFont="1" applyFill="1" applyBorder="1" applyProtection="1">
      <protection locked="0"/>
    </xf>
    <xf numFmtId="3" fontId="2" fillId="0" borderId="34" xfId="0" applyNumberFormat="1" applyFont="1" applyFill="1" applyBorder="1" applyProtection="1">
      <protection locked="0"/>
    </xf>
    <xf numFmtId="3" fontId="2" fillId="0" borderId="114" xfId="0" applyNumberFormat="1" applyFont="1" applyFill="1" applyBorder="1" applyProtection="1">
      <protection locked="0"/>
    </xf>
    <xf numFmtId="3" fontId="13" fillId="0" borderId="22" xfId="0" applyNumberFormat="1" applyFont="1" applyFill="1" applyBorder="1" applyAlignment="1" applyProtection="1">
      <alignment horizontal="right"/>
      <protection locked="0"/>
    </xf>
    <xf numFmtId="3" fontId="13" fillId="0" borderId="5" xfId="0" applyNumberFormat="1" applyFont="1" applyFill="1" applyBorder="1" applyAlignment="1" applyProtection="1">
      <alignment horizontal="right"/>
      <protection locked="0"/>
    </xf>
    <xf numFmtId="3" fontId="13" fillId="0" borderId="21" xfId="0" applyNumberFormat="1" applyFont="1" applyFill="1" applyBorder="1" applyAlignment="1" applyProtection="1">
      <alignment horizontal="right"/>
      <protection locked="0"/>
    </xf>
    <xf numFmtId="3" fontId="13" fillId="0" borderId="2" xfId="0" applyNumberFormat="1" applyFont="1" applyFill="1" applyBorder="1" applyAlignment="1" applyProtection="1">
      <alignment horizontal="right"/>
      <protection locked="0"/>
    </xf>
    <xf numFmtId="3" fontId="13" fillId="31" borderId="29" xfId="0" applyNumberFormat="1" applyFont="1" applyFill="1" applyBorder="1" applyAlignment="1" applyProtection="1">
      <alignment horizontal="right"/>
    </xf>
    <xf numFmtId="0" fontId="10" fillId="10" borderId="0" xfId="0" applyFont="1" applyFill="1" applyBorder="1" applyAlignment="1">
      <alignment horizontal="left" wrapText="1"/>
    </xf>
    <xf numFmtId="3" fontId="2" fillId="23" borderId="94" xfId="0" applyNumberFormat="1" applyFont="1" applyFill="1" applyBorder="1" applyAlignment="1" applyProtection="1">
      <alignment horizontal="right"/>
    </xf>
    <xf numFmtId="0" fontId="136" fillId="0" borderId="0" xfId="0" applyNumberFormat="1" applyFont="1" applyFill="1" applyBorder="1" applyAlignment="1" applyProtection="1">
      <alignment horizontal="left"/>
    </xf>
    <xf numFmtId="3" fontId="2" fillId="3" borderId="85" xfId="0" applyNumberFormat="1" applyFont="1" applyFill="1" applyBorder="1" applyAlignment="1" applyProtection="1">
      <alignment horizontal="right"/>
    </xf>
    <xf numFmtId="0" fontId="24" fillId="0" borderId="0" xfId="0" quotePrefix="1" applyFont="1" applyBorder="1" applyAlignment="1" applyProtection="1">
      <alignment vertical="top" wrapText="1"/>
    </xf>
    <xf numFmtId="0" fontId="3" fillId="0" borderId="0" xfId="0" applyFont="1" applyAlignment="1" applyProtection="1"/>
    <xf numFmtId="0" fontId="2" fillId="0" borderId="0" xfId="0" applyFont="1" applyBorder="1" applyAlignment="1" applyProtection="1">
      <alignment wrapText="1"/>
    </xf>
    <xf numFmtId="3" fontId="3" fillId="23" borderId="20" xfId="6" applyNumberFormat="1" applyFont="1" applyFill="1" applyBorder="1" applyAlignment="1" applyProtection="1">
      <alignment horizontal="center"/>
    </xf>
    <xf numFmtId="3" fontId="2" fillId="23" borderId="46" xfId="0" applyNumberFormat="1" applyFont="1" applyFill="1" applyBorder="1" applyProtection="1"/>
    <xf numFmtId="0" fontId="3" fillId="23" borderId="71" xfId="0" applyFont="1" applyFill="1" applyBorder="1" applyProtection="1"/>
    <xf numFmtId="3" fontId="151" fillId="24" borderId="42" xfId="0" applyNumberFormat="1" applyFont="1" applyFill="1" applyBorder="1" applyAlignment="1" applyProtection="1">
      <alignment horizontal="right"/>
    </xf>
    <xf numFmtId="3" fontId="2" fillId="38" borderId="113" xfId="6" applyNumberFormat="1" applyFont="1" applyFill="1" applyBorder="1" applyProtection="1"/>
    <xf numFmtId="3" fontId="2" fillId="38" borderId="5" xfId="6" applyNumberFormat="1" applyFont="1" applyFill="1" applyBorder="1" applyAlignment="1" applyProtection="1">
      <alignment horizontal="right"/>
    </xf>
    <xf numFmtId="3" fontId="2" fillId="38" borderId="70" xfId="6" applyNumberFormat="1" applyFont="1" applyFill="1" applyBorder="1" applyAlignment="1" applyProtection="1">
      <alignment horizontal="right"/>
    </xf>
    <xf numFmtId="3" fontId="2" fillId="38" borderId="25" xfId="6" applyNumberFormat="1" applyFont="1" applyFill="1" applyBorder="1" applyAlignment="1" applyProtection="1">
      <alignment horizontal="right"/>
    </xf>
    <xf numFmtId="3" fontId="37" fillId="0" borderId="0" xfId="10" applyNumberFormat="1" applyFont="1" applyFill="1" applyAlignment="1" applyProtection="1">
      <alignment horizontal="left"/>
    </xf>
    <xf numFmtId="3" fontId="136" fillId="23" borderId="14" xfId="0" applyNumberFormat="1" applyFont="1" applyFill="1" applyBorder="1" applyProtection="1"/>
    <xf numFmtId="3" fontId="138" fillId="23" borderId="9" xfId="0" applyNumberFormat="1" applyFont="1" applyFill="1" applyBorder="1" applyProtection="1"/>
    <xf numFmtId="3" fontId="139" fillId="23" borderId="9" xfId="0" applyNumberFormat="1" applyFont="1" applyFill="1" applyBorder="1" applyProtection="1"/>
    <xf numFmtId="3" fontId="104" fillId="23" borderId="10" xfId="0" applyNumberFormat="1" applyFont="1" applyFill="1" applyBorder="1" applyProtection="1"/>
    <xf numFmtId="3" fontId="139" fillId="23" borderId="5" xfId="0" applyNumberFormat="1" applyFont="1" applyFill="1" applyBorder="1" applyProtection="1"/>
    <xf numFmtId="0" fontId="136" fillId="0" borderId="0" xfId="0" applyNumberFormat="1" applyFont="1" applyFill="1" applyBorder="1" applyAlignment="1" applyProtection="1"/>
    <xf numFmtId="0" fontId="0" fillId="0" borderId="0" xfId="0" applyFill="1" applyBorder="1" applyAlignment="1" applyProtection="1">
      <alignment vertical="top" wrapText="1"/>
    </xf>
    <xf numFmtId="3" fontId="37" fillId="23" borderId="105" xfId="6" quotePrefix="1" applyNumberFormat="1" applyFont="1" applyFill="1" applyBorder="1" applyAlignment="1" applyProtection="1">
      <alignment horizontal="left"/>
    </xf>
    <xf numFmtId="9" fontId="37" fillId="23" borderId="0" xfId="14" applyFont="1" applyFill="1" applyBorder="1" applyProtection="1"/>
    <xf numFmtId="9" fontId="37" fillId="23" borderId="0" xfId="14" quotePrefix="1" applyFont="1" applyFill="1" applyBorder="1" applyProtection="1"/>
    <xf numFmtId="0" fontId="37" fillId="23" borderId="195" xfId="0" applyFont="1" applyFill="1" applyBorder="1" applyProtection="1"/>
    <xf numFmtId="3" fontId="37" fillId="23" borderId="5" xfId="6" applyNumberFormat="1" applyFont="1" applyFill="1" applyBorder="1" applyAlignment="1" applyProtection="1">
      <alignment horizontal="left"/>
    </xf>
    <xf numFmtId="3" fontId="37" fillId="23" borderId="0" xfId="6" applyNumberFormat="1" applyFont="1" applyFill="1" applyBorder="1" applyAlignment="1" applyProtection="1">
      <alignment horizontal="right"/>
    </xf>
    <xf numFmtId="3" fontId="37" fillId="23" borderId="35" xfId="0" applyNumberFormat="1" applyFont="1" applyFill="1" applyBorder="1" applyAlignment="1" applyProtection="1">
      <alignment horizontal="left"/>
    </xf>
    <xf numFmtId="3" fontId="37" fillId="23" borderId="15" xfId="0" applyNumberFormat="1" applyFont="1" applyFill="1" applyBorder="1" applyAlignment="1" applyProtection="1">
      <alignment horizontal="left"/>
    </xf>
    <xf numFmtId="20" fontId="96" fillId="0" borderId="67" xfId="10" quotePrefix="1" applyNumberFormat="1" applyFont="1" applyFill="1" applyBorder="1" applyAlignment="1" applyProtection="1"/>
    <xf numFmtId="0" fontId="96" fillId="0" borderId="67" xfId="10" applyFont="1" applyFill="1" applyBorder="1" applyAlignment="1" applyProtection="1">
      <alignment horizontal="center"/>
    </xf>
    <xf numFmtId="0" fontId="96" fillId="0" borderId="67" xfId="10" applyFont="1" applyFill="1" applyBorder="1" applyAlignment="1" applyProtection="1"/>
    <xf numFmtId="166" fontId="3" fillId="0" borderId="67" xfId="10" applyNumberFormat="1" applyFont="1" applyFill="1" applyBorder="1" applyProtection="1"/>
    <xf numFmtId="3" fontId="3" fillId="23" borderId="15" xfId="6" applyNumberFormat="1" applyFont="1" applyFill="1" applyBorder="1" applyAlignment="1" applyProtection="1">
      <alignment vertical="top" wrapText="1"/>
    </xf>
    <xf numFmtId="3" fontId="3" fillId="23" borderId="159" xfId="6" applyNumberFormat="1" applyFont="1" applyFill="1" applyBorder="1" applyAlignment="1" applyProtection="1">
      <alignment vertical="center" wrapText="1"/>
    </xf>
    <xf numFmtId="49" fontId="3" fillId="23" borderId="70" xfId="0" applyNumberFormat="1" applyFont="1" applyFill="1" applyBorder="1" applyAlignment="1" applyProtection="1">
      <alignment horizontal="center"/>
    </xf>
    <xf numFmtId="165" fontId="5" fillId="23" borderId="88" xfId="0" applyNumberFormat="1" applyFont="1" applyFill="1" applyBorder="1" applyAlignment="1" applyProtection="1">
      <alignment horizontal="left"/>
    </xf>
    <xf numFmtId="165" fontId="3" fillId="23" borderId="60" xfId="0" applyNumberFormat="1" applyFont="1" applyFill="1" applyBorder="1" applyAlignment="1" applyProtection="1">
      <alignment horizontal="left"/>
    </xf>
    <xf numFmtId="0" fontId="5" fillId="23" borderId="88" xfId="0" applyFont="1" applyFill="1" applyBorder="1" applyAlignment="1" applyProtection="1">
      <alignment horizontal="left"/>
    </xf>
    <xf numFmtId="0" fontId="148" fillId="23" borderId="101" xfId="0" applyFont="1" applyFill="1" applyBorder="1" applyAlignment="1" applyProtection="1">
      <alignment vertical="top" wrapText="1"/>
    </xf>
    <xf numFmtId="0" fontId="148" fillId="23" borderId="88" xfId="0" applyFont="1" applyFill="1" applyBorder="1" applyAlignment="1" applyProtection="1">
      <alignment vertical="top" wrapText="1"/>
    </xf>
    <xf numFmtId="49" fontId="3" fillId="23" borderId="22" xfId="6" applyNumberFormat="1" applyFont="1" applyFill="1" applyBorder="1" applyAlignment="1" applyProtection="1">
      <alignment horizontal="center"/>
    </xf>
    <xf numFmtId="0" fontId="5" fillId="23" borderId="84" xfId="6" applyFont="1" applyFill="1" applyBorder="1" applyProtection="1"/>
    <xf numFmtId="3" fontId="5" fillId="23" borderId="118" xfId="6" applyNumberFormat="1" applyFont="1" applyFill="1" applyBorder="1" applyAlignment="1" applyProtection="1">
      <alignment horizontal="left" vertical="top" wrapText="1"/>
    </xf>
    <xf numFmtId="3" fontId="5" fillId="23" borderId="88" xfId="6" applyNumberFormat="1" applyFont="1" applyFill="1" applyBorder="1" applyAlignment="1" applyProtection="1">
      <alignment horizontal="left" vertical="top" wrapText="1"/>
    </xf>
    <xf numFmtId="3" fontId="5" fillId="23" borderId="60" xfId="6" applyNumberFormat="1" applyFont="1" applyFill="1" applyBorder="1" applyAlignment="1" applyProtection="1">
      <alignment horizontal="left"/>
    </xf>
    <xf numFmtId="3" fontId="5" fillId="23" borderId="60" xfId="6" quotePrefix="1" applyNumberFormat="1" applyFont="1" applyFill="1" applyBorder="1" applyAlignment="1" applyProtection="1">
      <alignment horizontal="left" vertical="top"/>
    </xf>
    <xf numFmtId="0" fontId="3" fillId="23" borderId="42" xfId="6" applyFont="1" applyFill="1" applyBorder="1" applyAlignment="1" applyProtection="1">
      <alignment horizontal="center" wrapText="1"/>
    </xf>
    <xf numFmtId="3" fontId="3" fillId="23" borderId="90" xfId="6" applyNumberFormat="1" applyFont="1" applyFill="1" applyBorder="1" applyAlignment="1" applyProtection="1">
      <alignment horizontal="center" wrapText="1"/>
    </xf>
    <xf numFmtId="3" fontId="5" fillId="23" borderId="195" xfId="6" applyNumberFormat="1" applyFont="1" applyFill="1" applyBorder="1" applyProtection="1"/>
    <xf numFmtId="3" fontId="5" fillId="23" borderId="0" xfId="6" applyNumberFormat="1" applyFont="1" applyFill="1" applyBorder="1" applyAlignment="1" applyProtection="1">
      <alignment vertical="center"/>
    </xf>
    <xf numFmtId="3" fontId="3" fillId="23" borderId="195" xfId="0" applyNumberFormat="1" applyFont="1" applyFill="1" applyBorder="1" applyAlignment="1" applyProtection="1"/>
    <xf numFmtId="49" fontId="3" fillId="23" borderId="2" xfId="0" applyNumberFormat="1" applyFont="1" applyFill="1" applyBorder="1" applyAlignment="1" applyProtection="1">
      <alignment horizontal="left" vertical="top" wrapText="1"/>
    </xf>
    <xf numFmtId="3" fontId="2" fillId="0" borderId="0" xfId="10" applyNumberFormat="1" applyFont="1" applyFill="1" applyAlignment="1" applyProtection="1">
      <alignment horizontal="left"/>
    </xf>
    <xf numFmtId="0" fontId="3" fillId="0" borderId="0" xfId="10" applyFont="1" applyFill="1" applyAlignment="1" applyProtection="1"/>
    <xf numFmtId="0" fontId="97" fillId="0" borderId="0" xfId="11" applyFont="1" applyFill="1" applyAlignment="1" applyProtection="1">
      <alignment horizontal="center"/>
    </xf>
    <xf numFmtId="0" fontId="2" fillId="0" borderId="0" xfId="10" applyFont="1" applyFill="1" applyProtection="1"/>
    <xf numFmtId="0" fontId="3" fillId="0" borderId="0" xfId="10" applyFont="1" applyFill="1" applyBorder="1" applyAlignment="1" applyProtection="1"/>
    <xf numFmtId="0" fontId="153" fillId="0" borderId="0" xfId="0" quotePrefix="1" applyFont="1" applyFill="1" applyProtection="1"/>
    <xf numFmtId="20" fontId="96" fillId="2" borderId="5" xfId="10" quotePrefix="1" applyNumberFormat="1" applyFont="1" applyFill="1" applyBorder="1" applyProtection="1"/>
    <xf numFmtId="3" fontId="98" fillId="2" borderId="5" xfId="10" applyNumberFormat="1" applyFont="1" applyFill="1" applyBorder="1" applyAlignment="1" applyProtection="1"/>
    <xf numFmtId="3" fontId="98" fillId="2" borderId="0" xfId="10" applyNumberFormat="1" applyFont="1" applyFill="1" applyAlignment="1" applyProtection="1">
      <alignment horizontal="right"/>
    </xf>
    <xf numFmtId="0" fontId="0" fillId="0" borderId="0" xfId="0" applyBorder="1" applyAlignment="1">
      <alignment wrapText="1"/>
    </xf>
    <xf numFmtId="0" fontId="3" fillId="2" borderId="0" xfId="10" applyFont="1" applyFill="1" applyBorder="1" applyProtection="1"/>
    <xf numFmtId="9" fontId="98" fillId="2" borderId="0" xfId="10" applyNumberFormat="1" applyFont="1" applyFill="1" applyBorder="1" applyAlignment="1" applyProtection="1">
      <alignment horizontal="center"/>
    </xf>
    <xf numFmtId="0" fontId="0" fillId="0" borderId="34" xfId="0" applyBorder="1"/>
    <xf numFmtId="20" fontId="96" fillId="2" borderId="35" xfId="10" quotePrefix="1" applyNumberFormat="1" applyFont="1" applyFill="1" applyBorder="1" applyAlignment="1" applyProtection="1">
      <alignment horizontal="center" vertical="center"/>
    </xf>
    <xf numFmtId="20" fontId="96" fillId="2" borderId="35" xfId="10" quotePrefix="1" applyNumberFormat="1" applyFont="1" applyFill="1" applyBorder="1" applyAlignment="1" applyProtection="1">
      <alignment horizontal="center" wrapText="1"/>
    </xf>
    <xf numFmtId="20" fontId="96" fillId="2" borderId="7" xfId="10" quotePrefix="1" applyNumberFormat="1" applyFont="1" applyFill="1" applyBorder="1" applyProtection="1"/>
    <xf numFmtId="20" fontId="96" fillId="2" borderId="6" xfId="10" quotePrefix="1" applyNumberFormat="1" applyFont="1" applyFill="1" applyBorder="1" applyProtection="1"/>
    <xf numFmtId="0" fontId="3" fillId="2" borderId="7" xfId="10" applyFont="1" applyFill="1" applyBorder="1" applyProtection="1"/>
    <xf numFmtId="9" fontId="98" fillId="2" borderId="6" xfId="10" applyNumberFormat="1" applyFont="1" applyFill="1" applyBorder="1" applyAlignment="1" applyProtection="1">
      <alignment horizontal="center"/>
    </xf>
    <xf numFmtId="0" fontId="3" fillId="2" borderId="106" xfId="10" applyFont="1" applyFill="1" applyBorder="1" applyProtection="1"/>
    <xf numFmtId="3" fontId="98" fillId="2" borderId="70" xfId="10" applyNumberFormat="1" applyFont="1" applyFill="1" applyBorder="1" applyAlignment="1" applyProtection="1"/>
    <xf numFmtId="9" fontId="98" fillId="2" borderId="71" xfId="10" applyNumberFormat="1" applyFont="1" applyFill="1" applyBorder="1" applyAlignment="1" applyProtection="1">
      <alignment horizontal="center"/>
    </xf>
    <xf numFmtId="0" fontId="3" fillId="2" borderId="5" xfId="10" applyFont="1" applyFill="1" applyBorder="1" applyProtection="1"/>
    <xf numFmtId="9" fontId="98" fillId="2" borderId="5" xfId="10" applyNumberFormat="1" applyFont="1" applyFill="1" applyBorder="1" applyAlignment="1" applyProtection="1">
      <alignment horizontal="center"/>
    </xf>
    <xf numFmtId="0" fontId="3" fillId="2" borderId="70" xfId="10" applyFont="1" applyFill="1" applyBorder="1" applyProtection="1"/>
    <xf numFmtId="20" fontId="96" fillId="2" borderId="35" xfId="10" applyNumberFormat="1" applyFont="1" applyFill="1" applyBorder="1" applyAlignment="1" applyProtection="1">
      <alignment horizontal="center" vertical="center"/>
    </xf>
    <xf numFmtId="20" fontId="96" fillId="2" borderId="114" xfId="10" quotePrefix="1" applyNumberFormat="1" applyFont="1" applyFill="1" applyBorder="1" applyAlignment="1" applyProtection="1">
      <alignment horizontal="center" vertical="center"/>
    </xf>
    <xf numFmtId="9" fontId="98" fillId="2" borderId="70" xfId="10" applyNumberFormat="1" applyFont="1" applyFill="1" applyBorder="1" applyAlignment="1" applyProtection="1">
      <alignment horizontal="center"/>
    </xf>
    <xf numFmtId="0" fontId="0" fillId="0" borderId="7" xfId="0" applyBorder="1"/>
    <xf numFmtId="3" fontId="2" fillId="0" borderId="124" xfId="0" applyNumberFormat="1" applyFont="1" applyFill="1" applyBorder="1" applyAlignment="1" applyProtection="1">
      <alignment horizontal="right"/>
      <protection locked="0"/>
    </xf>
    <xf numFmtId="49" fontId="3" fillId="0" borderId="124" xfId="0" applyNumberFormat="1" applyFont="1" applyFill="1" applyBorder="1" applyAlignment="1" applyProtection="1">
      <alignment horizontal="center"/>
    </xf>
    <xf numFmtId="0" fontId="3" fillId="0" borderId="124" xfId="0" applyFont="1" applyFill="1" applyBorder="1" applyProtection="1"/>
    <xf numFmtId="0" fontId="1" fillId="0" borderId="124" xfId="0" applyFont="1" applyFill="1" applyBorder="1" applyProtection="1"/>
    <xf numFmtId="3" fontId="5" fillId="23" borderId="231" xfId="6" applyNumberFormat="1" applyFont="1" applyFill="1" applyBorder="1" applyAlignment="1" applyProtection="1">
      <alignment horizontal="left" vertical="center" wrapText="1"/>
    </xf>
    <xf numFmtId="0" fontId="155" fillId="23" borderId="2" xfId="6" applyFont="1" applyFill="1" applyBorder="1" applyAlignment="1" applyProtection="1">
      <alignment horizontal="left"/>
    </xf>
    <xf numFmtId="49" fontId="118" fillId="23" borderId="22" xfId="0" applyNumberFormat="1" applyFont="1" applyFill="1" applyBorder="1" applyAlignment="1" applyProtection="1">
      <alignment horizontal="center"/>
    </xf>
    <xf numFmtId="0" fontId="118" fillId="23" borderId="24" xfId="0" applyFont="1" applyFill="1" applyBorder="1" applyAlignment="1" applyProtection="1">
      <alignment horizontal="center"/>
    </xf>
    <xf numFmtId="49" fontId="155" fillId="23" borderId="22" xfId="6" applyNumberFormat="1" applyFont="1" applyFill="1" applyBorder="1" applyAlignment="1" applyProtection="1">
      <alignment horizontal="center"/>
    </xf>
    <xf numFmtId="49" fontId="155" fillId="23" borderId="24" xfId="6" applyNumberFormat="1" applyFont="1" applyFill="1" applyBorder="1" applyAlignment="1" applyProtection="1">
      <alignment horizontal="center"/>
    </xf>
    <xf numFmtId="49" fontId="155" fillId="23" borderId="142" xfId="0" applyNumberFormat="1" applyFont="1" applyFill="1" applyBorder="1" applyAlignment="1" applyProtection="1">
      <alignment horizontal="center"/>
    </xf>
    <xf numFmtId="49" fontId="155" fillId="23" borderId="146" xfId="6" applyNumberFormat="1" applyFont="1" applyFill="1" applyBorder="1" applyAlignment="1" applyProtection="1">
      <alignment horizontal="center"/>
    </xf>
    <xf numFmtId="3" fontId="136" fillId="23" borderId="159" xfId="6" quotePrefix="1" applyNumberFormat="1" applyFont="1" applyFill="1" applyBorder="1" applyAlignment="1" applyProtection="1">
      <alignment horizontal="left"/>
    </xf>
    <xf numFmtId="0" fontId="21" fillId="39" borderId="0" xfId="0" applyFont="1" applyFill="1" applyAlignment="1" applyProtection="1">
      <alignment horizontal="right"/>
    </xf>
    <xf numFmtId="0" fontId="138" fillId="40" borderId="0" xfId="0" applyNumberFormat="1" applyFont="1" applyFill="1" applyProtection="1"/>
    <xf numFmtId="3" fontId="143" fillId="23" borderId="56" xfId="0" applyNumberFormat="1" applyFont="1" applyFill="1" applyBorder="1" applyAlignment="1" applyProtection="1">
      <alignment horizontal="left" vertical="top"/>
    </xf>
    <xf numFmtId="0" fontId="144" fillId="23" borderId="57" xfId="0" applyFont="1" applyFill="1" applyBorder="1" applyAlignment="1">
      <alignment horizontal="left" vertical="top"/>
    </xf>
    <xf numFmtId="0" fontId="144" fillId="23" borderId="86" xfId="0" applyFont="1" applyFill="1" applyBorder="1" applyAlignment="1">
      <alignment horizontal="left" vertical="top"/>
    </xf>
    <xf numFmtId="0" fontId="144" fillId="23" borderId="59" xfId="0" applyFont="1" applyFill="1" applyBorder="1" applyAlignment="1">
      <alignment horizontal="left" vertical="top"/>
    </xf>
    <xf numFmtId="0" fontId="156" fillId="23" borderId="9" xfId="0" applyFont="1" applyFill="1" applyBorder="1" applyAlignment="1" applyProtection="1">
      <alignment horizontal="left"/>
    </xf>
    <xf numFmtId="3" fontId="2" fillId="24" borderId="20" xfId="0" applyNumberFormat="1" applyFont="1" applyFill="1" applyBorder="1" applyProtection="1"/>
    <xf numFmtId="0" fontId="37" fillId="2" borderId="0" xfId="0" applyFont="1" applyFill="1" applyAlignment="1" applyProtection="1">
      <alignment horizontal="right"/>
    </xf>
    <xf numFmtId="0" fontId="155" fillId="2" borderId="0" xfId="0" applyFont="1" applyFill="1" applyProtection="1"/>
    <xf numFmtId="3" fontId="2" fillId="9" borderId="181" xfId="0" applyNumberFormat="1" applyFont="1" applyFill="1" applyBorder="1" applyProtection="1"/>
    <xf numFmtId="3" fontId="2" fillId="23" borderId="32" xfId="0" applyNumberFormat="1" applyFont="1" applyFill="1" applyBorder="1" applyAlignment="1" applyProtection="1">
      <alignment horizontal="right"/>
    </xf>
    <xf numFmtId="3" fontId="2" fillId="0" borderId="19" xfId="0" applyNumberFormat="1" applyFont="1" applyFill="1" applyBorder="1" applyProtection="1">
      <protection locked="0"/>
    </xf>
    <xf numFmtId="3" fontId="2" fillId="0" borderId="26" xfId="0" applyNumberFormat="1" applyFont="1" applyFill="1" applyBorder="1" applyProtection="1">
      <protection locked="0"/>
    </xf>
    <xf numFmtId="0" fontId="69" fillId="23" borderId="27" xfId="0" applyFont="1" applyFill="1" applyBorder="1" applyAlignment="1">
      <alignment horizontal="right" wrapText="1"/>
    </xf>
    <xf numFmtId="0" fontId="160" fillId="30" borderId="0" xfId="0" applyFont="1" applyFill="1" applyAlignment="1">
      <alignment vertical="center"/>
    </xf>
    <xf numFmtId="0" fontId="0" fillId="23" borderId="0" xfId="0" applyFill="1" applyAlignment="1"/>
    <xf numFmtId="0" fontId="0" fillId="23" borderId="57" xfId="0" applyFill="1" applyBorder="1" applyAlignment="1"/>
    <xf numFmtId="0" fontId="155" fillId="23" borderId="0" xfId="0" applyFont="1" applyFill="1" applyAlignment="1">
      <alignment wrapText="1"/>
    </xf>
    <xf numFmtId="0" fontId="155" fillId="23" borderId="57" xfId="0" applyFont="1" applyFill="1" applyBorder="1" applyAlignment="1">
      <alignment wrapText="1"/>
    </xf>
    <xf numFmtId="0" fontId="155" fillId="23" borderId="223" xfId="0" applyFont="1" applyFill="1" applyBorder="1" applyAlignment="1">
      <alignment wrapText="1"/>
    </xf>
    <xf numFmtId="0" fontId="155" fillId="23" borderId="224" xfId="0" applyFont="1" applyFill="1" applyBorder="1" applyAlignment="1">
      <alignment wrapText="1"/>
    </xf>
    <xf numFmtId="0" fontId="144" fillId="23" borderId="56" xfId="0" applyFont="1" applyFill="1" applyBorder="1" applyAlignment="1"/>
    <xf numFmtId="0" fontId="158" fillId="23" borderId="0" xfId="0" applyFont="1" applyFill="1" applyBorder="1" applyAlignment="1">
      <alignment vertical="top" wrapText="1"/>
    </xf>
    <xf numFmtId="0" fontId="157" fillId="23" borderId="0" xfId="0" applyFont="1" applyFill="1" applyAlignment="1">
      <alignment vertical="top" wrapText="1"/>
    </xf>
    <xf numFmtId="0" fontId="157" fillId="23" borderId="57" xfId="0" applyFont="1" applyFill="1" applyBorder="1" applyAlignment="1">
      <alignment vertical="top" wrapText="1"/>
    </xf>
    <xf numFmtId="0" fontId="157" fillId="23" borderId="0" xfId="0" applyFont="1" applyFill="1" applyAlignment="1">
      <alignment wrapText="1"/>
    </xf>
    <xf numFmtId="0" fontId="157" fillId="23" borderId="57" xfId="0" applyFont="1" applyFill="1" applyBorder="1" applyAlignment="1">
      <alignment wrapText="1"/>
    </xf>
    <xf numFmtId="0" fontId="156" fillId="23" borderId="0" xfId="0" applyFont="1" applyFill="1" applyAlignment="1">
      <alignment wrapText="1"/>
    </xf>
    <xf numFmtId="0" fontId="156" fillId="23" borderId="57" xfId="0" applyFont="1" applyFill="1" applyBorder="1" applyAlignment="1">
      <alignment wrapText="1"/>
    </xf>
    <xf numFmtId="0" fontId="136" fillId="23" borderId="0" xfId="0" applyFont="1" applyFill="1" applyBorder="1" applyAlignment="1" applyProtection="1">
      <alignment wrapText="1"/>
    </xf>
    <xf numFmtId="0" fontId="0" fillId="23" borderId="0" xfId="0" applyFill="1" applyAlignment="1">
      <alignment wrapText="1"/>
    </xf>
    <xf numFmtId="3" fontId="143" fillId="23" borderId="56" xfId="6" applyNumberFormat="1" applyFont="1" applyFill="1" applyBorder="1" applyAlignment="1" applyProtection="1">
      <alignment horizontal="left" vertical="top"/>
    </xf>
    <xf numFmtId="0" fontId="158" fillId="23" borderId="0" xfId="0" applyFont="1" applyFill="1" applyAlignment="1">
      <alignment vertical="top" wrapText="1"/>
    </xf>
    <xf numFmtId="0" fontId="159" fillId="23" borderId="39" xfId="0" applyFont="1" applyFill="1" applyBorder="1" applyAlignment="1">
      <alignment horizontal="left" vertical="top"/>
    </xf>
    <xf numFmtId="3" fontId="3" fillId="23" borderId="124" xfId="6" applyNumberFormat="1" applyFont="1" applyFill="1" applyBorder="1" applyAlignment="1" applyProtection="1">
      <alignment horizontal="right"/>
    </xf>
    <xf numFmtId="3" fontId="3" fillId="23" borderId="56" xfId="6" applyNumberFormat="1" applyFont="1" applyFill="1" applyBorder="1" applyAlignment="1" applyProtection="1">
      <alignment horizontal="right"/>
    </xf>
    <xf numFmtId="3" fontId="143" fillId="23" borderId="0" xfId="6" applyNumberFormat="1" applyFont="1" applyFill="1" applyBorder="1" applyAlignment="1" applyProtection="1">
      <alignment horizontal="left" vertical="top"/>
    </xf>
    <xf numFmtId="0" fontId="159" fillId="23" borderId="0" xfId="0" applyFont="1" applyFill="1" applyBorder="1" applyAlignment="1">
      <alignment horizontal="left" vertical="top"/>
    </xf>
    <xf numFmtId="0" fontId="0" fillId="23" borderId="57" xfId="0" applyFill="1" applyBorder="1" applyAlignment="1">
      <alignment wrapText="1"/>
    </xf>
    <xf numFmtId="0" fontId="0" fillId="23" borderId="0" xfId="0" applyFill="1" applyAlignment="1">
      <alignment horizontal="left" vertical="top" wrapText="1"/>
    </xf>
    <xf numFmtId="0" fontId="155" fillId="23" borderId="39" xfId="0" applyFont="1" applyFill="1" applyBorder="1" applyAlignment="1">
      <alignment wrapText="1"/>
    </xf>
    <xf numFmtId="0" fontId="155" fillId="23" borderId="59" xfId="0" applyFont="1" applyFill="1" applyBorder="1" applyAlignment="1">
      <alignment wrapText="1"/>
    </xf>
    <xf numFmtId="0" fontId="7" fillId="23" borderId="0" xfId="0" applyFont="1" applyFill="1" applyAlignment="1">
      <alignment wrapText="1"/>
    </xf>
    <xf numFmtId="0" fontId="7" fillId="23" borderId="57" xfId="0" applyFont="1" applyFill="1" applyBorder="1" applyAlignment="1">
      <alignment wrapText="1"/>
    </xf>
    <xf numFmtId="0" fontId="0" fillId="23" borderId="57" xfId="0" applyFill="1" applyBorder="1" applyAlignment="1">
      <alignment horizontal="left" vertical="top" wrapText="1"/>
    </xf>
    <xf numFmtId="0" fontId="37" fillId="0" borderId="0" xfId="0" quotePrefix="1" applyFont="1" applyFill="1" applyProtection="1"/>
    <xf numFmtId="0" fontId="114" fillId="0" borderId="0" xfId="0" applyFont="1" applyFill="1" applyAlignment="1" applyProtection="1">
      <alignment wrapText="1"/>
    </xf>
    <xf numFmtId="0" fontId="137" fillId="0" borderId="0" xfId="0" applyFont="1" applyFill="1" applyAlignment="1" applyProtection="1">
      <alignment vertical="top" wrapText="1"/>
    </xf>
    <xf numFmtId="1" fontId="136" fillId="0" borderId="58" xfId="0" applyNumberFormat="1" applyFont="1" applyFill="1" applyBorder="1" applyAlignment="1" applyProtection="1">
      <alignment horizontal="left"/>
    </xf>
    <xf numFmtId="0" fontId="136" fillId="0" borderId="0" xfId="0" applyNumberFormat="1" applyFont="1" applyFill="1" applyBorder="1" applyAlignment="1" applyProtection="1">
      <alignment horizontal="left" wrapText="1"/>
    </xf>
    <xf numFmtId="4" fontId="37" fillId="23" borderId="119" xfId="10" applyNumberFormat="1" applyFont="1" applyFill="1" applyBorder="1" applyProtection="1"/>
    <xf numFmtId="0" fontId="37" fillId="23" borderId="180" xfId="0" applyFont="1" applyFill="1" applyBorder="1" applyProtection="1"/>
    <xf numFmtId="0" fontId="153" fillId="0" borderId="0" xfId="0" applyFont="1" applyFill="1" applyBorder="1" applyProtection="1"/>
    <xf numFmtId="3" fontId="37" fillId="23" borderId="5" xfId="6" quotePrefix="1" applyNumberFormat="1" applyFont="1" applyFill="1" applyBorder="1" applyAlignment="1" applyProtection="1">
      <alignment horizontal="left"/>
    </xf>
    <xf numFmtId="3" fontId="37" fillId="23" borderId="2" xfId="6" applyNumberFormat="1" applyFont="1" applyFill="1" applyBorder="1" applyAlignment="1" applyProtection="1">
      <alignment horizontal="left"/>
    </xf>
    <xf numFmtId="3" fontId="37" fillId="0" borderId="56" xfId="6" quotePrefix="1" applyNumberFormat="1" applyFont="1" applyFill="1" applyBorder="1" applyAlignment="1" applyProtection="1">
      <alignment horizontal="left"/>
    </xf>
    <xf numFmtId="3" fontId="154" fillId="0" borderId="73" xfId="6" quotePrefix="1" applyNumberFormat="1" applyFont="1" applyFill="1" applyBorder="1" applyAlignment="1" applyProtection="1">
      <alignment horizontal="left"/>
    </xf>
    <xf numFmtId="3" fontId="154" fillId="0" borderId="75" xfId="6" quotePrefix="1" applyNumberFormat="1" applyFont="1" applyFill="1" applyBorder="1" applyAlignment="1" applyProtection="1">
      <alignment horizontal="left"/>
    </xf>
    <xf numFmtId="0" fontId="54" fillId="0" borderId="75" xfId="6" applyFont="1" applyFill="1" applyBorder="1" applyProtection="1"/>
    <xf numFmtId="0" fontId="54" fillId="0" borderId="123" xfId="6" applyFont="1" applyFill="1" applyBorder="1" applyProtection="1"/>
    <xf numFmtId="3" fontId="37" fillId="0" borderId="73" xfId="6" quotePrefix="1" applyNumberFormat="1" applyFont="1" applyFill="1" applyBorder="1" applyAlignment="1" applyProtection="1">
      <alignment horizontal="left"/>
    </xf>
    <xf numFmtId="0" fontId="39" fillId="0" borderId="75" xfId="6" applyFont="1" applyFill="1" applyBorder="1" applyProtection="1"/>
    <xf numFmtId="0" fontId="39" fillId="0" borderId="73" xfId="6" applyFont="1" applyFill="1" applyBorder="1" applyProtection="1"/>
    <xf numFmtId="3" fontId="37" fillId="0" borderId="77" xfId="6" quotePrefix="1" applyNumberFormat="1" applyFont="1" applyFill="1" applyBorder="1" applyAlignment="1" applyProtection="1">
      <alignment horizontal="left"/>
    </xf>
    <xf numFmtId="0" fontId="136" fillId="0" borderId="0" xfId="0" applyFont="1" applyFill="1" applyAlignment="1" applyProtection="1"/>
    <xf numFmtId="3" fontId="136" fillId="23" borderId="2" xfId="0" quotePrefix="1" applyNumberFormat="1" applyFont="1" applyFill="1" applyBorder="1" applyAlignment="1" applyProtection="1">
      <alignment horizontal="left"/>
    </xf>
    <xf numFmtId="3" fontId="136" fillId="23" borderId="5" xfId="0" quotePrefix="1" applyNumberFormat="1" applyFont="1" applyFill="1" applyBorder="1" applyAlignment="1" applyProtection="1">
      <alignment horizontal="left"/>
    </xf>
    <xf numFmtId="3" fontId="136" fillId="23" borderId="5" xfId="0" applyNumberFormat="1" applyFont="1" applyFill="1" applyBorder="1" applyAlignment="1" applyProtection="1">
      <alignment horizontal="left"/>
    </xf>
    <xf numFmtId="49" fontId="155" fillId="23" borderId="7" xfId="0" applyNumberFormat="1" applyFont="1" applyFill="1" applyBorder="1" applyAlignment="1" applyProtection="1">
      <alignment horizontal="center"/>
    </xf>
    <xf numFmtId="0" fontId="137" fillId="0" borderId="0" xfId="0" applyFont="1" applyFill="1" applyAlignment="1" applyProtection="1">
      <alignment horizontal="right" vertical="top" wrapText="1"/>
    </xf>
    <xf numFmtId="3" fontId="2" fillId="0" borderId="32" xfId="0" applyNumberFormat="1" applyFont="1" applyFill="1" applyBorder="1" applyProtection="1">
      <protection locked="0"/>
    </xf>
    <xf numFmtId="49" fontId="3" fillId="23" borderId="42" xfId="0" applyNumberFormat="1" applyFont="1" applyFill="1" applyBorder="1" applyAlignment="1" applyProtection="1">
      <alignment horizontal="center"/>
    </xf>
    <xf numFmtId="49" fontId="155" fillId="23" borderId="2" xfId="0" applyNumberFormat="1" applyFont="1" applyFill="1" applyBorder="1" applyAlignment="1" applyProtection="1">
      <alignment horizontal="center" vertical="top" wrapText="1"/>
    </xf>
    <xf numFmtId="0" fontId="3" fillId="23" borderId="60" xfId="6" applyFont="1" applyFill="1" applyBorder="1" applyAlignment="1" applyProtection="1">
      <alignment horizontal="left" wrapText="1"/>
    </xf>
    <xf numFmtId="0" fontId="163" fillId="0" borderId="0" xfId="0" applyFont="1" applyFill="1" applyBorder="1" applyAlignment="1" applyProtection="1">
      <alignment horizontal="left" vertical="top"/>
    </xf>
    <xf numFmtId="0" fontId="0" fillId="0" borderId="57" xfId="0" applyFill="1" applyBorder="1" applyAlignment="1"/>
    <xf numFmtId="0" fontId="0" fillId="0" borderId="0" xfId="0" applyFill="1" applyAlignment="1"/>
    <xf numFmtId="0" fontId="153" fillId="2" borderId="0" xfId="0" applyFont="1" applyFill="1" applyProtection="1"/>
    <xf numFmtId="0" fontId="165" fillId="0" borderId="0" xfId="0" applyFont="1" applyFill="1" applyAlignment="1">
      <alignment wrapText="1"/>
    </xf>
    <xf numFmtId="0" fontId="0" fillId="0" borderId="0" xfId="0" applyAlignment="1">
      <alignment wrapText="1"/>
    </xf>
    <xf numFmtId="0" fontId="9" fillId="0" borderId="0" xfId="0" applyFont="1" applyAlignment="1">
      <alignment wrapText="1"/>
    </xf>
    <xf numFmtId="3" fontId="154" fillId="23" borderId="0" xfId="0" applyNumberFormat="1" applyFont="1" applyFill="1" applyBorder="1" applyAlignment="1" applyProtection="1"/>
    <xf numFmtId="3" fontId="136" fillId="0" borderId="0" xfId="0" applyNumberFormat="1" applyFont="1" applyFill="1" applyBorder="1" applyProtection="1"/>
    <xf numFmtId="0" fontId="37" fillId="0" borderId="0" xfId="0" applyFont="1" applyFill="1" applyAlignment="1" applyProtection="1">
      <alignment horizontal="left" vertical="top"/>
    </xf>
    <xf numFmtId="0" fontId="137" fillId="0" borderId="0" xfId="0" applyFont="1" applyFill="1" applyAlignment="1" applyProtection="1">
      <alignment horizontal="right"/>
    </xf>
    <xf numFmtId="0" fontId="137" fillId="0" borderId="0" xfId="0" applyFont="1" applyFill="1" applyAlignment="1" applyProtection="1">
      <alignment horizontal="left" vertical="top" wrapText="1"/>
    </xf>
    <xf numFmtId="3" fontId="5" fillId="23" borderId="15" xfId="6" applyNumberFormat="1" applyFont="1" applyFill="1" applyBorder="1" applyAlignment="1" applyProtection="1">
      <alignment horizontal="left"/>
    </xf>
    <xf numFmtId="3" fontId="5" fillId="23" borderId="15" xfId="6" applyNumberFormat="1" applyFont="1" applyFill="1" applyBorder="1" applyAlignment="1" applyProtection="1">
      <alignment horizontal="left" vertical="center"/>
    </xf>
    <xf numFmtId="3" fontId="156" fillId="23" borderId="15" xfId="6" applyNumberFormat="1" applyFont="1" applyFill="1" applyBorder="1" applyAlignment="1" applyProtection="1">
      <alignment horizontal="left" vertical="top" wrapText="1"/>
    </xf>
    <xf numFmtId="0" fontId="136" fillId="0" borderId="0" xfId="0" applyFont="1" applyFill="1" applyBorder="1" applyAlignment="1" applyProtection="1">
      <alignment vertical="top"/>
    </xf>
    <xf numFmtId="0" fontId="153" fillId="0" borderId="0" xfId="0" applyFont="1" applyFill="1" applyBorder="1" applyAlignment="1" applyProtection="1">
      <alignment vertical="top"/>
    </xf>
    <xf numFmtId="0" fontId="165" fillId="0" borderId="0" xfId="0" applyFont="1" applyAlignment="1">
      <alignment wrapText="1"/>
    </xf>
    <xf numFmtId="3" fontId="166" fillId="0" borderId="0" xfId="0" applyNumberFormat="1" applyFont="1" applyFill="1" applyBorder="1" applyProtection="1"/>
    <xf numFmtId="0" fontId="0" fillId="0" borderId="0" xfId="0" applyFill="1" applyBorder="1" applyAlignment="1">
      <alignment horizontal="left" wrapText="1"/>
    </xf>
    <xf numFmtId="3" fontId="2" fillId="41" borderId="5" xfId="0" applyNumberFormat="1" applyFont="1" applyFill="1" applyBorder="1" applyProtection="1">
      <protection locked="0"/>
    </xf>
    <xf numFmtId="3" fontId="2" fillId="41" borderId="19" xfId="0" applyNumberFormat="1" applyFont="1" applyFill="1" applyBorder="1" applyProtection="1">
      <protection locked="0"/>
    </xf>
    <xf numFmtId="1" fontId="3" fillId="23" borderId="2" xfId="0" applyNumberFormat="1" applyFont="1" applyFill="1" applyBorder="1" applyAlignment="1" applyProtection="1">
      <alignment horizontal="center" vertical="center" wrapText="1"/>
    </xf>
    <xf numFmtId="0" fontId="3" fillId="23" borderId="2" xfId="0" applyFont="1" applyFill="1" applyBorder="1" applyAlignment="1" applyProtection="1">
      <alignment horizontal="left" vertical="center" wrapText="1"/>
    </xf>
    <xf numFmtId="0" fontId="5" fillId="23" borderId="25" xfId="0" applyFont="1" applyFill="1" applyBorder="1" applyAlignment="1" applyProtection="1">
      <alignment horizontal="left" vertical="center" wrapText="1"/>
    </xf>
    <xf numFmtId="0" fontId="37" fillId="0" borderId="0" xfId="0" applyFont="1" applyFill="1" applyAlignment="1" applyProtection="1">
      <alignment vertical="top" wrapText="1"/>
    </xf>
    <xf numFmtId="3" fontId="2" fillId="2" borderId="44" xfId="0" applyNumberFormat="1" applyFont="1" applyFill="1" applyBorder="1" applyAlignment="1" applyProtection="1">
      <alignment horizontal="right"/>
      <protection locked="0"/>
    </xf>
    <xf numFmtId="0" fontId="61" fillId="2" borderId="0" xfId="0" applyFont="1" applyFill="1" applyAlignment="1" applyProtection="1"/>
    <xf numFmtId="0" fontId="3" fillId="23" borderId="168" xfId="0" applyNumberFormat="1" applyFont="1" applyFill="1" applyBorder="1" applyAlignment="1" applyProtection="1">
      <alignment horizontal="center" vertical="top" wrapText="1"/>
    </xf>
    <xf numFmtId="49" fontId="142" fillId="23" borderId="5" xfId="0" applyNumberFormat="1" applyFont="1" applyFill="1" applyBorder="1" applyAlignment="1" applyProtection="1">
      <alignment horizontal="center"/>
    </xf>
    <xf numFmtId="49" fontId="3" fillId="23" borderId="12" xfId="0" applyNumberFormat="1" applyFont="1" applyFill="1" applyBorder="1" applyAlignment="1" applyProtection="1">
      <alignment horizontal="left" vertical="top" wrapText="1"/>
    </xf>
    <xf numFmtId="0" fontId="3" fillId="23" borderId="8" xfId="0" applyFont="1" applyFill="1" applyBorder="1" applyAlignment="1" applyProtection="1">
      <alignment vertical="top" wrapText="1"/>
    </xf>
    <xf numFmtId="49" fontId="3" fillId="23" borderId="232" xfId="0" applyNumberFormat="1" applyFont="1" applyFill="1" applyBorder="1" applyAlignment="1" applyProtection="1">
      <alignment horizontal="left"/>
    </xf>
    <xf numFmtId="0" fontId="55" fillId="23" borderId="64" xfId="0" applyFont="1" applyFill="1" applyBorder="1" applyProtection="1"/>
    <xf numFmtId="164" fontId="9" fillId="2" borderId="0" xfId="0" applyNumberFormat="1" applyFont="1" applyFill="1" applyBorder="1" applyAlignment="1" applyProtection="1">
      <alignment horizontal="center" vertical="center"/>
    </xf>
    <xf numFmtId="3" fontId="3" fillId="23" borderId="44" xfId="6" applyNumberFormat="1" applyFont="1" applyFill="1" applyBorder="1" applyAlignment="1" applyProtection="1"/>
    <xf numFmtId="3" fontId="3" fillId="23" borderId="44" xfId="6" applyNumberFormat="1" applyFont="1" applyFill="1" applyBorder="1" applyAlignment="1" applyProtection="1">
      <alignment vertical="top" wrapText="1"/>
    </xf>
    <xf numFmtId="3" fontId="2" fillId="29" borderId="35" xfId="0" applyNumberFormat="1" applyFont="1" applyFill="1" applyBorder="1" applyAlignment="1" applyProtection="1"/>
    <xf numFmtId="3" fontId="2" fillId="29" borderId="2" xfId="0" applyNumberFormat="1" applyFont="1" applyFill="1" applyBorder="1" applyAlignment="1" applyProtection="1"/>
    <xf numFmtId="3" fontId="2" fillId="29" borderId="5" xfId="0" applyNumberFormat="1" applyFont="1" applyFill="1" applyBorder="1" applyAlignment="1" applyProtection="1"/>
    <xf numFmtId="0" fontId="3" fillId="23" borderId="35" xfId="0" applyFont="1" applyFill="1" applyBorder="1" applyProtection="1"/>
    <xf numFmtId="0" fontId="0" fillId="42" borderId="0" xfId="0" applyFill="1"/>
    <xf numFmtId="0" fontId="2" fillId="0" borderId="0" xfId="0" applyFont="1" applyFill="1" applyBorder="1" applyAlignment="1" applyProtection="1">
      <alignment vertical="top" wrapText="1"/>
      <protection locked="0"/>
    </xf>
    <xf numFmtId="49" fontId="7" fillId="0" borderId="0" xfId="0" applyNumberFormat="1" applyFont="1" applyFill="1" applyBorder="1" applyAlignment="1" applyProtection="1">
      <alignment horizontal="center"/>
    </xf>
    <xf numFmtId="0" fontId="128" fillId="0" borderId="0" xfId="0" applyFont="1" applyFill="1" applyBorder="1" applyAlignment="1">
      <alignment vertical="top"/>
    </xf>
    <xf numFmtId="166" fontId="3" fillId="42" borderId="0" xfId="10" applyNumberFormat="1" applyFont="1" applyFill="1" applyProtection="1"/>
    <xf numFmtId="166" fontId="3" fillId="42" borderId="67" xfId="10" applyNumberFormat="1" applyFont="1" applyFill="1" applyBorder="1" applyProtection="1"/>
    <xf numFmtId="0" fontId="124" fillId="0" borderId="0" xfId="10" applyFont="1" applyFill="1" applyAlignment="1" applyProtection="1"/>
    <xf numFmtId="0" fontId="128" fillId="0" borderId="0" xfId="0" applyFont="1" applyFill="1" applyAlignment="1"/>
    <xf numFmtId="49" fontId="3" fillId="23" borderId="124" xfId="0" applyNumberFormat="1" applyFont="1" applyFill="1" applyBorder="1" applyAlignment="1" applyProtection="1">
      <alignment horizontal="left"/>
    </xf>
    <xf numFmtId="0" fontId="16" fillId="23" borderId="124" xfId="0" applyFont="1" applyFill="1" applyBorder="1" applyProtection="1"/>
    <xf numFmtId="0" fontId="8" fillId="23" borderId="35" xfId="0" applyFont="1" applyFill="1" applyBorder="1" applyProtection="1"/>
    <xf numFmtId="49" fontId="3" fillId="23" borderId="12" xfId="0" applyNumberFormat="1" applyFont="1" applyFill="1" applyBorder="1" applyAlignment="1" applyProtection="1">
      <alignment horizontal="right" vertical="center" wrapText="1"/>
    </xf>
    <xf numFmtId="0" fontId="3" fillId="23" borderId="8" xfId="0" applyFont="1" applyFill="1" applyBorder="1" applyAlignment="1" applyProtection="1">
      <alignment horizontal="left" vertical="top" wrapText="1"/>
    </xf>
    <xf numFmtId="0" fontId="61" fillId="0" borderId="0" xfId="0" applyFont="1" applyFill="1" applyAlignment="1" applyProtection="1">
      <alignment vertical="top"/>
    </xf>
    <xf numFmtId="1" fontId="5" fillId="0" borderId="0" xfId="0" applyNumberFormat="1" applyFont="1" applyFill="1" applyBorder="1" applyAlignment="1" applyProtection="1">
      <alignment horizontal="left" wrapText="1"/>
    </xf>
    <xf numFmtId="1" fontId="3" fillId="0" borderId="0" xfId="0" applyNumberFormat="1" applyFont="1" applyFill="1" applyBorder="1" applyAlignment="1" applyProtection="1">
      <alignment horizontal="center" wrapText="1"/>
    </xf>
    <xf numFmtId="0" fontId="136" fillId="0" borderId="0" xfId="0" applyNumberFormat="1" applyFont="1" applyFill="1" applyAlignment="1" applyProtection="1"/>
    <xf numFmtId="3" fontId="136" fillId="0" borderId="0" xfId="0" applyNumberFormat="1" applyFont="1" applyFill="1" applyBorder="1" applyAlignment="1" applyProtection="1">
      <alignment horizontal="left" wrapText="1"/>
    </xf>
    <xf numFmtId="1" fontId="3" fillId="23" borderId="42" xfId="0" applyNumberFormat="1" applyFont="1" applyFill="1" applyBorder="1" applyAlignment="1" applyProtection="1">
      <alignment horizontal="left" vertical="top" wrapText="1"/>
    </xf>
    <xf numFmtId="49" fontId="3" fillId="23" borderId="5" xfId="0" applyNumberFormat="1" applyFont="1" applyFill="1" applyBorder="1" applyAlignment="1" applyProtection="1">
      <alignment horizontal="left"/>
    </xf>
    <xf numFmtId="167" fontId="3" fillId="23" borderId="62" xfId="6" applyNumberFormat="1" applyFont="1" applyFill="1" applyBorder="1" applyAlignment="1" applyProtection="1">
      <alignment vertical="top"/>
    </xf>
    <xf numFmtId="167" fontId="3" fillId="23" borderId="176" xfId="0" applyNumberFormat="1" applyFont="1" applyFill="1" applyBorder="1" applyAlignment="1" applyProtection="1">
      <alignment vertical="top"/>
    </xf>
    <xf numFmtId="0" fontId="2" fillId="0" borderId="0" xfId="0" applyFont="1" applyBorder="1" applyAlignment="1" applyProtection="1">
      <alignment vertical="top" wrapText="1"/>
      <protection locked="0"/>
    </xf>
    <xf numFmtId="3" fontId="13" fillId="23" borderId="69" xfId="0" applyNumberFormat="1" applyFont="1" applyFill="1" applyBorder="1" applyAlignment="1" applyProtection="1">
      <alignment horizontal="right"/>
    </xf>
    <xf numFmtId="49" fontId="3" fillId="23" borderId="7" xfId="0" applyNumberFormat="1" applyFont="1" applyFill="1" applyBorder="1" applyAlignment="1" applyProtection="1">
      <alignment horizontal="center"/>
    </xf>
    <xf numFmtId="0" fontId="3" fillId="23" borderId="8" xfId="0" applyFont="1" applyFill="1" applyBorder="1" applyAlignment="1" applyProtection="1">
      <alignment horizontal="left"/>
    </xf>
    <xf numFmtId="49" fontId="3" fillId="23" borderId="76" xfId="0" applyNumberFormat="1" applyFont="1" applyFill="1" applyBorder="1" applyAlignment="1" applyProtection="1">
      <alignment wrapText="1"/>
    </xf>
    <xf numFmtId="49" fontId="3" fillId="23" borderId="11" xfId="0" applyNumberFormat="1" applyFont="1" applyFill="1" applyBorder="1" applyAlignment="1" applyProtection="1">
      <alignment wrapText="1"/>
    </xf>
    <xf numFmtId="0" fontId="3" fillId="2" borderId="1" xfId="0" applyFont="1" applyFill="1" applyBorder="1" applyAlignment="1" applyProtection="1">
      <alignment horizontal="center"/>
    </xf>
    <xf numFmtId="49" fontId="8" fillId="23" borderId="203" xfId="0" applyNumberFormat="1" applyFont="1" applyFill="1" applyBorder="1" applyAlignment="1" applyProtection="1">
      <alignment horizontal="center"/>
    </xf>
    <xf numFmtId="3" fontId="2" fillId="2" borderId="202" xfId="0" applyNumberFormat="1" applyFont="1" applyFill="1" applyBorder="1" applyAlignment="1" applyProtection="1">
      <alignment horizontal="right"/>
      <protection locked="0"/>
    </xf>
    <xf numFmtId="3" fontId="2" fillId="2" borderId="150" xfId="0" applyNumberFormat="1" applyFont="1" applyFill="1" applyBorder="1" applyAlignment="1" applyProtection="1">
      <alignment horizontal="right"/>
      <protection locked="0"/>
    </xf>
    <xf numFmtId="0" fontId="136" fillId="2" borderId="0" xfId="0" applyFont="1" applyFill="1" applyAlignment="1" applyProtection="1">
      <alignment wrapText="1"/>
    </xf>
    <xf numFmtId="0" fontId="49" fillId="0" borderId="0" xfId="0" applyNumberFormat="1" applyFont="1" applyFill="1" applyBorder="1" applyAlignment="1" applyProtection="1">
      <alignment horizontal="right"/>
    </xf>
    <xf numFmtId="3" fontId="37" fillId="0" borderId="126" xfId="0" applyNumberFormat="1" applyFont="1" applyFill="1" applyBorder="1" applyProtection="1"/>
    <xf numFmtId="3" fontId="37" fillId="0" borderId="0" xfId="0" applyNumberFormat="1" applyFont="1" applyFill="1" applyBorder="1" applyAlignment="1" applyProtection="1">
      <alignment horizontal="left"/>
    </xf>
    <xf numFmtId="0" fontId="3" fillId="23" borderId="8" xfId="0" applyFont="1" applyFill="1" applyBorder="1" applyAlignment="1" applyProtection="1">
      <alignment horizontal="center" wrapText="1"/>
    </xf>
    <xf numFmtId="0" fontId="3" fillId="23" borderId="55" xfId="0" applyFont="1" applyFill="1" applyBorder="1" applyAlignment="1" applyProtection="1">
      <alignment horizontal="center" wrapText="1"/>
    </xf>
    <xf numFmtId="1" fontId="3" fillId="23" borderId="25" xfId="0" applyNumberFormat="1" applyFont="1" applyFill="1" applyBorder="1" applyAlignment="1" applyProtection="1">
      <alignment horizontal="center" wrapText="1"/>
    </xf>
    <xf numFmtId="1" fontId="3" fillId="0" borderId="0" xfId="0" applyNumberFormat="1" applyFont="1" applyFill="1" applyBorder="1" applyAlignment="1" applyProtection="1">
      <alignment horizontal="center" wrapText="1"/>
    </xf>
    <xf numFmtId="0" fontId="0" fillId="0" borderId="44" xfId="0" applyBorder="1" applyAlignment="1">
      <alignment wrapText="1"/>
    </xf>
    <xf numFmtId="0" fontId="3" fillId="2" borderId="112" xfId="10" applyFont="1" applyFill="1" applyBorder="1" applyAlignment="1" applyProtection="1">
      <alignment wrapText="1"/>
    </xf>
    <xf numFmtId="0" fontId="0" fillId="0" borderId="239" xfId="0" applyBorder="1" applyAlignment="1">
      <alignment wrapText="1"/>
    </xf>
    <xf numFmtId="0" fontId="0" fillId="0" borderId="240" xfId="0" applyBorder="1" applyAlignment="1">
      <alignment wrapText="1"/>
    </xf>
    <xf numFmtId="0" fontId="0" fillId="0" borderId="27" xfId="0" applyBorder="1" applyAlignment="1">
      <alignment wrapText="1"/>
    </xf>
    <xf numFmtId="0" fontId="0" fillId="0" borderId="0" xfId="0" applyBorder="1" applyAlignment="1">
      <alignment wrapText="1"/>
    </xf>
    <xf numFmtId="0" fontId="0" fillId="0" borderId="241" xfId="0" applyBorder="1" applyAlignment="1">
      <alignment wrapText="1"/>
    </xf>
    <xf numFmtId="0" fontId="0" fillId="0" borderId="242" xfId="0" applyBorder="1" applyAlignment="1">
      <alignment wrapText="1"/>
    </xf>
    <xf numFmtId="0" fontId="0" fillId="0" borderId="243" xfId="0" applyBorder="1" applyAlignment="1">
      <alignment wrapText="1"/>
    </xf>
    <xf numFmtId="1" fontId="3" fillId="23" borderId="82" xfId="0" applyNumberFormat="1" applyFont="1" applyFill="1" applyBorder="1" applyAlignment="1" applyProtection="1">
      <alignment horizontal="center" wrapText="1"/>
    </xf>
    <xf numFmtId="3" fontId="13" fillId="0" borderId="242" xfId="0" applyNumberFormat="1" applyFont="1" applyFill="1" applyBorder="1" applyAlignment="1" applyProtection="1">
      <alignment horizontal="right"/>
    </xf>
    <xf numFmtId="0" fontId="3" fillId="0" borderId="239" xfId="0" applyFont="1" applyFill="1" applyBorder="1" applyAlignment="1" applyProtection="1">
      <alignment horizontal="center"/>
    </xf>
    <xf numFmtId="1" fontId="3" fillId="0" borderId="239" xfId="0" applyNumberFormat="1" applyFont="1" applyFill="1" applyBorder="1" applyAlignment="1" applyProtection="1">
      <alignment horizontal="center" wrapText="1"/>
    </xf>
    <xf numFmtId="1" fontId="3" fillId="0" borderId="239" xfId="0" applyNumberFormat="1" applyFont="1" applyFill="1" applyBorder="1" applyAlignment="1" applyProtection="1">
      <alignment horizontal="left"/>
    </xf>
    <xf numFmtId="0" fontId="3" fillId="0" borderId="242" xfId="0" applyFont="1" applyFill="1" applyBorder="1" applyAlignment="1" applyProtection="1">
      <alignment horizontal="center"/>
    </xf>
    <xf numFmtId="1" fontId="3" fillId="0" borderId="242" xfId="0" applyNumberFormat="1" applyFont="1" applyFill="1" applyBorder="1" applyAlignment="1" applyProtection="1">
      <alignment horizontal="center" wrapText="1"/>
    </xf>
    <xf numFmtId="1" fontId="3" fillId="0" borderId="242" xfId="0" applyNumberFormat="1" applyFont="1" applyFill="1" applyBorder="1" applyAlignment="1" applyProtection="1">
      <alignment horizontal="left"/>
    </xf>
    <xf numFmtId="0" fontId="3" fillId="23" borderId="82" xfId="0" applyFont="1" applyFill="1" applyBorder="1" applyAlignment="1" applyProtection="1">
      <alignment horizontal="left" wrapText="1"/>
    </xf>
    <xf numFmtId="3" fontId="7" fillId="0" borderId="239" xfId="0" applyNumberFormat="1" applyFont="1" applyBorder="1"/>
    <xf numFmtId="0" fontId="3" fillId="23" borderId="21" xfId="0" applyNumberFormat="1" applyFont="1" applyFill="1" applyBorder="1" applyAlignment="1" applyProtection="1">
      <alignment horizontal="center"/>
    </xf>
    <xf numFmtId="0" fontId="3" fillId="23" borderId="2" xfId="0" applyNumberFormat="1" applyFont="1" applyFill="1" applyBorder="1" applyAlignment="1" applyProtection="1">
      <alignment horizontal="center"/>
    </xf>
    <xf numFmtId="0" fontId="5" fillId="23" borderId="15" xfId="0" applyNumberFormat="1" applyFont="1" applyFill="1" applyBorder="1" applyAlignment="1" applyProtection="1">
      <alignment horizontal="center"/>
    </xf>
    <xf numFmtId="0" fontId="3" fillId="23" borderId="5" xfId="0" applyNumberFormat="1" applyFont="1" applyFill="1" applyBorder="1" applyAlignment="1" applyProtection="1">
      <alignment horizontal="center"/>
    </xf>
    <xf numFmtId="0" fontId="8" fillId="23" borderId="2" xfId="0" applyNumberFormat="1" applyFont="1" applyFill="1" applyBorder="1" applyAlignment="1" applyProtection="1">
      <alignment horizontal="center"/>
    </xf>
    <xf numFmtId="0" fontId="16" fillId="23" borderId="2" xfId="0" applyNumberFormat="1" applyFont="1" applyFill="1" applyBorder="1" applyAlignment="1" applyProtection="1">
      <alignment horizontal="center"/>
    </xf>
    <xf numFmtId="0" fontId="3" fillId="23" borderId="129" xfId="0" applyNumberFormat="1" applyFont="1" applyFill="1" applyBorder="1" applyAlignment="1" applyProtection="1">
      <alignment horizontal="center"/>
    </xf>
    <xf numFmtId="0" fontId="16" fillId="23" borderId="13" xfId="0" applyNumberFormat="1" applyFont="1" applyFill="1" applyBorder="1" applyAlignment="1" applyProtection="1">
      <alignment horizontal="center"/>
    </xf>
    <xf numFmtId="0" fontId="3" fillId="23" borderId="127" xfId="0" applyNumberFormat="1" applyFont="1" applyFill="1" applyBorder="1" applyAlignment="1" applyProtection="1">
      <alignment horizontal="center"/>
    </xf>
    <xf numFmtId="0" fontId="8" fillId="23" borderId="98" xfId="0" applyNumberFormat="1" applyFont="1" applyFill="1" applyBorder="1" applyAlignment="1" applyProtection="1">
      <alignment horizontal="center"/>
    </xf>
    <xf numFmtId="0" fontId="8" fillId="23" borderId="118" xfId="0" applyNumberFormat="1" applyFont="1" applyFill="1" applyBorder="1" applyAlignment="1" applyProtection="1">
      <alignment horizontal="center"/>
    </xf>
    <xf numFmtId="0" fontId="3" fillId="23" borderId="24" xfId="0" applyNumberFormat="1" applyFont="1" applyFill="1" applyBorder="1" applyAlignment="1" applyProtection="1">
      <alignment horizontal="center"/>
    </xf>
    <xf numFmtId="0" fontId="3" fillId="23" borderId="146" xfId="0" applyNumberFormat="1" applyFont="1" applyFill="1" applyBorder="1" applyAlignment="1" applyProtection="1">
      <alignment horizontal="center"/>
    </xf>
    <xf numFmtId="0" fontId="3" fillId="23" borderId="22" xfId="0" applyNumberFormat="1" applyFont="1" applyFill="1" applyBorder="1" applyAlignment="1" applyProtection="1">
      <alignment horizontal="center"/>
    </xf>
    <xf numFmtId="0" fontId="8" fillId="23" borderId="36" xfId="0" applyNumberFormat="1" applyFont="1" applyFill="1" applyBorder="1" applyAlignment="1" applyProtection="1">
      <alignment horizontal="center"/>
    </xf>
    <xf numFmtId="0" fontId="8" fillId="23" borderId="127" xfId="0" applyNumberFormat="1" applyFont="1" applyFill="1" applyBorder="1" applyAlignment="1" applyProtection="1">
      <alignment horizontal="center"/>
    </xf>
    <xf numFmtId="0" fontId="143" fillId="23" borderId="127" xfId="0" applyNumberFormat="1" applyFont="1" applyFill="1" applyBorder="1" applyAlignment="1" applyProtection="1">
      <alignment horizontal="center"/>
    </xf>
    <xf numFmtId="0" fontId="8" fillId="23" borderId="37" xfId="0" applyNumberFormat="1" applyFont="1" applyFill="1" applyBorder="1" applyAlignment="1" applyProtection="1">
      <alignment horizontal="center"/>
    </xf>
    <xf numFmtId="0" fontId="11" fillId="23" borderId="58" xfId="0" applyNumberFormat="1" applyFont="1" applyFill="1" applyBorder="1" applyProtection="1"/>
    <xf numFmtId="0" fontId="3" fillId="23" borderId="131" xfId="0" applyNumberFormat="1" applyFont="1" applyFill="1" applyBorder="1" applyAlignment="1" applyProtection="1">
      <alignment horizontal="center"/>
    </xf>
    <xf numFmtId="0" fontId="8" fillId="23" borderId="130" xfId="0" applyNumberFormat="1" applyFont="1" applyFill="1" applyBorder="1" applyAlignment="1" applyProtection="1">
      <alignment horizontal="center"/>
    </xf>
    <xf numFmtId="0" fontId="124" fillId="23" borderId="21" xfId="0" applyNumberFormat="1" applyFont="1" applyFill="1" applyBorder="1" applyAlignment="1" applyProtection="1">
      <alignment horizontal="center"/>
    </xf>
    <xf numFmtId="49" fontId="3" fillId="23" borderId="24" xfId="6" applyNumberFormat="1" applyFont="1" applyFill="1" applyBorder="1" applyAlignment="1" applyProtection="1">
      <alignment horizontal="center"/>
    </xf>
    <xf numFmtId="0" fontId="96" fillId="0" borderId="0" xfId="10" applyFont="1" applyFill="1" applyProtection="1"/>
    <xf numFmtId="0" fontId="96" fillId="0" borderId="0" xfId="10" applyFont="1" applyFill="1" applyAlignment="1" applyProtection="1"/>
    <xf numFmtId="0" fontId="96" fillId="0" borderId="0" xfId="10" applyFont="1" applyFill="1" applyAlignment="1" applyProtection="1">
      <alignment horizontal="center"/>
    </xf>
    <xf numFmtId="3" fontId="98" fillId="0" borderId="0" xfId="10" applyNumberFormat="1" applyFont="1" applyFill="1" applyAlignment="1" applyProtection="1"/>
    <xf numFmtId="3" fontId="98" fillId="0" borderId="0" xfId="10" applyNumberFormat="1" applyFont="1" applyFill="1" applyAlignment="1" applyProtection="1">
      <alignment horizontal="center"/>
    </xf>
    <xf numFmtId="3" fontId="98" fillId="0" borderId="239" xfId="10" applyNumberFormat="1" applyFont="1" applyFill="1" applyBorder="1" applyAlignment="1" applyProtection="1"/>
    <xf numFmtId="0" fontId="96" fillId="0" borderId="0" xfId="10" applyFont="1" applyFill="1" applyAlignment="1" applyProtection="1">
      <alignment horizontal="left"/>
    </xf>
    <xf numFmtId="0" fontId="3" fillId="0" borderId="0" xfId="10" applyFont="1" applyFill="1" applyAlignment="1" applyProtection="1">
      <alignment horizontal="left"/>
    </xf>
    <xf numFmtId="0" fontId="3" fillId="0" borderId="0" xfId="10" quotePrefix="1" applyFont="1" applyFill="1" applyAlignment="1" applyProtection="1">
      <alignment horizontal="center"/>
    </xf>
    <xf numFmtId="3" fontId="98" fillId="0" borderId="67" xfId="10" applyNumberFormat="1" applyFont="1" applyFill="1" applyBorder="1" applyAlignment="1" applyProtection="1"/>
    <xf numFmtId="0" fontId="3" fillId="0" borderId="0" xfId="10" applyFont="1" applyFill="1" applyAlignment="1" applyProtection="1">
      <alignment horizontal="center"/>
    </xf>
    <xf numFmtId="0" fontId="3" fillId="0" borderId="0" xfId="10" quotePrefix="1" applyFont="1" applyFill="1" applyBorder="1" applyAlignment="1" applyProtection="1">
      <alignment horizontal="center"/>
    </xf>
    <xf numFmtId="3" fontId="136" fillId="2" borderId="0" xfId="0" applyNumberFormat="1" applyFont="1" applyFill="1" applyBorder="1" applyAlignment="1" applyProtection="1">
      <alignment horizontal="left"/>
      <protection locked="0"/>
    </xf>
    <xf numFmtId="165" fontId="2" fillId="23" borderId="52" xfId="0" applyNumberFormat="1" applyFont="1" applyFill="1" applyBorder="1" applyProtection="1"/>
    <xf numFmtId="165" fontId="2" fillId="23" borderId="59" xfId="0" applyNumberFormat="1" applyFont="1" applyFill="1" applyBorder="1" applyProtection="1"/>
    <xf numFmtId="3" fontId="13" fillId="2" borderId="239" xfId="0" applyNumberFormat="1" applyFont="1" applyFill="1" applyBorder="1" applyAlignment="1" applyProtection="1">
      <alignment horizontal="right"/>
    </xf>
    <xf numFmtId="3" fontId="13" fillId="23" borderId="26" xfId="0" applyNumberFormat="1" applyFont="1" applyFill="1" applyBorder="1" applyAlignment="1" applyProtection="1">
      <alignment horizontal="right"/>
      <protection locked="0"/>
    </xf>
    <xf numFmtId="49" fontId="8" fillId="23" borderId="169" xfId="0" applyNumberFormat="1" applyFont="1" applyFill="1" applyBorder="1" applyAlignment="1" applyProtection="1">
      <alignment horizontal="center"/>
    </xf>
    <xf numFmtId="49" fontId="3" fillId="23" borderId="136" xfId="0" applyNumberFormat="1" applyFont="1" applyFill="1" applyBorder="1" applyAlignment="1" applyProtection="1">
      <alignment horizontal="center" wrapText="1"/>
    </xf>
    <xf numFmtId="49" fontId="8" fillId="23" borderId="136" xfId="0" applyNumberFormat="1" applyFont="1" applyFill="1" applyBorder="1" applyAlignment="1" applyProtection="1">
      <alignment horizontal="left"/>
    </xf>
    <xf numFmtId="49" fontId="8" fillId="23" borderId="4" xfId="0" applyNumberFormat="1" applyFont="1" applyFill="1" applyBorder="1" applyAlignment="1" applyProtection="1">
      <alignment horizontal="center"/>
    </xf>
    <xf numFmtId="49" fontId="8" fillId="0" borderId="210" xfId="0" applyNumberFormat="1" applyFont="1" applyFill="1" applyBorder="1" applyAlignment="1" applyProtection="1">
      <alignment horizontal="left"/>
    </xf>
    <xf numFmtId="3" fontId="136" fillId="0" borderId="0" xfId="0" applyNumberFormat="1" applyFont="1" applyFill="1" applyBorder="1" applyProtection="1">
      <protection locked="0"/>
    </xf>
    <xf numFmtId="3" fontId="2" fillId="2" borderId="212" xfId="0" applyNumberFormat="1" applyFont="1" applyFill="1" applyBorder="1" applyAlignment="1" applyProtection="1">
      <alignment horizontal="right"/>
      <protection locked="0"/>
    </xf>
    <xf numFmtId="3" fontId="2" fillId="0" borderId="212" xfId="0" applyNumberFormat="1" applyFont="1" applyFill="1" applyBorder="1" applyProtection="1">
      <protection locked="0"/>
    </xf>
    <xf numFmtId="3" fontId="2" fillId="23" borderId="58" xfId="0" applyNumberFormat="1" applyFont="1" applyFill="1" applyBorder="1" applyAlignment="1" applyProtection="1">
      <alignment horizontal="right"/>
      <protection locked="0"/>
    </xf>
    <xf numFmtId="3" fontId="2" fillId="23" borderId="57" xfId="0" applyNumberFormat="1" applyFont="1" applyFill="1" applyBorder="1" applyAlignment="1" applyProtection="1">
      <alignment horizontal="right"/>
      <protection locked="0"/>
    </xf>
    <xf numFmtId="0" fontId="37" fillId="0" borderId="0" xfId="0" applyFont="1" applyFill="1" applyAlignment="1" applyProtection="1">
      <alignment vertical="top"/>
    </xf>
    <xf numFmtId="0" fontId="136" fillId="0" borderId="0" xfId="0" applyFont="1" applyFill="1" applyBorder="1" applyAlignment="1" applyProtection="1"/>
    <xf numFmtId="0" fontId="0" fillId="0" borderId="0" xfId="0" applyBorder="1" applyAlignment="1">
      <alignment vertical="top" wrapText="1"/>
    </xf>
    <xf numFmtId="0" fontId="0" fillId="0" borderId="0" xfId="0" applyAlignment="1">
      <alignment vertical="top" wrapText="1"/>
    </xf>
    <xf numFmtId="20" fontId="96" fillId="0" borderId="0" xfId="10" quotePrefix="1" applyNumberFormat="1" applyFont="1" applyFill="1" applyBorder="1" applyProtection="1"/>
    <xf numFmtId="3" fontId="48" fillId="24" borderId="127" xfId="0" applyNumberFormat="1" applyFont="1" applyFill="1" applyBorder="1" applyAlignment="1" applyProtection="1"/>
    <xf numFmtId="3" fontId="48" fillId="24" borderId="60" xfId="0" applyNumberFormat="1" applyFont="1" applyFill="1" applyBorder="1" applyAlignment="1" applyProtection="1"/>
    <xf numFmtId="0" fontId="136" fillId="0" borderId="0" xfId="0" applyNumberFormat="1" applyFont="1" applyFill="1" applyBorder="1" applyAlignment="1" applyProtection="1">
      <alignment vertical="top" wrapText="1"/>
    </xf>
    <xf numFmtId="0" fontId="136" fillId="0" borderId="0" xfId="0" applyNumberFormat="1" applyFont="1" applyFill="1" applyBorder="1" applyAlignment="1" applyProtection="1">
      <alignment wrapText="1"/>
    </xf>
    <xf numFmtId="3" fontId="10" fillId="0" borderId="7" xfId="0" applyNumberFormat="1" applyFont="1" applyFill="1" applyBorder="1" applyAlignment="1" applyProtection="1">
      <alignment horizontal="right"/>
      <protection locked="0"/>
    </xf>
    <xf numFmtId="0" fontId="173" fillId="0" borderId="0" xfId="0" applyFont="1" applyFill="1" applyBorder="1" applyProtection="1"/>
    <xf numFmtId="3" fontId="136" fillId="0" borderId="0" xfId="0" applyNumberFormat="1" applyFont="1" applyFill="1" applyBorder="1" applyAlignment="1" applyProtection="1">
      <alignment horizontal="left" vertical="top" wrapText="1"/>
    </xf>
    <xf numFmtId="0" fontId="3" fillId="23" borderId="37" xfId="0" applyFont="1" applyFill="1" applyBorder="1" applyAlignment="1" applyProtection="1">
      <alignment horizontal="center"/>
    </xf>
    <xf numFmtId="0" fontId="8" fillId="23" borderId="245" xfId="0" applyFont="1" applyFill="1" applyBorder="1" applyAlignment="1" applyProtection="1">
      <alignment horizontal="center"/>
    </xf>
    <xf numFmtId="0" fontId="3" fillId="23" borderId="91" xfId="0" applyFont="1" applyFill="1" applyBorder="1" applyAlignment="1" applyProtection="1">
      <alignment horizontal="left" vertical="top" wrapText="1"/>
    </xf>
    <xf numFmtId="0" fontId="3" fillId="23" borderId="135" xfId="0" applyFont="1" applyFill="1" applyBorder="1" applyAlignment="1" applyProtection="1">
      <alignment horizontal="left" vertical="top" wrapText="1"/>
    </xf>
    <xf numFmtId="0" fontId="3" fillId="23" borderId="130" xfId="0" applyFont="1" applyFill="1" applyBorder="1" applyAlignment="1" applyProtection="1">
      <alignment horizontal="left" vertical="top" wrapText="1"/>
    </xf>
    <xf numFmtId="0" fontId="3" fillId="23" borderId="168" xfId="6" applyFont="1" applyFill="1" applyBorder="1" applyAlignment="1" applyProtection="1">
      <alignment vertical="top" wrapText="1"/>
    </xf>
    <xf numFmtId="3" fontId="3" fillId="23" borderId="194" xfId="0" applyNumberFormat="1" applyFont="1" applyFill="1" applyBorder="1" applyAlignment="1" applyProtection="1">
      <alignment vertical="top" wrapText="1"/>
    </xf>
    <xf numFmtId="0" fontId="0" fillId="0" borderId="0" xfId="0" applyFill="1" applyBorder="1" applyAlignment="1"/>
    <xf numFmtId="3" fontId="2" fillId="2" borderId="0" xfId="0" applyNumberFormat="1" applyFont="1" applyFill="1" applyBorder="1" applyProtection="1">
      <protection locked="0"/>
    </xf>
    <xf numFmtId="49" fontId="3" fillId="32" borderId="0" xfId="0" applyNumberFormat="1" applyFont="1" applyFill="1" applyBorder="1" applyAlignment="1" applyProtection="1">
      <alignment horizontal="center"/>
    </xf>
    <xf numFmtId="0" fontId="5" fillId="32" borderId="0" xfId="0" applyFont="1" applyFill="1" applyBorder="1" applyAlignment="1" applyProtection="1">
      <alignment horizontal="left"/>
    </xf>
    <xf numFmtId="49" fontId="3" fillId="23" borderId="115" xfId="0" applyNumberFormat="1" applyFont="1" applyFill="1" applyBorder="1" applyAlignment="1" applyProtection="1">
      <alignment horizontal="center"/>
    </xf>
    <xf numFmtId="3" fontId="2" fillId="3" borderId="155" xfId="0" applyNumberFormat="1" applyFont="1" applyFill="1" applyBorder="1" applyProtection="1"/>
    <xf numFmtId="49" fontId="3" fillId="23" borderId="15" xfId="0" applyNumberFormat="1" applyFont="1" applyFill="1" applyBorder="1" applyAlignment="1" applyProtection="1">
      <alignment horizontal="center"/>
    </xf>
    <xf numFmtId="165" fontId="3" fillId="23" borderId="15" xfId="0" applyNumberFormat="1" applyFont="1" applyFill="1" applyBorder="1" applyAlignment="1" applyProtection="1">
      <alignment horizontal="left"/>
    </xf>
    <xf numFmtId="49" fontId="3" fillId="23" borderId="68" xfId="0" applyNumberFormat="1" applyFont="1" applyFill="1" applyBorder="1" applyAlignment="1" applyProtection="1">
      <alignment horizontal="center"/>
    </xf>
    <xf numFmtId="3" fontId="2" fillId="2" borderId="191" xfId="0" applyNumberFormat="1" applyFont="1" applyFill="1" applyBorder="1" applyAlignment="1" applyProtection="1">
      <alignment horizontal="right"/>
      <protection locked="0"/>
    </xf>
    <xf numFmtId="3" fontId="2" fillId="2" borderId="95" xfId="0" applyNumberFormat="1" applyFont="1" applyFill="1" applyBorder="1" applyAlignment="1" applyProtection="1">
      <alignment horizontal="right"/>
      <protection locked="0"/>
    </xf>
    <xf numFmtId="0" fontId="37" fillId="0" borderId="158" xfId="0" applyFont="1" applyFill="1" applyBorder="1" applyProtection="1"/>
    <xf numFmtId="49" fontId="5" fillId="23" borderId="68" xfId="0" applyNumberFormat="1" applyFont="1" applyFill="1" applyBorder="1" applyAlignment="1" applyProtection="1">
      <alignment horizontal="center"/>
    </xf>
    <xf numFmtId="3" fontId="2" fillId="2" borderId="25" xfId="0" applyNumberFormat="1" applyFont="1" applyFill="1" applyBorder="1" applyAlignment="1" applyProtection="1">
      <alignment horizontal="right"/>
      <protection locked="0"/>
    </xf>
    <xf numFmtId="3" fontId="2" fillId="2" borderId="69" xfId="0" applyNumberFormat="1" applyFont="1" applyFill="1" applyBorder="1" applyAlignment="1" applyProtection="1">
      <alignment horizontal="right"/>
      <protection locked="0"/>
    </xf>
    <xf numFmtId="0" fontId="3" fillId="23" borderId="128" xfId="0" applyFont="1" applyFill="1" applyBorder="1" applyAlignment="1" applyProtection="1">
      <alignment horizontal="left"/>
    </xf>
    <xf numFmtId="0" fontId="9" fillId="2" borderId="239" xfId="0" applyFont="1" applyFill="1" applyBorder="1" applyProtection="1"/>
    <xf numFmtId="1" fontId="3" fillId="23" borderId="68" xfId="0" applyNumberFormat="1" applyFont="1" applyFill="1" applyBorder="1" applyAlignment="1" applyProtection="1">
      <alignment horizontal="center"/>
    </xf>
    <xf numFmtId="0" fontId="0" fillId="0" borderId="239" xfId="0" applyFill="1" applyBorder="1" applyProtection="1"/>
    <xf numFmtId="0" fontId="0" fillId="2" borderId="210" xfId="0" applyFill="1" applyBorder="1" applyProtection="1"/>
    <xf numFmtId="0" fontId="9" fillId="2" borderId="210" xfId="0" applyFont="1" applyFill="1" applyBorder="1" applyProtection="1"/>
    <xf numFmtId="3" fontId="13" fillId="2" borderId="166" xfId="0" applyNumberFormat="1" applyFont="1" applyFill="1" applyBorder="1" applyAlignment="1" applyProtection="1">
      <alignment horizontal="right"/>
      <protection locked="0"/>
    </xf>
    <xf numFmtId="3" fontId="2" fillId="2" borderId="71" xfId="0" applyNumberFormat="1" applyFont="1" applyFill="1" applyBorder="1" applyAlignment="1" applyProtection="1">
      <alignment horizontal="right"/>
      <protection locked="0"/>
    </xf>
    <xf numFmtId="3" fontId="48" fillId="0" borderId="58" xfId="0" applyNumberFormat="1" applyFont="1" applyFill="1" applyBorder="1" applyProtection="1"/>
    <xf numFmtId="3" fontId="48" fillId="23" borderId="69" xfId="0" applyNumberFormat="1" applyFont="1" applyFill="1" applyBorder="1" applyProtection="1"/>
    <xf numFmtId="3" fontId="48" fillId="24" borderId="87" xfId="0" applyNumberFormat="1" applyFont="1" applyFill="1" applyBorder="1" applyProtection="1"/>
    <xf numFmtId="3" fontId="48" fillId="23" borderId="18" xfId="0" applyNumberFormat="1" applyFont="1" applyFill="1" applyBorder="1" applyProtection="1"/>
    <xf numFmtId="3" fontId="2" fillId="32" borderId="61" xfId="0" applyNumberFormat="1" applyFont="1" applyFill="1" applyBorder="1" applyAlignment="1" applyProtection="1">
      <alignment horizontal="right"/>
      <protection locked="0"/>
    </xf>
    <xf numFmtId="49" fontId="3" fillId="23" borderId="133" xfId="0" applyNumberFormat="1" applyFont="1" applyFill="1" applyBorder="1" applyAlignment="1" applyProtection="1">
      <alignment horizontal="center" wrapText="1"/>
    </xf>
    <xf numFmtId="49" fontId="3" fillId="23" borderId="212" xfId="0" applyNumberFormat="1" applyFont="1" applyFill="1" applyBorder="1" applyAlignment="1" applyProtection="1">
      <alignment horizontal="left"/>
    </xf>
    <xf numFmtId="3" fontId="2" fillId="2" borderId="132" xfId="0" applyNumberFormat="1" applyFont="1" applyFill="1" applyBorder="1" applyAlignment="1" applyProtection="1">
      <alignment horizontal="right"/>
      <protection locked="0"/>
    </xf>
    <xf numFmtId="49" fontId="3" fillId="23" borderId="246" xfId="0" applyNumberFormat="1" applyFont="1" applyFill="1" applyBorder="1" applyAlignment="1" applyProtection="1">
      <alignment horizontal="center"/>
    </xf>
    <xf numFmtId="3" fontId="2" fillId="32" borderId="85" xfId="0" applyNumberFormat="1" applyFont="1" applyFill="1" applyBorder="1" applyProtection="1">
      <protection locked="0"/>
    </xf>
    <xf numFmtId="3" fontId="37" fillId="23" borderId="56" xfId="0" applyNumberFormat="1" applyFont="1" applyFill="1" applyBorder="1" applyAlignment="1" applyProtection="1"/>
    <xf numFmtId="3" fontId="136" fillId="23" borderId="56" xfId="0" applyNumberFormat="1" applyFont="1" applyFill="1" applyBorder="1" applyAlignment="1" applyProtection="1">
      <alignment vertical="center"/>
    </xf>
    <xf numFmtId="0" fontId="3" fillId="23" borderId="7" xfId="0" applyFont="1" applyFill="1" applyBorder="1" applyAlignment="1" applyProtection="1">
      <alignment horizontal="center"/>
    </xf>
    <xf numFmtId="49" fontId="3" fillId="23" borderId="27" xfId="0" applyNumberFormat="1" applyFont="1" applyFill="1" applyBorder="1" applyAlignment="1" applyProtection="1">
      <alignment horizontal="center"/>
    </xf>
    <xf numFmtId="49" fontId="3" fillId="23" borderId="247" xfId="0" applyNumberFormat="1" applyFont="1" applyFill="1" applyBorder="1" applyAlignment="1" applyProtection="1">
      <alignment horizontal="left"/>
    </xf>
    <xf numFmtId="49" fontId="3" fillId="23" borderId="156" xfId="0" applyNumberFormat="1" applyFont="1" applyFill="1" applyBorder="1" applyAlignment="1" applyProtection="1">
      <alignment horizontal="center" wrapText="1"/>
    </xf>
    <xf numFmtId="0" fontId="3" fillId="23" borderId="8" xfId="0" applyFont="1" applyFill="1" applyBorder="1" applyAlignment="1" applyProtection="1">
      <alignment horizontal="left" wrapText="1"/>
    </xf>
    <xf numFmtId="1" fontId="3" fillId="23" borderId="70" xfId="0" applyNumberFormat="1" applyFont="1" applyFill="1" applyBorder="1" applyAlignment="1" applyProtection="1">
      <alignment horizontal="center"/>
    </xf>
    <xf numFmtId="0" fontId="3" fillId="23" borderId="68" xfId="0" applyFont="1" applyFill="1" applyBorder="1" applyAlignment="1" applyProtection="1">
      <alignment horizontal="left"/>
    </xf>
    <xf numFmtId="1" fontId="3" fillId="23" borderId="133" xfId="0" applyNumberFormat="1" applyFont="1" applyFill="1" applyBorder="1" applyAlignment="1" applyProtection="1">
      <alignment horizontal="center"/>
    </xf>
    <xf numFmtId="0" fontId="3" fillId="23" borderId="84" xfId="0" applyFont="1" applyFill="1" applyBorder="1" applyProtection="1"/>
    <xf numFmtId="1" fontId="8" fillId="23" borderId="70" xfId="0" applyNumberFormat="1" applyFont="1" applyFill="1" applyBorder="1" applyAlignment="1" applyProtection="1">
      <alignment horizontal="center"/>
    </xf>
    <xf numFmtId="0" fontId="3" fillId="23" borderId="69" xfId="0" applyFont="1" applyFill="1" applyBorder="1" applyAlignment="1" applyProtection="1">
      <alignment horizontal="left" vertical="top" wrapText="1"/>
    </xf>
    <xf numFmtId="0" fontId="78" fillId="10" borderId="0" xfId="0" applyFont="1" applyFill="1" applyBorder="1" applyAlignment="1">
      <alignment wrapText="1"/>
    </xf>
    <xf numFmtId="0" fontId="69" fillId="10" borderId="0" xfId="0" applyFont="1" applyFill="1" applyBorder="1" applyAlignment="1">
      <alignment wrapText="1"/>
    </xf>
    <xf numFmtId="0" fontId="2" fillId="10" borderId="27" xfId="0" applyFont="1" applyFill="1" applyBorder="1"/>
    <xf numFmtId="0" fontId="2" fillId="10" borderId="0" xfId="0" applyFont="1" applyFill="1" applyBorder="1"/>
    <xf numFmtId="0" fontId="2" fillId="10" borderId="0" xfId="0" applyFont="1" applyFill="1" applyBorder="1" applyAlignment="1">
      <alignment wrapText="1"/>
    </xf>
    <xf numFmtId="49" fontId="2" fillId="10" borderId="0" xfId="0" applyNumberFormat="1" applyFont="1" applyFill="1" applyBorder="1"/>
    <xf numFmtId="49" fontId="2" fillId="10" borderId="0" xfId="0" applyNumberFormat="1" applyFont="1" applyFill="1" applyBorder="1" applyProtection="1"/>
    <xf numFmtId="0" fontId="73" fillId="10" borderId="0" xfId="0" applyFont="1" applyFill="1" applyBorder="1" applyAlignment="1">
      <alignment wrapText="1"/>
    </xf>
    <xf numFmtId="0" fontId="73" fillId="10" borderId="27" xfId="0" applyFont="1" applyFill="1" applyBorder="1" applyAlignment="1"/>
    <xf numFmtId="0" fontId="80" fillId="10" borderId="0" xfId="5" applyFill="1" applyBorder="1" applyAlignment="1" applyProtection="1"/>
    <xf numFmtId="0" fontId="55" fillId="10" borderId="0" xfId="5" applyFont="1" applyFill="1" applyBorder="1" applyAlignment="1" applyProtection="1"/>
    <xf numFmtId="3" fontId="2" fillId="23" borderId="20" xfId="0" applyNumberFormat="1" applyFont="1" applyFill="1" applyBorder="1" applyAlignment="1" applyProtection="1">
      <alignment horizontal="right"/>
    </xf>
    <xf numFmtId="0" fontId="3" fillId="23" borderId="24" xfId="0" applyFont="1" applyFill="1" applyBorder="1" applyAlignment="1" applyProtection="1">
      <alignment vertical="top"/>
    </xf>
    <xf numFmtId="3" fontId="3" fillId="23" borderId="25" xfId="0" applyNumberFormat="1" applyFont="1" applyFill="1" applyBorder="1" applyAlignment="1" applyProtection="1">
      <alignment vertical="top"/>
    </xf>
    <xf numFmtId="0" fontId="176" fillId="2" borderId="0" xfId="0" applyFont="1" applyFill="1" applyProtection="1"/>
    <xf numFmtId="0" fontId="5" fillId="23" borderId="9" xfId="6" applyFont="1" applyFill="1" applyBorder="1" applyAlignment="1" applyProtection="1">
      <alignment vertical="top" wrapText="1"/>
    </xf>
    <xf numFmtId="0" fontId="5" fillId="23" borderId="9" xfId="0" applyFont="1" applyFill="1" applyBorder="1" applyAlignment="1" applyProtection="1">
      <alignment vertical="top" wrapText="1"/>
    </xf>
    <xf numFmtId="3" fontId="44" fillId="23" borderId="53" xfId="0" applyNumberFormat="1" applyFont="1" applyFill="1" applyBorder="1" applyAlignment="1" applyProtection="1">
      <alignment horizontal="left"/>
    </xf>
    <xf numFmtId="1" fontId="2" fillId="23" borderId="15" xfId="0" applyNumberFormat="1" applyFont="1" applyFill="1" applyBorder="1" applyAlignment="1" applyProtection="1">
      <alignment horizontal="left" wrapText="1"/>
    </xf>
    <xf numFmtId="49" fontId="3" fillId="23" borderId="64" xfId="0" applyNumberFormat="1" applyFont="1" applyFill="1" applyBorder="1" applyAlignment="1" applyProtection="1">
      <alignment horizontal="left"/>
    </xf>
    <xf numFmtId="0" fontId="3" fillId="23" borderId="9" xfId="0" applyFont="1" applyFill="1" applyBorder="1" applyAlignment="1" applyProtection="1">
      <alignment horizontal="center" wrapText="1"/>
    </xf>
    <xf numFmtId="1" fontId="3" fillId="23" borderId="70" xfId="0" applyNumberFormat="1" applyFont="1" applyFill="1" applyBorder="1" applyAlignment="1" applyProtection="1">
      <alignment horizontal="left"/>
    </xf>
    <xf numFmtId="0" fontId="118" fillId="23" borderId="25" xfId="0" applyFont="1" applyFill="1" applyBorder="1" applyProtection="1"/>
    <xf numFmtId="3" fontId="3" fillId="23" borderId="60" xfId="0" applyNumberFormat="1" applyFont="1" applyFill="1" applyBorder="1" applyAlignment="1" applyProtection="1">
      <alignment horizontal="left" vertical="top" wrapText="1"/>
    </xf>
    <xf numFmtId="3" fontId="3" fillId="23" borderId="26" xfId="0" applyNumberFormat="1" applyFont="1" applyFill="1" applyBorder="1" applyAlignment="1" applyProtection="1">
      <alignment horizontal="left" vertical="top" wrapText="1"/>
    </xf>
    <xf numFmtId="3" fontId="3" fillId="23" borderId="55" xfId="0" applyNumberFormat="1" applyFont="1" applyFill="1" applyBorder="1" applyAlignment="1" applyProtection="1"/>
    <xf numFmtId="3" fontId="3" fillId="23" borderId="12" xfId="0" applyNumberFormat="1" applyFont="1" applyFill="1" applyBorder="1" applyAlignment="1" applyProtection="1"/>
    <xf numFmtId="3" fontId="2" fillId="0" borderId="12" xfId="0" applyNumberFormat="1" applyFont="1" applyFill="1" applyBorder="1" applyAlignment="1" applyProtection="1">
      <alignment horizontal="right"/>
      <protection locked="0"/>
    </xf>
    <xf numFmtId="3" fontId="2" fillId="23" borderId="19" xfId="0" applyNumberFormat="1" applyFont="1" applyFill="1" applyBorder="1" applyProtection="1"/>
    <xf numFmtId="3" fontId="13" fillId="0" borderId="247" xfId="0" applyNumberFormat="1" applyFont="1" applyFill="1" applyBorder="1" applyAlignment="1" applyProtection="1">
      <alignment horizontal="right"/>
      <protection locked="0"/>
    </xf>
    <xf numFmtId="49" fontId="3" fillId="23" borderId="98" xfId="0" applyNumberFormat="1" applyFont="1" applyFill="1" applyBorder="1" applyAlignment="1" applyProtection="1">
      <alignment horizontal="left" wrapText="1"/>
    </xf>
    <xf numFmtId="3" fontId="5" fillId="23" borderId="95" xfId="0" applyNumberFormat="1" applyFont="1" applyFill="1" applyBorder="1" applyAlignment="1" applyProtection="1">
      <alignment wrapText="1"/>
    </xf>
    <xf numFmtId="49" fontId="3" fillId="23" borderId="248" xfId="0" applyNumberFormat="1" applyFont="1" applyFill="1" applyBorder="1" applyAlignment="1" applyProtection="1">
      <alignment horizontal="center"/>
    </xf>
    <xf numFmtId="2" fontId="3" fillId="23" borderId="207" xfId="0" applyNumberFormat="1" applyFont="1" applyFill="1" applyBorder="1" applyAlignment="1" applyProtection="1">
      <alignment horizontal="left"/>
    </xf>
    <xf numFmtId="2" fontId="3" fillId="23" borderId="236" xfId="0" applyNumberFormat="1" applyFont="1" applyFill="1" applyBorder="1" applyAlignment="1" applyProtection="1">
      <alignment horizontal="left"/>
    </xf>
    <xf numFmtId="2" fontId="3" fillId="23" borderId="249" xfId="0" applyNumberFormat="1" applyFont="1" applyFill="1" applyBorder="1" applyAlignment="1" applyProtection="1">
      <alignment horizontal="left"/>
    </xf>
    <xf numFmtId="3" fontId="2" fillId="2" borderId="250" xfId="0" applyNumberFormat="1" applyFont="1" applyFill="1" applyBorder="1" applyAlignment="1" applyProtection="1">
      <alignment horizontal="right"/>
      <protection locked="0"/>
    </xf>
    <xf numFmtId="166" fontId="24" fillId="10" borderId="27" xfId="0" applyNumberFormat="1" applyFont="1" applyFill="1" applyBorder="1" applyProtection="1"/>
    <xf numFmtId="3" fontId="2" fillId="32" borderId="0" xfId="0" applyNumberFormat="1" applyFont="1" applyFill="1" applyBorder="1" applyAlignment="1" applyProtection="1">
      <alignment horizontal="right"/>
    </xf>
    <xf numFmtId="3" fontId="2" fillId="2" borderId="239" xfId="0" applyNumberFormat="1" applyFont="1" applyFill="1" applyBorder="1" applyAlignment="1" applyProtection="1">
      <alignment horizontal="right"/>
      <protection locked="0"/>
    </xf>
    <xf numFmtId="0" fontId="3" fillId="23" borderId="196" xfId="0" applyNumberFormat="1" applyFont="1" applyFill="1" applyBorder="1" applyAlignment="1" applyProtection="1">
      <alignment horizontal="center" vertical="top" wrapText="1"/>
    </xf>
    <xf numFmtId="0" fontId="177" fillId="0" borderId="0" xfId="0" applyFont="1" applyFill="1" applyBorder="1" applyProtection="1"/>
    <xf numFmtId="0" fontId="5" fillId="23" borderId="66" xfId="0" applyFont="1" applyFill="1" applyBorder="1" applyAlignment="1" applyProtection="1">
      <alignment horizontal="left"/>
    </xf>
    <xf numFmtId="43" fontId="38" fillId="23" borderId="0" xfId="18" applyFont="1" applyFill="1" applyBorder="1" applyAlignment="1" applyProtection="1"/>
    <xf numFmtId="3" fontId="136" fillId="5" borderId="0" xfId="0" applyNumberFormat="1" applyFont="1" applyFill="1" applyBorder="1" applyProtection="1"/>
    <xf numFmtId="3" fontId="2" fillId="8" borderId="2" xfId="6" applyNumberFormat="1" applyFont="1" applyFill="1" applyBorder="1" applyAlignment="1">
      <alignment horizontal="right"/>
    </xf>
    <xf numFmtId="3" fontId="2" fillId="23" borderId="5" xfId="6" applyNumberFormat="1" applyFont="1" applyFill="1" applyBorder="1" applyAlignment="1">
      <alignment horizontal="right"/>
    </xf>
    <xf numFmtId="0" fontId="179" fillId="23" borderId="85" xfId="0" applyFont="1" applyFill="1" applyBorder="1" applyAlignment="1" applyProtection="1">
      <alignment horizontal="left"/>
    </xf>
    <xf numFmtId="0" fontId="37" fillId="0" borderId="0" xfId="0" applyFont="1" applyFill="1" applyAlignment="1" applyProtection="1">
      <alignment wrapText="1"/>
    </xf>
    <xf numFmtId="0" fontId="3" fillId="23" borderId="25" xfId="0" applyFont="1" applyFill="1" applyBorder="1" applyAlignment="1" applyProtection="1">
      <alignment horizontal="left"/>
    </xf>
    <xf numFmtId="0" fontId="5" fillId="23" borderId="13" xfId="0" applyNumberFormat="1" applyFont="1" applyFill="1" applyBorder="1" applyAlignment="1" applyProtection="1">
      <alignment horizontal="center"/>
    </xf>
    <xf numFmtId="1" fontId="4" fillId="23" borderId="118" xfId="0" applyNumberFormat="1" applyFont="1" applyFill="1" applyBorder="1" applyAlignment="1" applyProtection="1">
      <alignment horizontal="center"/>
    </xf>
    <xf numFmtId="49" fontId="3" fillId="23" borderId="204" xfId="0" applyNumberFormat="1" applyFont="1" applyFill="1" applyBorder="1" applyAlignment="1" applyProtection="1">
      <alignment horizontal="left"/>
    </xf>
    <xf numFmtId="49" fontId="3" fillId="23" borderId="196" xfId="0" applyNumberFormat="1" applyFont="1" applyFill="1" applyBorder="1" applyAlignment="1" applyProtection="1">
      <alignment horizontal="left"/>
    </xf>
    <xf numFmtId="49" fontId="3" fillId="23" borderId="219" xfId="0" applyNumberFormat="1" applyFont="1" applyFill="1" applyBorder="1" applyAlignment="1" applyProtection="1">
      <alignment horizontal="center"/>
    </xf>
    <xf numFmtId="0" fontId="5" fillId="23" borderId="208" xfId="0" applyFont="1" applyFill="1" applyBorder="1" applyAlignment="1" applyProtection="1">
      <alignment horizontal="left"/>
    </xf>
    <xf numFmtId="0" fontId="5" fillId="23" borderId="156" xfId="0" applyFont="1" applyFill="1" applyBorder="1" applyAlignment="1" applyProtection="1">
      <alignment horizontal="center"/>
    </xf>
    <xf numFmtId="0" fontId="5" fillId="23" borderId="13" xfId="0" applyFont="1" applyFill="1" applyBorder="1" applyAlignment="1" applyProtection="1">
      <alignment horizontal="center"/>
    </xf>
    <xf numFmtId="0" fontId="5" fillId="23" borderId="9" xfId="0" applyFont="1" applyFill="1" applyBorder="1" applyAlignment="1" applyProtection="1">
      <alignment horizontal="left" wrapText="1"/>
    </xf>
    <xf numFmtId="0" fontId="4" fillId="23" borderId="118" xfId="0" applyFont="1" applyFill="1" applyBorder="1" applyAlignment="1" applyProtection="1">
      <alignment horizontal="center"/>
    </xf>
    <xf numFmtId="0" fontId="5" fillId="23" borderId="203" xfId="0" applyFont="1" applyFill="1" applyBorder="1" applyProtection="1"/>
    <xf numFmtId="1" fontId="3" fillId="23" borderId="35" xfId="0" applyNumberFormat="1" applyFont="1" applyFill="1" applyBorder="1" applyAlignment="1" applyProtection="1">
      <alignment horizontal="center"/>
    </xf>
    <xf numFmtId="0" fontId="3" fillId="23" borderId="251" xfId="0" applyFont="1" applyFill="1" applyBorder="1" applyAlignment="1" applyProtection="1">
      <alignment horizontal="left" wrapText="1"/>
    </xf>
    <xf numFmtId="0" fontId="5" fillId="23" borderId="142" xfId="0" applyFont="1" applyFill="1" applyBorder="1" applyAlignment="1" applyProtection="1">
      <alignment horizontal="left"/>
    </xf>
    <xf numFmtId="0" fontId="3" fillId="23" borderId="42" xfId="0" applyFont="1" applyFill="1" applyBorder="1" applyAlignment="1" applyProtection="1">
      <alignment horizontal="left"/>
    </xf>
    <xf numFmtId="0" fontId="5" fillId="23" borderId="136" xfId="0" applyFont="1" applyFill="1" applyBorder="1" applyProtection="1"/>
    <xf numFmtId="3" fontId="3" fillId="23" borderId="72" xfId="0" applyNumberFormat="1" applyFont="1" applyFill="1" applyBorder="1" applyProtection="1"/>
    <xf numFmtId="3" fontId="3" fillId="23" borderId="24" xfId="0" applyNumberFormat="1" applyFont="1" applyFill="1" applyBorder="1" applyAlignment="1" applyProtection="1">
      <alignment vertical="top" wrapText="1"/>
    </xf>
    <xf numFmtId="3" fontId="8" fillId="23" borderId="155" xfId="0" applyNumberFormat="1" applyFont="1" applyFill="1" applyBorder="1" applyProtection="1"/>
    <xf numFmtId="3" fontId="3" fillId="23" borderId="25" xfId="0" applyNumberFormat="1" applyFont="1" applyFill="1" applyBorder="1" applyAlignment="1" applyProtection="1">
      <alignment vertical="top" wrapText="1"/>
    </xf>
    <xf numFmtId="3" fontId="5" fillId="23" borderId="72" xfId="0" applyNumberFormat="1" applyFont="1" applyFill="1" applyBorder="1" applyAlignment="1" applyProtection="1">
      <alignment vertical="top" wrapText="1"/>
    </xf>
    <xf numFmtId="0" fontId="11" fillId="23" borderId="129" xfId="0" applyFont="1" applyFill="1" applyBorder="1" applyProtection="1"/>
    <xf numFmtId="3" fontId="5" fillId="23" borderId="181" xfId="0" applyNumberFormat="1" applyFont="1" applyFill="1" applyBorder="1" applyProtection="1"/>
    <xf numFmtId="0" fontId="4" fillId="23" borderId="72" xfId="0" applyFont="1" applyFill="1" applyBorder="1" applyAlignment="1" applyProtection="1">
      <alignment horizontal="center" vertical="center"/>
    </xf>
    <xf numFmtId="0" fontId="4" fillId="23" borderId="94" xfId="0" applyFont="1" applyFill="1" applyBorder="1" applyAlignment="1" applyProtection="1">
      <alignment horizontal="center" vertical="center" wrapText="1"/>
    </xf>
    <xf numFmtId="0" fontId="136" fillId="23" borderId="200" xfId="0" applyFont="1" applyFill="1" applyBorder="1" applyAlignment="1" applyProtection="1">
      <alignment horizontal="left"/>
    </xf>
    <xf numFmtId="0" fontId="136" fillId="23" borderId="26" xfId="0" applyFont="1" applyFill="1" applyBorder="1" applyAlignment="1" applyProtection="1">
      <alignment horizontal="left"/>
    </xf>
    <xf numFmtId="0" fontId="136" fillId="23" borderId="19" xfId="0" applyFont="1" applyFill="1" applyBorder="1" applyAlignment="1" applyProtection="1">
      <alignment horizontal="right"/>
    </xf>
    <xf numFmtId="0" fontId="5" fillId="23" borderId="119" xfId="0" applyFont="1" applyFill="1" applyBorder="1" applyAlignment="1" applyProtection="1">
      <alignment horizontal="center" vertical="top"/>
    </xf>
    <xf numFmtId="0" fontId="5" fillId="23" borderId="157" xfId="0" applyFont="1" applyFill="1" applyBorder="1" applyAlignment="1" applyProtection="1">
      <alignment horizontal="center" vertical="top" wrapText="1"/>
    </xf>
    <xf numFmtId="0" fontId="3" fillId="23" borderId="47" xfId="0" applyFont="1" applyFill="1" applyBorder="1" applyAlignment="1" applyProtection="1">
      <alignment horizontal="left" vertical="top" wrapText="1"/>
    </xf>
    <xf numFmtId="2" fontId="2" fillId="0" borderId="71" xfId="0" applyNumberFormat="1" applyFont="1" applyFill="1" applyBorder="1" applyProtection="1">
      <protection locked="0"/>
    </xf>
    <xf numFmtId="0" fontId="3" fillId="43" borderId="6" xfId="0" applyFont="1" applyFill="1" applyBorder="1" applyProtection="1"/>
    <xf numFmtId="0" fontId="5" fillId="43" borderId="191" xfId="0" applyFont="1" applyFill="1" applyBorder="1" applyProtection="1"/>
    <xf numFmtId="0" fontId="3" fillId="43" borderId="3" xfId="0" applyFont="1" applyFill="1" applyBorder="1" applyProtection="1"/>
    <xf numFmtId="0" fontId="3" fillId="44" borderId="6" xfId="0" applyFont="1" applyFill="1" applyBorder="1" applyProtection="1"/>
    <xf numFmtId="1" fontId="8" fillId="43" borderId="5" xfId="0" applyNumberFormat="1" applyFont="1" applyFill="1" applyBorder="1" applyAlignment="1" applyProtection="1">
      <alignment horizontal="center"/>
    </xf>
    <xf numFmtId="0" fontId="3" fillId="43" borderId="5" xfId="0" applyFont="1" applyFill="1" applyBorder="1" applyProtection="1"/>
    <xf numFmtId="0" fontId="118" fillId="23" borderId="5" xfId="0" applyFont="1" applyFill="1" applyBorder="1" applyProtection="1"/>
    <xf numFmtId="0" fontId="3" fillId="33" borderId="5" xfId="0" applyFont="1" applyFill="1" applyBorder="1" applyProtection="1"/>
    <xf numFmtId="3" fontId="24" fillId="0" borderId="0" xfId="0" applyNumberFormat="1" applyFont="1"/>
    <xf numFmtId="0" fontId="3" fillId="33" borderId="2" xfId="0" applyFont="1" applyFill="1" applyBorder="1" applyAlignment="1" applyProtection="1">
      <alignment wrapText="1"/>
    </xf>
    <xf numFmtId="0" fontId="3" fillId="33" borderId="2" xfId="0" applyFont="1" applyFill="1" applyBorder="1" applyProtection="1"/>
    <xf numFmtId="0" fontId="136" fillId="23" borderId="0" xfId="0" applyFont="1" applyFill="1" applyBorder="1" applyProtection="1"/>
    <xf numFmtId="0" fontId="136" fillId="23" borderId="27" xfId="0" applyFont="1" applyFill="1" applyBorder="1" applyProtection="1"/>
    <xf numFmtId="0" fontId="136" fillId="23" borderId="58" xfId="0" applyFont="1" applyFill="1" applyBorder="1" applyProtection="1"/>
    <xf numFmtId="0" fontId="136" fillId="23" borderId="27" xfId="0" applyFont="1" applyFill="1" applyBorder="1" applyAlignment="1" applyProtection="1"/>
    <xf numFmtId="0" fontId="136" fillId="23" borderId="0" xfId="0" applyFont="1" applyFill="1" applyAlignment="1">
      <alignment wrapText="1"/>
    </xf>
    <xf numFmtId="0" fontId="180" fillId="23" borderId="0" xfId="0" applyFont="1" applyFill="1" applyAlignment="1">
      <alignment wrapText="1"/>
    </xf>
    <xf numFmtId="0" fontId="37" fillId="23" borderId="0" xfId="0" applyFont="1" applyFill="1" applyAlignment="1">
      <alignment wrapText="1"/>
    </xf>
    <xf numFmtId="3" fontId="37" fillId="0" borderId="27" xfId="0" applyNumberFormat="1" applyFont="1" applyFill="1" applyBorder="1" applyAlignment="1" applyProtection="1">
      <alignment wrapText="1"/>
    </xf>
    <xf numFmtId="0" fontId="83" fillId="10" borderId="27" xfId="0" applyFont="1" applyFill="1" applyBorder="1" applyAlignment="1"/>
    <xf numFmtId="0" fontId="55" fillId="10" borderId="0" xfId="0" applyFont="1" applyFill="1" applyBorder="1" applyAlignment="1"/>
    <xf numFmtId="0" fontId="73" fillId="10" borderId="27" xfId="0" applyFont="1" applyFill="1" applyBorder="1" applyAlignment="1">
      <alignment horizontal="left" vertical="top"/>
    </xf>
    <xf numFmtId="0" fontId="9" fillId="10" borderId="0" xfId="0" applyFont="1" applyFill="1" applyBorder="1" applyAlignment="1">
      <alignment horizontal="left" vertical="top"/>
    </xf>
    <xf numFmtId="0" fontId="24" fillId="0" borderId="0" xfId="0" applyFont="1" applyBorder="1" applyAlignment="1"/>
    <xf numFmtId="0" fontId="73" fillId="10" borderId="27" xfId="0" applyFont="1" applyFill="1" applyBorder="1" applyAlignment="1">
      <alignment horizontal="left" wrapText="1"/>
    </xf>
    <xf numFmtId="0" fontId="1" fillId="10" borderId="0" xfId="0" applyFont="1" applyFill="1" applyBorder="1" applyAlignment="1">
      <alignment horizontal="left" wrapText="1"/>
    </xf>
    <xf numFmtId="0" fontId="73" fillId="10" borderId="0" xfId="0" applyFont="1" applyFill="1" applyBorder="1" applyAlignment="1">
      <alignment horizontal="left" wrapText="1"/>
    </xf>
    <xf numFmtId="0" fontId="83" fillId="10" borderId="112" xfId="0" applyFont="1" applyFill="1" applyBorder="1" applyAlignment="1">
      <alignment wrapText="1"/>
    </xf>
    <xf numFmtId="0" fontId="83" fillId="10" borderId="67" xfId="0" applyFont="1" applyFill="1" applyBorder="1" applyAlignment="1">
      <alignment wrapText="1"/>
    </xf>
    <xf numFmtId="0" fontId="81" fillId="10" borderId="27" xfId="0" applyFont="1" applyFill="1" applyBorder="1" applyAlignment="1">
      <alignment wrapText="1"/>
    </xf>
    <xf numFmtId="0" fontId="81" fillId="10" borderId="0" xfId="0" applyFont="1" applyFill="1" applyBorder="1" applyAlignment="1">
      <alignment wrapText="1"/>
    </xf>
    <xf numFmtId="0" fontId="73" fillId="10" borderId="0" xfId="0" applyFont="1" applyFill="1" applyBorder="1" applyAlignment="1">
      <alignment horizontal="left" vertical="top"/>
    </xf>
    <xf numFmtId="0" fontId="116" fillId="10" borderId="0" xfId="0" applyFont="1" applyFill="1" applyBorder="1" applyAlignment="1">
      <alignment wrapText="1"/>
    </xf>
    <xf numFmtId="0" fontId="117" fillId="10" borderId="0" xfId="0" applyFont="1" applyFill="1" applyBorder="1" applyAlignment="1"/>
    <xf numFmtId="0" fontId="10" fillId="10" borderId="27" xfId="0" applyFont="1" applyFill="1" applyBorder="1" applyAlignment="1">
      <alignment wrapText="1"/>
    </xf>
    <xf numFmtId="0" fontId="10" fillId="10" borderId="0" xfId="0" applyFont="1" applyFill="1" applyBorder="1" applyAlignment="1">
      <alignment wrapText="1"/>
    </xf>
    <xf numFmtId="0" fontId="10" fillId="10" borderId="27" xfId="0" applyFont="1" applyFill="1" applyBorder="1" applyAlignment="1">
      <alignment horizontal="left" wrapText="1"/>
    </xf>
    <xf numFmtId="0" fontId="10" fillId="10" borderId="0" xfId="0" applyFont="1" applyFill="1" applyBorder="1" applyAlignment="1">
      <alignment horizontal="left" wrapText="1"/>
    </xf>
    <xf numFmtId="0" fontId="2" fillId="10" borderId="27" xfId="0" applyFont="1" applyFill="1" applyBorder="1" applyAlignment="1">
      <alignment wrapText="1"/>
    </xf>
    <xf numFmtId="0" fontId="2" fillId="10" borderId="0" xfId="0" applyFont="1" applyFill="1" applyBorder="1" applyAlignment="1">
      <alignment wrapText="1"/>
    </xf>
    <xf numFmtId="0" fontId="82" fillId="10" borderId="27" xfId="0" applyFont="1" applyFill="1" applyBorder="1" applyAlignment="1">
      <alignment wrapText="1"/>
    </xf>
    <xf numFmtId="0" fontId="82" fillId="10" borderId="0" xfId="0" applyFont="1" applyFill="1" applyBorder="1" applyAlignment="1">
      <alignment wrapText="1"/>
    </xf>
    <xf numFmtId="0" fontId="2" fillId="0" borderId="173" xfId="0" applyFont="1" applyFill="1" applyBorder="1" applyAlignment="1" applyProtection="1">
      <alignment vertical="top" wrapText="1"/>
      <protection locked="0"/>
    </xf>
    <xf numFmtId="0" fontId="2" fillId="0" borderId="159" xfId="0" applyFont="1" applyBorder="1" applyAlignment="1" applyProtection="1">
      <alignment vertical="top" wrapText="1"/>
      <protection locked="0"/>
    </xf>
    <xf numFmtId="0" fontId="2" fillId="0" borderId="176" xfId="0" applyFont="1" applyBorder="1" applyAlignment="1" applyProtection="1">
      <alignment vertical="top" wrapText="1"/>
      <protection locked="0"/>
    </xf>
    <xf numFmtId="0" fontId="5" fillId="23" borderId="36" xfId="0" applyFont="1" applyFill="1" applyBorder="1" applyAlignment="1" applyProtection="1">
      <alignment horizontal="center" vertical="center"/>
    </xf>
    <xf numFmtId="0" fontId="0" fillId="23" borderId="121" xfId="0" applyFill="1" applyBorder="1" applyProtection="1"/>
    <xf numFmtId="0" fontId="3" fillId="23" borderId="125" xfId="0" applyFont="1" applyFill="1" applyBorder="1" applyAlignment="1" applyProtection="1">
      <alignment wrapText="1"/>
    </xf>
    <xf numFmtId="0" fontId="0" fillId="23" borderId="79" xfId="0" applyFill="1" applyBorder="1" applyAlignment="1">
      <alignment wrapText="1"/>
    </xf>
    <xf numFmtId="0" fontId="3" fillId="23" borderId="50" xfId="0" applyFont="1" applyFill="1" applyBorder="1" applyAlignment="1" applyProtection="1">
      <alignment wrapText="1"/>
    </xf>
    <xf numFmtId="0" fontId="24" fillId="23" borderId="52" xfId="0" applyFont="1" applyFill="1" applyBorder="1" applyAlignment="1">
      <alignment wrapText="1"/>
    </xf>
    <xf numFmtId="0" fontId="1" fillId="23" borderId="121" xfId="0" applyFont="1" applyFill="1" applyBorder="1" applyAlignment="1" applyProtection="1"/>
    <xf numFmtId="3" fontId="48" fillId="24" borderId="127" xfId="0" applyNumberFormat="1" applyFont="1" applyFill="1" applyBorder="1" applyAlignment="1" applyProtection="1"/>
    <xf numFmtId="3" fontId="48" fillId="24" borderId="21" xfId="0" applyNumberFormat="1" applyFont="1" applyFill="1" applyBorder="1" applyAlignment="1" applyProtection="1"/>
    <xf numFmtId="3" fontId="48" fillId="24" borderId="60" xfId="0" applyNumberFormat="1" applyFont="1" applyFill="1" applyBorder="1" applyAlignment="1" applyProtection="1"/>
    <xf numFmtId="3" fontId="48" fillId="24" borderId="18" xfId="0" applyNumberFormat="1" applyFont="1" applyFill="1" applyBorder="1" applyAlignment="1" applyProtection="1"/>
    <xf numFmtId="0" fontId="2" fillId="0" borderId="173" xfId="0" applyFont="1" applyBorder="1" applyAlignment="1" applyProtection="1">
      <alignment vertical="top" wrapText="1"/>
      <protection locked="0"/>
    </xf>
    <xf numFmtId="0" fontId="9" fillId="2" borderId="173" xfId="0" applyFont="1" applyFill="1" applyBorder="1" applyAlignment="1" applyProtection="1">
      <alignment vertical="top" wrapText="1"/>
      <protection locked="0"/>
    </xf>
    <xf numFmtId="0" fontId="0" fillId="0" borderId="159" xfId="0" applyBorder="1" applyAlignment="1" applyProtection="1">
      <alignment vertical="top" wrapText="1"/>
      <protection locked="0"/>
    </xf>
    <xf numFmtId="0" fontId="0" fillId="0" borderId="244" xfId="0" applyBorder="1" applyAlignment="1" applyProtection="1">
      <alignment vertical="top" wrapText="1"/>
      <protection locked="0"/>
    </xf>
    <xf numFmtId="0" fontId="5" fillId="23" borderId="121" xfId="0" applyFont="1" applyFill="1" applyBorder="1" applyAlignment="1" applyProtection="1"/>
    <xf numFmtId="3" fontId="5" fillId="23" borderId="36" xfId="0" applyNumberFormat="1" applyFont="1" applyFill="1" applyBorder="1" applyAlignment="1" applyProtection="1">
      <alignment horizontal="center" vertical="center"/>
    </xf>
    <xf numFmtId="0" fontId="7" fillId="23" borderId="121" xfId="0" applyFont="1" applyFill="1" applyBorder="1" applyAlignment="1" applyProtection="1"/>
    <xf numFmtId="0" fontId="3" fillId="23" borderId="183" xfId="0" applyFont="1" applyFill="1" applyBorder="1" applyAlignment="1" applyProtection="1">
      <alignment horizontal="left" wrapText="1"/>
    </xf>
    <xf numFmtId="0" fontId="0" fillId="23" borderId="184" xfId="0" applyFill="1" applyBorder="1" applyAlignment="1" applyProtection="1"/>
    <xf numFmtId="0" fontId="0" fillId="23" borderId="185" xfId="0" applyFill="1" applyBorder="1" applyAlignment="1" applyProtection="1"/>
    <xf numFmtId="0" fontId="2" fillId="0" borderId="112" xfId="0" applyFont="1" applyBorder="1" applyAlignment="1" applyProtection="1">
      <alignment vertical="top" wrapText="1"/>
      <protection locked="0"/>
    </xf>
    <xf numFmtId="0" fontId="2" fillId="0" borderId="67" xfId="0" applyFont="1" applyBorder="1" applyAlignment="1" applyProtection="1">
      <alignment vertical="top" wrapText="1"/>
      <protection locked="0"/>
    </xf>
    <xf numFmtId="0" fontId="2" fillId="0" borderId="126" xfId="0" applyFont="1" applyBorder="1" applyAlignment="1" applyProtection="1">
      <alignment vertical="top" wrapText="1"/>
      <protection locked="0"/>
    </xf>
    <xf numFmtId="0" fontId="2" fillId="0" borderId="27" xfId="0" applyFont="1" applyBorder="1" applyAlignment="1" applyProtection="1">
      <alignment vertical="top" wrapText="1"/>
      <protection locked="0"/>
    </xf>
    <xf numFmtId="0" fontId="2" fillId="0" borderId="0" xfId="0" applyFont="1" applyBorder="1" applyAlignment="1" applyProtection="1">
      <alignment vertical="top" wrapText="1"/>
      <protection locked="0"/>
    </xf>
    <xf numFmtId="0" fontId="2" fillId="0" borderId="44" xfId="0" applyFont="1" applyBorder="1" applyAlignment="1" applyProtection="1">
      <alignment vertical="top" wrapText="1"/>
      <protection locked="0"/>
    </xf>
    <xf numFmtId="0" fontId="2" fillId="0" borderId="111" xfId="0" applyFont="1" applyBorder="1" applyAlignment="1" applyProtection="1">
      <alignment vertical="top" wrapText="1"/>
      <protection locked="0"/>
    </xf>
    <xf numFmtId="0" fontId="2" fillId="0" borderId="1" xfId="0" applyFont="1" applyBorder="1" applyAlignment="1" applyProtection="1">
      <alignment vertical="top" wrapText="1"/>
      <protection locked="0"/>
    </xf>
    <xf numFmtId="0" fontId="2" fillId="0" borderId="62" xfId="0" applyFont="1" applyBorder="1" applyAlignment="1" applyProtection="1">
      <alignment vertical="top" wrapText="1"/>
      <protection locked="0"/>
    </xf>
    <xf numFmtId="1" fontId="5" fillId="0" borderId="0" xfId="0" applyNumberFormat="1" applyFont="1" applyFill="1" applyBorder="1" applyAlignment="1" applyProtection="1">
      <alignment horizontal="left" wrapText="1"/>
    </xf>
    <xf numFmtId="0" fontId="0" fillId="0" borderId="0" xfId="0" applyFill="1" applyBorder="1" applyAlignment="1">
      <alignment horizontal="left" wrapText="1"/>
    </xf>
    <xf numFmtId="1" fontId="3" fillId="0" borderId="0" xfId="0" applyNumberFormat="1" applyFont="1" applyFill="1" applyBorder="1" applyAlignment="1" applyProtection="1">
      <alignment horizontal="center" wrapText="1"/>
    </xf>
    <xf numFmtId="0" fontId="7" fillId="0" borderId="0" xfId="0" applyFont="1" applyFill="1" applyBorder="1" applyAlignment="1" applyProtection="1">
      <alignment vertical="top" wrapText="1"/>
    </xf>
    <xf numFmtId="1" fontId="17" fillId="23" borderId="15" xfId="0" applyNumberFormat="1" applyFont="1" applyFill="1" applyBorder="1" applyAlignment="1" applyProtection="1">
      <alignment horizontal="left" vertical="top" wrapText="1"/>
    </xf>
    <xf numFmtId="0" fontId="55" fillId="23" borderId="42" xfId="0" applyFont="1" applyFill="1" applyBorder="1" applyAlignment="1">
      <alignment horizontal="left" vertical="top" wrapText="1"/>
    </xf>
    <xf numFmtId="0" fontId="9" fillId="0" borderId="0" xfId="0" applyFont="1" applyFill="1" applyAlignment="1" applyProtection="1">
      <alignment wrapText="1"/>
    </xf>
    <xf numFmtId="0" fontId="0" fillId="0" borderId="0" xfId="0" applyAlignment="1">
      <alignment wrapText="1"/>
    </xf>
    <xf numFmtId="1" fontId="2" fillId="23" borderId="15" xfId="0" applyNumberFormat="1" applyFont="1" applyFill="1" applyBorder="1" applyAlignment="1" applyProtection="1">
      <alignment horizontal="left" wrapText="1"/>
    </xf>
    <xf numFmtId="0" fontId="9" fillId="23" borderId="15" xfId="0" applyFont="1" applyFill="1" applyBorder="1" applyAlignment="1">
      <alignment wrapText="1"/>
    </xf>
    <xf numFmtId="0" fontId="8" fillId="2" borderId="67" xfId="0" applyFont="1" applyFill="1" applyBorder="1" applyAlignment="1" applyProtection="1"/>
    <xf numFmtId="0" fontId="0" fillId="0" borderId="67" xfId="0" applyBorder="1" applyAlignment="1" applyProtection="1"/>
    <xf numFmtId="0" fontId="2" fillId="2" borderId="112" xfId="0" applyFont="1" applyFill="1" applyBorder="1" applyAlignment="1" applyProtection="1">
      <alignment vertical="top" wrapText="1"/>
      <protection locked="0"/>
    </xf>
    <xf numFmtId="0" fontId="2" fillId="2" borderId="67" xfId="0" applyFont="1" applyFill="1" applyBorder="1" applyAlignment="1" applyProtection="1">
      <alignment vertical="top" wrapText="1"/>
      <protection locked="0"/>
    </xf>
    <xf numFmtId="0" fontId="2" fillId="2" borderId="126" xfId="0" applyFont="1" applyFill="1" applyBorder="1" applyAlignment="1" applyProtection="1">
      <alignment vertical="top" wrapText="1"/>
      <protection locked="0"/>
    </xf>
    <xf numFmtId="0" fontId="2" fillId="2" borderId="27" xfId="0" applyFont="1" applyFill="1" applyBorder="1" applyAlignment="1" applyProtection="1">
      <alignment vertical="top" wrapText="1"/>
      <protection locked="0"/>
    </xf>
    <xf numFmtId="0" fontId="2" fillId="2" borderId="0" xfId="0" applyFont="1" applyFill="1" applyBorder="1" applyAlignment="1" applyProtection="1">
      <alignment vertical="top" wrapText="1"/>
      <protection locked="0"/>
    </xf>
    <xf numFmtId="0" fontId="2" fillId="2" borderId="44" xfId="0" applyFont="1" applyFill="1" applyBorder="1" applyAlignment="1" applyProtection="1">
      <alignment vertical="top" wrapText="1"/>
      <protection locked="0"/>
    </xf>
    <xf numFmtId="0" fontId="2" fillId="2" borderId="111" xfId="0" applyFont="1" applyFill="1" applyBorder="1" applyAlignment="1" applyProtection="1">
      <alignment vertical="top" wrapText="1"/>
      <protection locked="0"/>
    </xf>
    <xf numFmtId="0" fontId="2" fillId="2" borderId="1" xfId="0" applyFont="1" applyFill="1" applyBorder="1" applyAlignment="1" applyProtection="1">
      <alignment vertical="top" wrapText="1"/>
      <protection locked="0"/>
    </xf>
    <xf numFmtId="0" fontId="2" fillId="2" borderId="62" xfId="0" applyFont="1" applyFill="1" applyBorder="1" applyAlignment="1" applyProtection="1">
      <alignment vertical="top" wrapText="1"/>
      <protection locked="0"/>
    </xf>
    <xf numFmtId="0" fontId="7" fillId="0" borderId="0" xfId="0" applyFont="1" applyFill="1" applyBorder="1" applyAlignment="1">
      <alignment wrapText="1"/>
    </xf>
    <xf numFmtId="0" fontId="0" fillId="0" borderId="239" xfId="0" applyBorder="1" applyAlignment="1" applyProtection="1">
      <alignment vertical="top" wrapText="1"/>
      <protection locked="0"/>
    </xf>
    <xf numFmtId="0" fontId="0" fillId="0" borderId="240" xfId="0" applyBorder="1" applyAlignment="1" applyProtection="1">
      <alignment vertical="top" wrapText="1"/>
      <protection locked="0"/>
    </xf>
    <xf numFmtId="0" fontId="0" fillId="0" borderId="241" xfId="0" applyBorder="1" applyAlignment="1" applyProtection="1">
      <alignment vertical="top" wrapText="1"/>
      <protection locked="0"/>
    </xf>
    <xf numFmtId="0" fontId="0" fillId="0" borderId="242" xfId="0" applyBorder="1" applyAlignment="1" applyProtection="1">
      <alignment vertical="top" wrapText="1"/>
      <protection locked="0"/>
    </xf>
    <xf numFmtId="0" fontId="0" fillId="0" borderId="243" xfId="0" applyBorder="1" applyAlignment="1" applyProtection="1">
      <alignment vertical="top" wrapText="1"/>
      <protection locked="0"/>
    </xf>
    <xf numFmtId="0" fontId="138" fillId="0" borderId="0" xfId="0" applyFont="1" applyFill="1" applyAlignment="1" applyProtection="1">
      <alignment vertical="top" wrapText="1"/>
    </xf>
    <xf numFmtId="0" fontId="138" fillId="0" borderId="0" xfId="0" applyFont="1" applyFill="1" applyBorder="1" applyAlignment="1">
      <alignment wrapText="1"/>
    </xf>
    <xf numFmtId="0" fontId="138" fillId="0" borderId="0" xfId="0" applyFont="1" applyFill="1" applyAlignment="1">
      <alignment vertical="top" wrapText="1"/>
    </xf>
    <xf numFmtId="0" fontId="163" fillId="0" borderId="0" xfId="0" applyFont="1" applyFill="1" applyBorder="1" applyAlignment="1">
      <alignment horizontal="left" wrapText="1"/>
    </xf>
    <xf numFmtId="0" fontId="163" fillId="0" borderId="57" xfId="0" applyFont="1" applyBorder="1" applyAlignment="1">
      <alignment horizontal="left" wrapText="1"/>
    </xf>
    <xf numFmtId="0" fontId="163" fillId="0" borderId="0" xfId="0" applyFont="1" applyAlignment="1">
      <alignment horizontal="left" wrapText="1"/>
    </xf>
    <xf numFmtId="0" fontId="163" fillId="0" borderId="0" xfId="0" applyFont="1" applyBorder="1" applyAlignment="1">
      <alignment horizontal="left" wrapText="1"/>
    </xf>
    <xf numFmtId="0" fontId="163" fillId="0" borderId="0" xfId="0" applyFont="1" applyFill="1" applyBorder="1" applyAlignment="1" applyProtection="1">
      <alignment horizontal="left" vertical="top" wrapText="1"/>
    </xf>
    <xf numFmtId="0" fontId="0" fillId="0" borderId="0" xfId="0" applyFill="1" applyBorder="1" applyAlignment="1">
      <alignment wrapText="1"/>
    </xf>
    <xf numFmtId="0" fontId="0" fillId="0" borderId="0" xfId="0" applyFill="1" applyAlignment="1">
      <alignment wrapText="1"/>
    </xf>
    <xf numFmtId="0" fontId="2" fillId="0" borderId="112" xfId="0" applyFont="1" applyFill="1" applyBorder="1" applyAlignment="1" applyProtection="1">
      <alignment vertical="top" wrapText="1"/>
      <protection locked="0"/>
    </xf>
    <xf numFmtId="0" fontId="3" fillId="23" borderId="118" xfId="0" applyFont="1" applyFill="1" applyBorder="1" applyAlignment="1" applyProtection="1">
      <alignment horizontal="left" vertical="top" wrapText="1"/>
    </xf>
    <xf numFmtId="0" fontId="0" fillId="0" borderId="42" xfId="0" applyBorder="1"/>
    <xf numFmtId="0" fontId="2" fillId="2" borderId="211" xfId="0" applyFont="1" applyFill="1" applyBorder="1" applyAlignment="1" applyProtection="1">
      <alignment vertical="top" wrapText="1"/>
      <protection locked="0"/>
    </xf>
    <xf numFmtId="0" fontId="9" fillId="0" borderId="210" xfId="0" applyFont="1" applyBorder="1" applyAlignment="1" applyProtection="1">
      <alignment vertical="top" wrapText="1"/>
      <protection locked="0"/>
    </xf>
    <xf numFmtId="0" fontId="9" fillId="0" borderId="61" xfId="0" applyFont="1" applyBorder="1" applyAlignment="1" applyProtection="1">
      <alignment vertical="top" wrapText="1"/>
      <protection locked="0"/>
    </xf>
    <xf numFmtId="0" fontId="2" fillId="0" borderId="67" xfId="0" applyFont="1" applyBorder="1" applyAlignment="1" applyProtection="1">
      <alignment wrapText="1"/>
      <protection locked="0"/>
    </xf>
    <xf numFmtId="0" fontId="2" fillId="0" borderId="126" xfId="0" applyFont="1" applyBorder="1" applyAlignment="1" applyProtection="1">
      <alignment wrapText="1"/>
      <protection locked="0"/>
    </xf>
    <xf numFmtId="0" fontId="2" fillId="0" borderId="111" xfId="0" applyFont="1" applyBorder="1" applyAlignment="1" applyProtection="1">
      <alignment wrapText="1"/>
      <protection locked="0"/>
    </xf>
    <xf numFmtId="0" fontId="2" fillId="0" borderId="1" xfId="0" applyFont="1" applyBorder="1" applyAlignment="1" applyProtection="1">
      <alignment wrapText="1"/>
      <protection locked="0"/>
    </xf>
    <xf numFmtId="0" fontId="2" fillId="0" borderId="62" xfId="0" applyFont="1" applyBorder="1" applyAlignment="1" applyProtection="1">
      <alignment wrapText="1"/>
      <protection locked="0"/>
    </xf>
    <xf numFmtId="3" fontId="2" fillId="0" borderId="112" xfId="0" applyNumberFormat="1" applyFont="1" applyFill="1" applyBorder="1" applyAlignment="1" applyProtection="1">
      <alignment vertical="top" wrapText="1"/>
      <protection locked="0"/>
    </xf>
    <xf numFmtId="0" fontId="0" fillId="0" borderId="67" xfId="0" applyBorder="1" applyAlignment="1" applyProtection="1">
      <alignment vertical="top" wrapText="1"/>
      <protection locked="0"/>
    </xf>
    <xf numFmtId="0" fontId="0" fillId="0" borderId="126" xfId="0" applyBorder="1" applyAlignment="1" applyProtection="1">
      <alignment vertical="top" wrapText="1"/>
      <protection locked="0"/>
    </xf>
    <xf numFmtId="0" fontId="0" fillId="0" borderId="111"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62" xfId="0" applyBorder="1" applyAlignment="1" applyProtection="1">
      <alignment vertical="top" wrapText="1"/>
      <protection locked="0"/>
    </xf>
    <xf numFmtId="49" fontId="20" fillId="0" borderId="0" xfId="0" applyNumberFormat="1" applyFont="1" applyFill="1" applyBorder="1" applyAlignment="1" applyProtection="1">
      <alignment horizontal="left" wrapText="1"/>
    </xf>
    <xf numFmtId="0" fontId="61" fillId="0" borderId="0" xfId="0" applyFont="1" applyAlignment="1">
      <alignment horizontal="left" wrapText="1"/>
    </xf>
    <xf numFmtId="0" fontId="0" fillId="0" borderId="0" xfId="0" applyAlignment="1"/>
    <xf numFmtId="0" fontId="61" fillId="0" borderId="0" xfId="0" applyFont="1" applyAlignment="1" applyProtection="1">
      <alignment horizontal="left" wrapText="1"/>
    </xf>
    <xf numFmtId="0" fontId="0" fillId="0" borderId="0" xfId="0" applyAlignment="1" applyProtection="1">
      <alignment wrapText="1"/>
    </xf>
    <xf numFmtId="0" fontId="166" fillId="0" borderId="0" xfId="0" applyNumberFormat="1" applyFont="1" applyFill="1" applyBorder="1" applyAlignment="1" applyProtection="1">
      <alignment vertical="center" wrapText="1"/>
    </xf>
    <xf numFmtId="0" fontId="0" fillId="0" borderId="0" xfId="0" applyFill="1" applyAlignment="1">
      <alignment vertical="center" wrapText="1"/>
    </xf>
    <xf numFmtId="0" fontId="141" fillId="0" borderId="0" xfId="0" applyFont="1" applyFill="1" applyBorder="1" applyAlignment="1" applyProtection="1">
      <alignment vertical="top" wrapText="1"/>
    </xf>
    <xf numFmtId="0" fontId="165" fillId="0" borderId="0" xfId="0" applyFont="1" applyAlignment="1">
      <alignment vertical="top" wrapText="1"/>
    </xf>
    <xf numFmtId="3" fontId="3" fillId="0" borderId="58" xfId="0" applyNumberFormat="1" applyFont="1" applyFill="1" applyBorder="1" applyAlignment="1" applyProtection="1"/>
    <xf numFmtId="0" fontId="7" fillId="0" borderId="57" xfId="0" applyFont="1" applyFill="1" applyBorder="1" applyAlignment="1"/>
    <xf numFmtId="0" fontId="2" fillId="23" borderId="197" xfId="0" applyFont="1" applyFill="1" applyBorder="1" applyAlignment="1" applyProtection="1">
      <alignment horizontal="center" vertical="top"/>
    </xf>
    <xf numFmtId="0" fontId="9" fillId="23" borderId="48" xfId="0" applyFont="1" applyFill="1" applyBorder="1" applyAlignment="1" applyProtection="1">
      <alignment horizontal="center" vertical="top"/>
    </xf>
    <xf numFmtId="0" fontId="9" fillId="23" borderId="41" xfId="0" applyFont="1" applyFill="1" applyBorder="1" applyAlignment="1" applyProtection="1">
      <alignment horizontal="center" vertical="top"/>
    </xf>
    <xf numFmtId="0" fontId="5" fillId="23" borderId="206" xfId="0" applyFont="1" applyFill="1" applyBorder="1" applyAlignment="1" applyProtection="1">
      <alignment horizontal="center" vertical="center" wrapText="1"/>
    </xf>
    <xf numFmtId="0" fontId="5" fillId="23" borderId="164" xfId="0" applyFont="1" applyFill="1" applyBorder="1" applyAlignment="1" applyProtection="1">
      <alignment horizontal="center" vertical="center" wrapText="1"/>
    </xf>
    <xf numFmtId="0" fontId="5" fillId="23" borderId="235" xfId="0" applyFont="1" applyFill="1" applyBorder="1" applyAlignment="1" applyProtection="1">
      <alignment horizontal="center" vertical="center" wrapText="1"/>
    </xf>
    <xf numFmtId="3" fontId="3" fillId="23" borderId="75" xfId="0" applyNumberFormat="1" applyFont="1" applyFill="1" applyBorder="1" applyAlignment="1" applyProtection="1">
      <alignment horizontal="left" wrapText="1"/>
    </xf>
    <xf numFmtId="0" fontId="24" fillId="23" borderId="76" xfId="0" applyFont="1" applyFill="1" applyBorder="1" applyAlignment="1" applyProtection="1">
      <alignment horizontal="left" wrapText="1"/>
    </xf>
    <xf numFmtId="0" fontId="24" fillId="23" borderId="92" xfId="0" applyFont="1" applyFill="1" applyBorder="1" applyAlignment="1" applyProtection="1">
      <alignment horizontal="left" wrapText="1"/>
    </xf>
    <xf numFmtId="3" fontId="3" fillId="23" borderId="75" xfId="0" applyNumberFormat="1" applyFont="1" applyFill="1" applyBorder="1" applyAlignment="1" applyProtection="1">
      <alignment horizontal="left" vertical="top" wrapText="1"/>
    </xf>
    <xf numFmtId="0" fontId="24" fillId="23" borderId="76" xfId="0" applyFont="1" applyFill="1" applyBorder="1" applyAlignment="1" applyProtection="1">
      <alignment horizontal="left" vertical="top" wrapText="1"/>
    </xf>
    <xf numFmtId="0" fontId="24" fillId="23" borderId="92" xfId="0" applyFont="1" applyFill="1" applyBorder="1" applyAlignment="1" applyProtection="1">
      <alignment horizontal="left" vertical="top" wrapText="1"/>
    </xf>
    <xf numFmtId="3" fontId="3" fillId="23" borderId="75" xfId="0" applyNumberFormat="1" applyFont="1" applyFill="1" applyBorder="1" applyAlignment="1" applyProtection="1">
      <alignment vertical="center" wrapText="1"/>
    </xf>
    <xf numFmtId="0" fontId="0" fillId="23" borderId="76" xfId="0" applyFill="1" applyBorder="1" applyAlignment="1" applyProtection="1">
      <alignment vertical="center"/>
    </xf>
    <xf numFmtId="0" fontId="0" fillId="23" borderId="92" xfId="0" applyFill="1" applyBorder="1" applyAlignment="1" applyProtection="1">
      <alignment vertical="center"/>
    </xf>
    <xf numFmtId="3" fontId="3" fillId="23" borderId="158" xfId="0" applyNumberFormat="1" applyFont="1" applyFill="1" applyBorder="1" applyAlignment="1" applyProtection="1">
      <alignment horizontal="left" vertical="top" wrapText="1"/>
    </xf>
    <xf numFmtId="0" fontId="0" fillId="0" borderId="158" xfId="0" applyBorder="1" applyAlignment="1">
      <alignment horizontal="left" wrapText="1"/>
    </xf>
    <xf numFmtId="3" fontId="10" fillId="0" borderId="207" xfId="0" applyNumberFormat="1" applyFont="1" applyFill="1" applyBorder="1" applyAlignment="1" applyProtection="1">
      <alignment horizontal="left" vertical="top" wrapText="1"/>
      <protection locked="0"/>
    </xf>
    <xf numFmtId="0" fontId="2" fillId="0" borderId="236" xfId="0" applyFont="1" applyFill="1" applyBorder="1" applyAlignment="1" applyProtection="1">
      <alignment horizontal="left" vertical="top" wrapText="1"/>
      <protection locked="0"/>
    </xf>
    <xf numFmtId="0" fontId="2" fillId="0" borderId="237" xfId="0" applyFont="1" applyFill="1" applyBorder="1" applyAlignment="1" applyProtection="1">
      <alignment horizontal="left" vertical="top" wrapText="1"/>
      <protection locked="0"/>
    </xf>
    <xf numFmtId="0" fontId="2" fillId="0" borderId="207" xfId="0" applyFont="1" applyFill="1" applyBorder="1" applyAlignment="1" applyProtection="1">
      <alignment horizontal="left" vertical="top" wrapText="1"/>
      <protection locked="0"/>
    </xf>
    <xf numFmtId="3" fontId="3" fillId="23" borderId="211" xfId="0" applyNumberFormat="1" applyFont="1" applyFill="1" applyBorder="1" applyAlignment="1" applyProtection="1">
      <alignment vertical="center" wrapText="1"/>
    </xf>
    <xf numFmtId="3" fontId="3" fillId="23" borderId="201" xfId="0" applyNumberFormat="1" applyFont="1" applyFill="1" applyBorder="1" applyAlignment="1" applyProtection="1">
      <alignment vertical="center" wrapText="1"/>
    </xf>
    <xf numFmtId="0" fontId="3" fillId="23" borderId="12" xfId="0" applyFont="1" applyFill="1" applyBorder="1" applyAlignment="1" applyProtection="1">
      <alignment horizontal="left" vertical="top" wrapText="1"/>
    </xf>
    <xf numFmtId="0" fontId="0" fillId="0" borderId="92" xfId="0" applyBorder="1" applyAlignment="1"/>
    <xf numFmtId="0" fontId="2" fillId="0" borderId="126" xfId="0" applyFont="1" applyFill="1" applyBorder="1" applyAlignment="1" applyProtection="1">
      <alignment vertical="top" wrapText="1"/>
      <protection locked="0"/>
    </xf>
    <xf numFmtId="0" fontId="2" fillId="0" borderId="27" xfId="0" applyFont="1" applyFill="1" applyBorder="1" applyAlignment="1" applyProtection="1">
      <alignment vertical="top" wrapText="1"/>
      <protection locked="0"/>
    </xf>
    <xf numFmtId="0" fontId="2" fillId="0" borderId="44" xfId="0" applyFont="1" applyFill="1" applyBorder="1" applyAlignment="1" applyProtection="1">
      <alignment vertical="top" wrapText="1"/>
      <protection locked="0"/>
    </xf>
    <xf numFmtId="0" fontId="2" fillId="0" borderId="111" xfId="0" applyFont="1" applyFill="1" applyBorder="1" applyAlignment="1" applyProtection="1">
      <alignment vertical="top" wrapText="1"/>
      <protection locked="0"/>
    </xf>
    <xf numFmtId="0" fontId="2" fillId="0" borderId="62" xfId="0" applyFont="1" applyFill="1" applyBorder="1" applyAlignment="1" applyProtection="1">
      <alignment vertical="top" wrapText="1"/>
      <protection locked="0"/>
    </xf>
    <xf numFmtId="0" fontId="3" fillId="2" borderId="206" xfId="0" applyFont="1" applyFill="1" applyBorder="1" applyAlignment="1" applyProtection="1">
      <alignment horizontal="right"/>
    </xf>
    <xf numFmtId="0" fontId="0" fillId="0" borderId="164" xfId="0" applyBorder="1" applyAlignment="1">
      <alignment horizontal="right"/>
    </xf>
    <xf numFmtId="0" fontId="0" fillId="0" borderId="102" xfId="0" applyBorder="1" applyAlignment="1">
      <alignment horizontal="right"/>
    </xf>
    <xf numFmtId="3" fontId="3" fillId="23" borderId="75" xfId="0" applyNumberFormat="1" applyFont="1" applyFill="1" applyBorder="1" applyAlignment="1" applyProtection="1">
      <alignment wrapText="1"/>
    </xf>
    <xf numFmtId="0" fontId="0" fillId="23" borderId="76" xfId="0" applyFill="1" applyBorder="1" applyAlignment="1">
      <alignment wrapText="1"/>
    </xf>
    <xf numFmtId="0" fontId="0" fillId="23" borderId="92" xfId="0" applyFill="1" applyBorder="1" applyAlignment="1">
      <alignment wrapText="1"/>
    </xf>
    <xf numFmtId="3" fontId="3" fillId="23" borderId="160" xfId="6" applyNumberFormat="1" applyFont="1" applyFill="1" applyBorder="1" applyAlignment="1" applyProtection="1">
      <alignment horizontal="left" vertical="top" wrapText="1"/>
    </xf>
    <xf numFmtId="0" fontId="24" fillId="23" borderId="160" xfId="6" applyFill="1" applyBorder="1" applyAlignment="1">
      <alignment horizontal="left" wrapText="1"/>
    </xf>
    <xf numFmtId="3" fontId="3" fillId="23" borderId="173" xfId="0" applyNumberFormat="1" applyFont="1" applyFill="1" applyBorder="1" applyAlignment="1" applyProtection="1">
      <alignment horizontal="left" vertical="top" wrapText="1"/>
    </xf>
    <xf numFmtId="0" fontId="0" fillId="0" borderId="159" xfId="0" applyBorder="1" applyAlignment="1">
      <alignment horizontal="left" wrapText="1"/>
    </xf>
    <xf numFmtId="3" fontId="3" fillId="23" borderId="174" xfId="0" applyNumberFormat="1" applyFont="1" applyFill="1" applyBorder="1" applyAlignment="1" applyProtection="1">
      <alignment horizontal="left" vertical="top" wrapText="1"/>
    </xf>
    <xf numFmtId="0" fontId="163" fillId="0" borderId="124" xfId="0" applyFont="1" applyFill="1" applyBorder="1" applyAlignment="1" applyProtection="1">
      <alignment vertical="top" wrapText="1"/>
    </xf>
    <xf numFmtId="0" fontId="0" fillId="0" borderId="124" xfId="0" applyFill="1" applyBorder="1" applyAlignment="1">
      <alignment vertical="top" wrapText="1"/>
    </xf>
    <xf numFmtId="0" fontId="0" fillId="0" borderId="0" xfId="0" applyFill="1" applyAlignment="1">
      <alignment vertical="top" wrapText="1"/>
    </xf>
    <xf numFmtId="0" fontId="2" fillId="23" borderId="49" xfId="0" applyFont="1" applyFill="1" applyBorder="1" applyAlignment="1" applyProtection="1">
      <alignment horizontal="center" vertical="top"/>
    </xf>
    <xf numFmtId="0" fontId="2" fillId="23" borderId="165" xfId="0" applyFont="1" applyFill="1" applyBorder="1" applyAlignment="1" applyProtection="1">
      <alignment horizontal="center" vertical="top"/>
    </xf>
    <xf numFmtId="3" fontId="2" fillId="23" borderId="49" xfId="0" applyNumberFormat="1" applyFont="1" applyFill="1" applyBorder="1" applyAlignment="1" applyProtection="1">
      <alignment horizontal="center" vertical="top"/>
    </xf>
    <xf numFmtId="3" fontId="2" fillId="23" borderId="48" xfId="0" applyNumberFormat="1" applyFont="1" applyFill="1" applyBorder="1" applyAlignment="1" applyProtection="1">
      <alignment horizontal="center" vertical="top"/>
    </xf>
    <xf numFmtId="3" fontId="2" fillId="23" borderId="165" xfId="0" applyNumberFormat="1" applyFont="1" applyFill="1" applyBorder="1" applyAlignment="1" applyProtection="1">
      <alignment horizontal="center" vertical="top"/>
    </xf>
    <xf numFmtId="0" fontId="2" fillId="23" borderId="48" xfId="0" applyFont="1" applyFill="1" applyBorder="1" applyAlignment="1" applyProtection="1">
      <alignment horizontal="center" vertical="top"/>
    </xf>
    <xf numFmtId="3" fontId="2" fillId="23" borderId="49" xfId="0" applyNumberFormat="1" applyFont="1" applyFill="1" applyBorder="1" applyAlignment="1" applyProtection="1">
      <alignment horizontal="left" vertical="top" wrapText="1"/>
    </xf>
    <xf numFmtId="0" fontId="9" fillId="23" borderId="41" xfId="0" applyFont="1" applyFill="1" applyBorder="1" applyAlignment="1" applyProtection="1">
      <alignment vertical="top" wrapText="1"/>
    </xf>
    <xf numFmtId="0" fontId="163" fillId="0" borderId="0" xfId="0" applyFont="1" applyFill="1" applyBorder="1" applyAlignment="1" applyProtection="1">
      <alignment vertical="top" wrapText="1"/>
    </xf>
    <xf numFmtId="0" fontId="165" fillId="0" borderId="0" xfId="0" applyFont="1" applyFill="1" applyAlignment="1">
      <alignment vertical="top" wrapText="1"/>
    </xf>
    <xf numFmtId="0" fontId="165" fillId="0" borderId="0" xfId="0" applyFont="1" applyFill="1" applyAlignment="1">
      <alignment wrapText="1"/>
    </xf>
    <xf numFmtId="0" fontId="2" fillId="0" borderId="67" xfId="0" applyFont="1" applyFill="1" applyBorder="1" applyAlignment="1" applyProtection="1">
      <alignment vertical="top" wrapText="1"/>
      <protection locked="0"/>
    </xf>
    <xf numFmtId="0" fontId="2" fillId="0" borderId="0" xfId="0" applyFont="1" applyFill="1" applyBorder="1" applyAlignment="1" applyProtection="1">
      <alignment vertical="top" wrapText="1"/>
      <protection locked="0"/>
    </xf>
    <xf numFmtId="0" fontId="2" fillId="0" borderId="1" xfId="0" applyFont="1" applyFill="1" applyBorder="1" applyAlignment="1" applyProtection="1">
      <alignment vertical="top" wrapText="1"/>
      <protection locked="0"/>
    </xf>
    <xf numFmtId="0" fontId="170" fillId="2" borderId="27" xfId="0" applyFont="1" applyFill="1" applyBorder="1" applyAlignment="1" applyProtection="1">
      <alignment vertical="top" wrapText="1"/>
    </xf>
    <xf numFmtId="0" fontId="165" fillId="0" borderId="27" xfId="0" applyFont="1" applyBorder="1" applyAlignment="1">
      <alignment vertical="top" wrapText="1"/>
    </xf>
    <xf numFmtId="0" fontId="3" fillId="23" borderId="27" xfId="0" applyFont="1" applyFill="1" applyBorder="1" applyAlignment="1" applyProtection="1">
      <alignment wrapText="1"/>
    </xf>
    <xf numFmtId="0" fontId="0" fillId="23" borderId="27" xfId="0" applyFill="1" applyBorder="1" applyAlignment="1">
      <alignment wrapText="1"/>
    </xf>
    <xf numFmtId="0" fontId="3" fillId="23" borderId="27" xfId="0" applyFont="1" applyFill="1" applyBorder="1" applyAlignment="1" applyProtection="1">
      <alignment horizontal="left" vertical="top" wrapText="1"/>
    </xf>
    <xf numFmtId="0" fontId="0" fillId="23" borderId="27" xfId="0" applyFill="1" applyBorder="1" applyAlignment="1">
      <alignment horizontal="left" vertical="top" wrapText="1"/>
    </xf>
    <xf numFmtId="0" fontId="3" fillId="23" borderId="0" xfId="0" applyFont="1" applyFill="1" applyBorder="1" applyAlignment="1" applyProtection="1">
      <alignment wrapText="1"/>
    </xf>
    <xf numFmtId="0" fontId="0" fillId="23" borderId="0" xfId="0" applyFill="1" applyAlignment="1">
      <alignment wrapText="1"/>
    </xf>
    <xf numFmtId="0" fontId="155" fillId="23" borderId="0" xfId="0" applyFont="1" applyFill="1" applyBorder="1" applyAlignment="1" applyProtection="1">
      <alignment wrapText="1"/>
    </xf>
    <xf numFmtId="0" fontId="0" fillId="23" borderId="39" xfId="0" applyFill="1" applyBorder="1" applyAlignment="1">
      <alignment wrapText="1"/>
    </xf>
    <xf numFmtId="0" fontId="155" fillId="23" borderId="27" xfId="0" applyFont="1" applyFill="1" applyBorder="1" applyAlignment="1" applyProtection="1">
      <alignment wrapText="1"/>
    </xf>
    <xf numFmtId="0" fontId="3" fillId="23" borderId="15" xfId="0" applyFont="1" applyFill="1" applyBorder="1" applyAlignment="1" applyProtection="1">
      <alignment vertical="top" wrapText="1"/>
    </xf>
    <xf numFmtId="0" fontId="0" fillId="23" borderId="15" xfId="0" applyFill="1" applyBorder="1" applyAlignment="1" applyProtection="1">
      <alignment vertical="top" wrapText="1"/>
    </xf>
    <xf numFmtId="0" fontId="0" fillId="23" borderId="42" xfId="0" applyFill="1" applyBorder="1" applyAlignment="1" applyProtection="1">
      <alignment vertical="top" wrapText="1"/>
    </xf>
    <xf numFmtId="0" fontId="3" fillId="23" borderId="60" xfId="0" applyFont="1" applyFill="1" applyBorder="1" applyAlignment="1" applyProtection="1">
      <alignment vertical="top" wrapText="1"/>
    </xf>
    <xf numFmtId="0" fontId="0" fillId="23" borderId="60" xfId="0" applyFill="1" applyBorder="1" applyAlignment="1" applyProtection="1">
      <alignment vertical="top" wrapText="1"/>
    </xf>
    <xf numFmtId="0" fontId="0" fillId="23" borderId="90" xfId="0" applyFill="1" applyBorder="1" applyAlignment="1" applyProtection="1">
      <alignment vertical="top" wrapText="1"/>
    </xf>
    <xf numFmtId="0" fontId="5" fillId="23" borderId="195" xfId="0" applyFont="1" applyFill="1" applyBorder="1" applyAlignment="1" applyProtection="1">
      <alignment horizontal="left" vertical="top" wrapText="1"/>
    </xf>
    <xf numFmtId="0" fontId="0" fillId="23" borderId="124" xfId="0" applyFill="1" applyBorder="1" applyAlignment="1">
      <alignment vertical="top"/>
    </xf>
    <xf numFmtId="0" fontId="0" fillId="23" borderId="121" xfId="0" applyFill="1" applyBorder="1" applyAlignment="1">
      <alignment vertical="top"/>
    </xf>
    <xf numFmtId="0" fontId="0" fillId="23" borderId="111" xfId="0" applyFill="1" applyBorder="1" applyAlignment="1">
      <alignment vertical="top"/>
    </xf>
    <xf numFmtId="0" fontId="0" fillId="23" borderId="1" xfId="0" applyFill="1" applyBorder="1" applyAlignment="1">
      <alignment vertical="top"/>
    </xf>
    <xf numFmtId="0" fontId="0" fillId="23" borderId="143" xfId="0" applyFill="1" applyBorder="1" applyAlignment="1">
      <alignment vertical="top"/>
    </xf>
    <xf numFmtId="0" fontId="24" fillId="23" borderId="0" xfId="0" applyFont="1" applyFill="1" applyAlignment="1">
      <alignment wrapText="1"/>
    </xf>
    <xf numFmtId="0" fontId="62" fillId="0" borderId="0" xfId="0" applyFont="1" applyFill="1" applyBorder="1" applyAlignment="1" applyProtection="1">
      <alignment horizontal="left" wrapText="1"/>
    </xf>
    <xf numFmtId="0" fontId="5" fillId="23" borderId="124" xfId="0" applyFont="1" applyFill="1" applyBorder="1" applyAlignment="1" applyProtection="1">
      <alignment vertical="top" wrapText="1"/>
    </xf>
    <xf numFmtId="0" fontId="12" fillId="23" borderId="96" xfId="0" applyFont="1" applyFill="1" applyBorder="1" applyAlignment="1" applyProtection="1">
      <alignment vertical="top" wrapText="1"/>
    </xf>
    <xf numFmtId="0" fontId="12" fillId="23" borderId="0" xfId="0" applyFont="1" applyFill="1" applyBorder="1" applyAlignment="1" applyProtection="1">
      <alignment vertical="top" wrapText="1"/>
    </xf>
    <xf numFmtId="0" fontId="12" fillId="23" borderId="44" xfId="0" applyFont="1" applyFill="1" applyBorder="1" applyAlignment="1" applyProtection="1">
      <alignment vertical="top" wrapText="1"/>
    </xf>
    <xf numFmtId="0" fontId="12" fillId="23" borderId="1" xfId="0" applyFont="1" applyFill="1" applyBorder="1" applyAlignment="1" applyProtection="1"/>
    <xf numFmtId="0" fontId="12" fillId="23" borderId="62" xfId="0" applyFont="1" applyFill="1" applyBorder="1" applyAlignment="1" applyProtection="1"/>
    <xf numFmtId="0" fontId="5" fillId="23" borderId="88" xfId="0" applyFont="1" applyFill="1" applyBorder="1" applyAlignment="1" applyProtection="1">
      <alignment vertical="top" wrapText="1"/>
    </xf>
    <xf numFmtId="0" fontId="55" fillId="23" borderId="60" xfId="0" applyFont="1" applyFill="1" applyBorder="1" applyAlignment="1" applyProtection="1">
      <alignment vertical="top" wrapText="1"/>
    </xf>
    <xf numFmtId="0" fontId="2" fillId="0" borderId="199" xfId="0" applyFont="1" applyFill="1" applyBorder="1" applyAlignment="1" applyProtection="1">
      <alignment vertical="top" wrapText="1"/>
      <protection locked="0"/>
    </xf>
    <xf numFmtId="0" fontId="2" fillId="0" borderId="58" xfId="0" applyFont="1" applyFill="1" applyBorder="1" applyAlignment="1" applyProtection="1">
      <alignment vertical="top" wrapText="1"/>
      <protection locked="0"/>
    </xf>
    <xf numFmtId="0" fontId="2" fillId="0" borderId="142" xfId="0" applyFont="1" applyFill="1" applyBorder="1" applyAlignment="1" applyProtection="1">
      <alignment vertical="top" wrapText="1"/>
      <protection locked="0"/>
    </xf>
    <xf numFmtId="0" fontId="2" fillId="0" borderId="199" xfId="0" applyFont="1" applyFill="1" applyBorder="1" applyAlignment="1" applyProtection="1">
      <alignment horizontal="left" vertical="top" wrapText="1"/>
      <protection locked="0"/>
    </xf>
    <xf numFmtId="0" fontId="0" fillId="0" borderId="67" xfId="0" applyFill="1" applyBorder="1" applyAlignment="1" applyProtection="1">
      <alignment vertical="top" wrapText="1"/>
      <protection locked="0"/>
    </xf>
    <xf numFmtId="0" fontId="0" fillId="0" borderId="126" xfId="0" applyFill="1" applyBorder="1" applyAlignment="1" applyProtection="1">
      <alignment vertical="top" wrapText="1"/>
      <protection locked="0"/>
    </xf>
    <xf numFmtId="0" fontId="0" fillId="0" borderId="58" xfId="0"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0" fillId="0" borderId="44" xfId="0" applyFill="1" applyBorder="1" applyAlignment="1" applyProtection="1">
      <alignment vertical="top" wrapText="1"/>
      <protection locked="0"/>
    </xf>
    <xf numFmtId="0" fontId="0" fillId="0" borderId="142" xfId="0" applyFill="1" applyBorder="1" applyAlignment="1" applyProtection="1">
      <alignment vertical="top" wrapText="1"/>
      <protection locked="0"/>
    </xf>
    <xf numFmtId="0" fontId="0" fillId="0" borderId="1" xfId="0" applyFill="1" applyBorder="1" applyAlignment="1" applyProtection="1">
      <alignment vertical="top" wrapText="1"/>
      <protection locked="0"/>
    </xf>
    <xf numFmtId="0" fontId="0" fillId="0" borderId="62" xfId="0" applyFill="1" applyBorder="1" applyAlignment="1" applyProtection="1">
      <alignment vertical="top" wrapText="1"/>
      <protection locked="0"/>
    </xf>
    <xf numFmtId="0" fontId="3" fillId="23" borderId="157" xfId="6" applyFont="1" applyFill="1" applyBorder="1" applyAlignment="1" applyProtection="1">
      <alignment wrapText="1"/>
    </xf>
    <xf numFmtId="0" fontId="0" fillId="0" borderId="159" xfId="0" applyBorder="1" applyAlignment="1">
      <alignment wrapText="1"/>
    </xf>
    <xf numFmtId="0" fontId="2" fillId="0" borderId="112" xfId="6" applyFont="1" applyBorder="1" applyAlignment="1" applyProtection="1">
      <alignment vertical="top" wrapText="1"/>
      <protection locked="0"/>
    </xf>
    <xf numFmtId="0" fontId="0" fillId="0" borderId="67" xfId="0" applyBorder="1" applyAlignment="1">
      <alignment vertical="top" wrapText="1"/>
    </xf>
    <xf numFmtId="0" fontId="0" fillId="0" borderId="126" xfId="0" applyBorder="1" applyAlignment="1">
      <alignment vertical="top" wrapText="1"/>
    </xf>
    <xf numFmtId="0" fontId="0" fillId="0" borderId="27" xfId="0" applyBorder="1" applyAlignment="1">
      <alignment vertical="top" wrapText="1"/>
    </xf>
    <xf numFmtId="0" fontId="0" fillId="0" borderId="0" xfId="0" applyBorder="1" applyAlignment="1">
      <alignment vertical="top" wrapText="1"/>
    </xf>
    <xf numFmtId="0" fontId="0" fillId="0" borderId="44" xfId="0" applyBorder="1" applyAlignment="1">
      <alignment vertical="top" wrapText="1"/>
    </xf>
    <xf numFmtId="0" fontId="0" fillId="0" borderId="111" xfId="0" applyBorder="1" applyAlignment="1">
      <alignment vertical="top" wrapText="1"/>
    </xf>
    <xf numFmtId="0" fontId="0" fillId="0" borderId="1" xfId="0" applyBorder="1" applyAlignment="1">
      <alignment vertical="top" wrapText="1"/>
    </xf>
    <xf numFmtId="0" fontId="0" fillId="0" borderId="62" xfId="0" applyBorder="1" applyAlignment="1">
      <alignment vertical="top" wrapText="1"/>
    </xf>
    <xf numFmtId="0" fontId="2" fillId="0" borderId="112" xfId="6" applyFont="1" applyFill="1" applyBorder="1" applyAlignment="1" applyProtection="1">
      <alignment vertical="top" wrapText="1"/>
      <protection locked="0"/>
    </xf>
    <xf numFmtId="3" fontId="3" fillId="23" borderId="27" xfId="6" applyNumberFormat="1" applyFont="1" applyFill="1" applyBorder="1" applyAlignment="1" applyProtection="1">
      <alignment vertical="top" wrapText="1"/>
    </xf>
    <xf numFmtId="0" fontId="24" fillId="23" borderId="57" xfId="6" applyFill="1" applyBorder="1" applyAlignment="1" applyProtection="1"/>
    <xf numFmtId="0" fontId="24" fillId="23" borderId="27" xfId="6" applyFill="1" applyBorder="1" applyAlignment="1" applyProtection="1"/>
    <xf numFmtId="0" fontId="2" fillId="0" borderId="67" xfId="6" applyFont="1" applyFill="1" applyBorder="1" applyAlignment="1" applyProtection="1">
      <alignment vertical="top" wrapText="1"/>
      <protection locked="0"/>
    </xf>
    <xf numFmtId="0" fontId="2" fillId="0" borderId="126" xfId="6" applyFont="1" applyFill="1" applyBorder="1" applyAlignment="1" applyProtection="1">
      <alignment vertical="top" wrapText="1"/>
      <protection locked="0"/>
    </xf>
    <xf numFmtId="0" fontId="2" fillId="0" borderId="27" xfId="6" applyFont="1" applyFill="1" applyBorder="1" applyAlignment="1" applyProtection="1">
      <alignment vertical="top" wrapText="1"/>
      <protection locked="0"/>
    </xf>
    <xf numFmtId="0" fontId="2" fillId="0" borderId="0" xfId="6" applyFont="1" applyFill="1" applyBorder="1" applyAlignment="1" applyProtection="1">
      <alignment vertical="top" wrapText="1"/>
      <protection locked="0"/>
    </xf>
    <xf numFmtId="0" fontId="2" fillId="0" borderId="44" xfId="6" applyFont="1" applyFill="1" applyBorder="1" applyAlignment="1" applyProtection="1">
      <alignment vertical="top" wrapText="1"/>
      <protection locked="0"/>
    </xf>
    <xf numFmtId="0" fontId="2" fillId="0" borderId="111" xfId="6" applyFont="1" applyFill="1" applyBorder="1" applyAlignment="1" applyProtection="1">
      <alignment vertical="top" wrapText="1"/>
      <protection locked="0"/>
    </xf>
    <xf numFmtId="0" fontId="2" fillId="0" borderId="1" xfId="6" applyFont="1" applyFill="1" applyBorder="1" applyAlignment="1" applyProtection="1">
      <alignment vertical="top" wrapText="1"/>
      <protection locked="0"/>
    </xf>
    <xf numFmtId="0" fontId="2" fillId="0" borderId="62" xfId="6" applyFont="1" applyFill="1" applyBorder="1" applyAlignment="1" applyProtection="1">
      <alignment vertical="top" wrapText="1"/>
      <protection locked="0"/>
    </xf>
    <xf numFmtId="3" fontId="3" fillId="23" borderId="159" xfId="6" applyNumberFormat="1" applyFont="1" applyFill="1" applyBorder="1" applyAlignment="1" applyProtection="1">
      <alignment vertical="top" wrapText="1"/>
    </xf>
    <xf numFmtId="0" fontId="0" fillId="0" borderId="159" xfId="0" applyBorder="1" applyAlignment="1">
      <alignment vertical="top" wrapText="1"/>
    </xf>
    <xf numFmtId="0" fontId="3" fillId="23" borderId="159" xfId="6" applyFont="1" applyFill="1" applyBorder="1" applyAlignment="1" applyProtection="1">
      <alignment horizontal="left" wrapText="1"/>
    </xf>
    <xf numFmtId="0" fontId="1" fillId="0" borderId="159" xfId="0" applyFont="1" applyBorder="1" applyAlignment="1">
      <alignment wrapText="1"/>
    </xf>
    <xf numFmtId="0" fontId="1" fillId="0" borderId="176" xfId="0" applyFont="1" applyBorder="1" applyAlignment="1">
      <alignment wrapText="1"/>
    </xf>
    <xf numFmtId="0" fontId="158" fillId="23" borderId="57" xfId="0" applyFont="1" applyFill="1" applyBorder="1" applyAlignment="1">
      <alignment vertical="top" wrapText="1"/>
    </xf>
    <xf numFmtId="0" fontId="0" fillId="23" borderId="57" xfId="0" applyFill="1" applyBorder="1" applyAlignment="1">
      <alignment vertical="top" wrapText="1"/>
    </xf>
    <xf numFmtId="0" fontId="161" fillId="23" borderId="57" xfId="0" applyFont="1" applyFill="1" applyBorder="1" applyAlignment="1">
      <alignment wrapText="1"/>
    </xf>
    <xf numFmtId="0" fontId="162" fillId="0" borderId="57" xfId="0" applyFont="1" applyBorder="1" applyAlignment="1">
      <alignment wrapText="1"/>
    </xf>
    <xf numFmtId="0" fontId="159" fillId="23" borderId="87" xfId="0" applyFont="1" applyFill="1" applyBorder="1" applyAlignment="1">
      <alignment horizontal="left" vertical="top" wrapText="1"/>
    </xf>
    <xf numFmtId="0" fontId="0" fillId="23" borderId="57" xfId="0" applyFill="1" applyBorder="1" applyAlignment="1">
      <alignment horizontal="left" vertical="top" wrapText="1"/>
    </xf>
    <xf numFmtId="0" fontId="0" fillId="23" borderId="59" xfId="0" applyFill="1" applyBorder="1" applyAlignment="1">
      <alignment horizontal="left" vertical="top" wrapText="1"/>
    </xf>
    <xf numFmtId="0" fontId="55" fillId="23" borderId="36" xfId="6" applyFont="1" applyFill="1" applyBorder="1" applyAlignment="1" applyProtection="1">
      <alignment vertical="center" wrapText="1"/>
    </xf>
    <xf numFmtId="0" fontId="0" fillId="0" borderId="96" xfId="0" applyBorder="1" applyAlignment="1">
      <alignment wrapText="1"/>
    </xf>
    <xf numFmtId="0" fontId="0" fillId="0" borderId="58" xfId="0" applyBorder="1" applyAlignment="1">
      <alignment wrapText="1"/>
    </xf>
    <xf numFmtId="0" fontId="0" fillId="0" borderId="44" xfId="0" applyBorder="1" applyAlignment="1">
      <alignment wrapText="1"/>
    </xf>
    <xf numFmtId="0" fontId="3" fillId="23" borderId="118" xfId="6" applyFont="1" applyFill="1" applyBorder="1" applyAlignment="1" applyProtection="1">
      <alignment vertical="top" wrapText="1"/>
    </xf>
    <xf numFmtId="0" fontId="0" fillId="0" borderId="2" xfId="0" applyBorder="1" applyAlignment="1">
      <alignment vertical="top" wrapText="1"/>
    </xf>
    <xf numFmtId="3" fontId="3" fillId="23" borderId="16" xfId="6" applyNumberFormat="1" applyFont="1" applyFill="1" applyBorder="1" applyAlignment="1" applyProtection="1">
      <alignment vertical="top" wrapText="1"/>
    </xf>
    <xf numFmtId="0" fontId="0" fillId="23" borderId="16" xfId="0" applyFill="1" applyBorder="1" applyAlignment="1">
      <alignment wrapText="1"/>
    </xf>
    <xf numFmtId="3" fontId="3" fillId="23" borderId="15" xfId="6" applyNumberFormat="1" applyFont="1" applyFill="1" applyBorder="1" applyAlignment="1" applyProtection="1">
      <alignment vertical="top" wrapText="1"/>
    </xf>
    <xf numFmtId="0" fontId="0" fillId="23" borderId="15" xfId="0" applyFill="1" applyBorder="1" applyAlignment="1">
      <alignment vertical="top" wrapText="1"/>
    </xf>
    <xf numFmtId="0" fontId="0" fillId="23" borderId="15" xfId="0" applyFill="1" applyBorder="1" applyAlignment="1">
      <alignment wrapText="1"/>
    </xf>
    <xf numFmtId="0" fontId="3" fillId="23" borderId="15" xfId="6" applyFont="1" applyFill="1" applyBorder="1" applyAlignment="1" applyProtection="1">
      <alignment vertical="top" wrapText="1"/>
    </xf>
    <xf numFmtId="0" fontId="0" fillId="23" borderId="42" xfId="0" applyFill="1" applyBorder="1" applyAlignment="1">
      <alignment vertical="top" wrapText="1"/>
    </xf>
    <xf numFmtId="3" fontId="3" fillId="23" borderId="159" xfId="6" applyNumberFormat="1" applyFont="1" applyFill="1" applyBorder="1" applyAlignment="1" applyProtection="1">
      <alignment vertical="center" wrapText="1"/>
    </xf>
    <xf numFmtId="0" fontId="0" fillId="23" borderId="159" xfId="0" applyFill="1" applyBorder="1" applyAlignment="1">
      <alignment vertical="center" wrapText="1"/>
    </xf>
    <xf numFmtId="3" fontId="3" fillId="23" borderId="168" xfId="6" applyNumberFormat="1" applyFont="1" applyFill="1" applyBorder="1" applyAlignment="1" applyProtection="1">
      <alignment wrapText="1"/>
    </xf>
    <xf numFmtId="0" fontId="0" fillId="23" borderId="3" xfId="0" applyFill="1" applyBorder="1" applyAlignment="1">
      <alignment wrapText="1"/>
    </xf>
    <xf numFmtId="0" fontId="0" fillId="23" borderId="159" xfId="0" applyFill="1" applyBorder="1" applyAlignment="1">
      <alignment vertical="center"/>
    </xf>
    <xf numFmtId="0" fontId="24" fillId="23" borderId="159" xfId="0" applyFont="1" applyFill="1" applyBorder="1" applyAlignment="1">
      <alignment vertical="top" wrapText="1"/>
    </xf>
    <xf numFmtId="0" fontId="0" fillId="0" borderId="0" xfId="0" applyAlignment="1">
      <alignment vertical="top" wrapText="1"/>
    </xf>
    <xf numFmtId="3" fontId="3" fillId="23" borderId="159" xfId="6" applyNumberFormat="1" applyFont="1" applyFill="1" applyBorder="1" applyAlignment="1" applyProtection="1">
      <alignment wrapText="1"/>
    </xf>
    <xf numFmtId="3" fontId="3" fillId="23" borderId="159" xfId="0" applyNumberFormat="1" applyFont="1" applyFill="1" applyBorder="1" applyAlignment="1" applyProtection="1">
      <alignment wrapText="1"/>
    </xf>
    <xf numFmtId="0" fontId="0" fillId="23" borderId="159" xfId="0" applyFill="1" applyBorder="1" applyAlignment="1">
      <alignment wrapText="1"/>
    </xf>
    <xf numFmtId="0" fontId="3" fillId="23" borderId="159" xfId="0" applyFont="1" applyFill="1" applyBorder="1" applyAlignment="1" applyProtection="1">
      <alignment vertical="top" wrapText="1"/>
    </xf>
    <xf numFmtId="3" fontId="3" fillId="23" borderId="159" xfId="0" applyNumberFormat="1" applyFont="1" applyFill="1" applyBorder="1" applyAlignment="1" applyProtection="1">
      <alignment vertical="top" wrapText="1"/>
    </xf>
    <xf numFmtId="3" fontId="3" fillId="23" borderId="108" xfId="0" applyNumberFormat="1" applyFont="1" applyFill="1" applyBorder="1" applyAlignment="1" applyProtection="1">
      <alignment vertical="top" wrapText="1"/>
    </xf>
    <xf numFmtId="0" fontId="3" fillId="23" borderId="157" xfId="0" applyFont="1" applyFill="1" applyBorder="1" applyAlignment="1" applyProtection="1">
      <alignment vertical="top" wrapText="1"/>
    </xf>
    <xf numFmtId="0" fontId="24" fillId="23" borderId="176" xfId="0" applyFont="1" applyFill="1" applyBorder="1" applyAlignment="1">
      <alignment vertical="top" wrapText="1"/>
    </xf>
    <xf numFmtId="0" fontId="2" fillId="0" borderId="112" xfId="6" applyFont="1" applyFill="1" applyBorder="1" applyAlignment="1" applyProtection="1">
      <alignment horizontal="left" vertical="top" wrapText="1"/>
      <protection locked="0"/>
    </xf>
    <xf numFmtId="0" fontId="0" fillId="0" borderId="67" xfId="0" applyBorder="1" applyAlignment="1" applyProtection="1">
      <alignment horizontal="left" vertical="top" wrapText="1"/>
      <protection locked="0"/>
    </xf>
    <xf numFmtId="0" fontId="0" fillId="0" borderId="126"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44" xfId="0" applyBorder="1" applyAlignment="1" applyProtection="1">
      <alignment horizontal="left" vertical="top" wrapText="1"/>
      <protection locked="0"/>
    </xf>
    <xf numFmtId="0" fontId="0" fillId="0" borderId="111"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62" xfId="0" applyBorder="1" applyAlignment="1" applyProtection="1">
      <alignment horizontal="left" vertical="top" wrapText="1"/>
      <protection locked="0"/>
    </xf>
    <xf numFmtId="3" fontId="151" fillId="23" borderId="0" xfId="0" applyNumberFormat="1" applyFont="1" applyFill="1" applyBorder="1" applyAlignment="1" applyProtection="1">
      <alignment horizontal="left" vertical="center" wrapText="1"/>
    </xf>
    <xf numFmtId="0" fontId="175" fillId="0" borderId="57" xfId="0" applyFont="1" applyBorder="1" applyAlignment="1">
      <alignment vertical="center" wrapText="1"/>
    </xf>
    <xf numFmtId="0" fontId="175" fillId="0" borderId="0" xfId="0" applyFont="1" applyBorder="1" applyAlignment="1">
      <alignment vertical="center" wrapText="1"/>
    </xf>
    <xf numFmtId="0" fontId="175" fillId="0" borderId="0" xfId="0" applyFont="1" applyAlignment="1">
      <alignment vertical="center" wrapText="1"/>
    </xf>
    <xf numFmtId="0" fontId="175" fillId="0" borderId="39" xfId="0" applyFont="1" applyBorder="1" applyAlignment="1">
      <alignment vertical="center" wrapText="1"/>
    </xf>
    <xf numFmtId="0" fontId="175" fillId="0" borderId="59" xfId="0" applyFont="1" applyBorder="1" applyAlignment="1">
      <alignment vertical="center" wrapText="1"/>
    </xf>
    <xf numFmtId="0" fontId="55" fillId="0" borderId="0" xfId="0" applyFont="1" applyAlignment="1">
      <alignment wrapText="1"/>
    </xf>
    <xf numFmtId="0" fontId="24" fillId="0" borderId="0" xfId="0" applyFont="1" applyAlignment="1"/>
    <xf numFmtId="0" fontId="2" fillId="0" borderId="112" xfId="11" applyFont="1" applyFill="1" applyBorder="1" applyAlignment="1" applyProtection="1">
      <alignment vertical="top" wrapText="1"/>
      <protection locked="0"/>
    </xf>
    <xf numFmtId="0" fontId="0" fillId="0" borderId="239" xfId="0" applyBorder="1" applyAlignment="1">
      <alignment vertical="top" wrapText="1"/>
    </xf>
    <xf numFmtId="0" fontId="0" fillId="0" borderId="240" xfId="0" applyBorder="1" applyAlignment="1">
      <alignment vertical="top" wrapText="1"/>
    </xf>
    <xf numFmtId="0" fontId="0" fillId="0" borderId="241" xfId="0" applyBorder="1" applyAlignment="1">
      <alignment vertical="top" wrapText="1"/>
    </xf>
    <xf numFmtId="0" fontId="0" fillId="0" borderId="242" xfId="0" applyBorder="1" applyAlignment="1">
      <alignment vertical="top" wrapText="1"/>
    </xf>
    <xf numFmtId="0" fontId="0" fillId="0" borderId="243" xfId="0" applyBorder="1" applyAlignment="1">
      <alignment vertical="top" wrapText="1"/>
    </xf>
    <xf numFmtId="0" fontId="2" fillId="0" borderId="112" xfId="10" applyFont="1" applyFill="1" applyBorder="1" applyAlignment="1" applyProtection="1">
      <alignment vertical="top" wrapText="1"/>
      <protection locked="0"/>
    </xf>
    <xf numFmtId="0" fontId="0" fillId="0" borderId="239" xfId="0" applyFill="1" applyBorder="1" applyAlignment="1">
      <alignment vertical="top" wrapText="1"/>
    </xf>
    <xf numFmtId="0" fontId="0" fillId="0" borderId="240" xfId="0" applyFill="1" applyBorder="1" applyAlignment="1">
      <alignment vertical="top" wrapText="1"/>
    </xf>
    <xf numFmtId="0" fontId="0" fillId="0" borderId="27" xfId="0" applyFill="1" applyBorder="1" applyAlignment="1">
      <alignment vertical="top" wrapText="1"/>
    </xf>
    <xf numFmtId="0" fontId="0" fillId="0" borderId="44" xfId="0" applyFill="1" applyBorder="1" applyAlignment="1">
      <alignment vertical="top" wrapText="1"/>
    </xf>
    <xf numFmtId="0" fontId="0" fillId="0" borderId="241" xfId="0" applyFill="1" applyBorder="1" applyAlignment="1">
      <alignment vertical="top" wrapText="1"/>
    </xf>
    <xf numFmtId="0" fontId="0" fillId="0" borderId="242" xfId="0" applyFill="1" applyBorder="1" applyAlignment="1">
      <alignment vertical="top" wrapText="1"/>
    </xf>
    <xf numFmtId="0" fontId="0" fillId="0" borderId="243" xfId="0" applyFill="1" applyBorder="1" applyAlignment="1">
      <alignment vertical="top" wrapText="1"/>
    </xf>
    <xf numFmtId="0" fontId="2" fillId="0" borderId="112" xfId="10" applyFont="1" applyFill="1" applyBorder="1" applyAlignment="1" applyProtection="1">
      <alignment horizontal="left" vertical="top" wrapText="1"/>
      <protection locked="0"/>
    </xf>
  </cellXfs>
  <cellStyles count="19">
    <cellStyle name="Anteckning 2" xfId="1" xr:uid="{00000000-0005-0000-0000-000000000000}"/>
    <cellStyle name="Anteckning 2 2" xfId="2" xr:uid="{00000000-0005-0000-0000-000001000000}"/>
    <cellStyle name="Dålig 2" xfId="3" xr:uid="{00000000-0005-0000-0000-000002000000}"/>
    <cellStyle name="Följde hyperlänken" xfId="4" xr:uid="{00000000-0005-0000-0000-000003000000}"/>
    <cellStyle name="Hyperlänk" xfId="5" builtinId="8"/>
    <cellStyle name="Normal" xfId="0" builtinId="0"/>
    <cellStyle name="Normal 2" xfId="6" xr:uid="{00000000-0005-0000-0000-000006000000}"/>
    <cellStyle name="Normal 3" xfId="7" xr:uid="{00000000-0005-0000-0000-000007000000}"/>
    <cellStyle name="Normal 4" xfId="8" xr:uid="{00000000-0005-0000-0000-000008000000}"/>
    <cellStyle name="Normal 4 2" xfId="9" xr:uid="{00000000-0005-0000-0000-000009000000}"/>
    <cellStyle name="Normal_Kontrollblad" xfId="10" xr:uid="{00000000-0005-0000-0000-00000A000000}"/>
    <cellStyle name="Normal_Kontrollblad_1" xfId="11" xr:uid="{00000000-0005-0000-0000-00000B000000}"/>
    <cellStyle name="Normal_skolkostn" xfId="12" xr:uid="{00000000-0005-0000-0000-00000C000000}"/>
    <cellStyle name="Normal_skolkostn 2" xfId="13" xr:uid="{00000000-0005-0000-0000-00000D000000}"/>
    <cellStyle name="Procent" xfId="14" builtinId="5"/>
    <cellStyle name="Procent 2" xfId="15" xr:uid="{00000000-0005-0000-0000-00000F000000}"/>
    <cellStyle name="Tusental" xfId="18" builtinId="3"/>
    <cellStyle name="Tusental (0)_Kommunägda företag" xfId="16" xr:uid="{00000000-0005-0000-0000-000010000000}"/>
    <cellStyle name="Valuta (0)_Kommunägda företag" xfId="17" xr:uid="{00000000-0005-0000-0000-000011000000}"/>
  </cellStyles>
  <dxfs count="192">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rgb="FFFF0000"/>
      </font>
    </dxf>
    <dxf>
      <font>
        <color rgb="FFFF0000"/>
      </font>
    </dxf>
    <dxf>
      <font>
        <color rgb="FFFF0000"/>
      </font>
    </dxf>
    <dxf>
      <fill>
        <patternFill>
          <bgColor indexed="10"/>
        </patternFill>
      </fill>
    </dxf>
    <dxf>
      <fill>
        <patternFill>
          <bgColor rgb="FFFF0000"/>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color auto="1"/>
      </font>
      <fill>
        <patternFill>
          <bgColor theme="9" tint="0.39994506668294322"/>
        </patternFill>
      </fill>
    </dxf>
    <dxf>
      <font>
        <b val="0"/>
        <i val="0"/>
        <color auto="1"/>
      </font>
      <fill>
        <patternFill>
          <bgColor theme="9" tint="0.59996337778862885"/>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color rgb="FFFF0000"/>
      </font>
    </dxf>
    <dxf>
      <font>
        <b val="0"/>
        <i val="0"/>
        <condense val="0"/>
        <extend val="0"/>
        <color auto="1"/>
      </font>
      <fill>
        <patternFill>
          <bgColor indexed="10"/>
        </patternFill>
      </fill>
    </dxf>
    <dxf>
      <fill>
        <patternFill>
          <bgColor theme="9" tint="0.59996337778862885"/>
        </patternFill>
      </fill>
    </dxf>
    <dxf>
      <font>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ill>
        <patternFill>
          <bgColor rgb="FFFF0000"/>
        </patternFill>
      </fill>
    </dxf>
    <dxf>
      <font>
        <color rgb="FFFF0000"/>
      </font>
    </dxf>
    <dxf>
      <font>
        <b/>
        <i val="0"/>
        <color rgb="FFFF0000"/>
      </font>
    </dxf>
    <dxf>
      <font>
        <b/>
        <i val="0"/>
        <color rgb="FFFF0000"/>
      </font>
    </dxf>
    <dxf>
      <font>
        <color rgb="FFFF0000"/>
      </font>
    </dxf>
    <dxf>
      <font>
        <b/>
        <i val="0"/>
        <color rgb="FFFF0000"/>
      </font>
    </dxf>
    <dxf>
      <font>
        <b/>
        <i val="0"/>
        <color rgb="FFFF0000"/>
      </font>
    </dxf>
    <dxf>
      <font>
        <color rgb="FFFF0000"/>
      </font>
    </dxf>
    <dxf>
      <font>
        <b/>
        <i val="0"/>
        <color rgb="FFFF0000"/>
      </font>
    </dxf>
    <dxf>
      <font>
        <b/>
        <i val="0"/>
        <color rgb="FFFF0000"/>
      </font>
    </dxf>
    <dxf>
      <font>
        <color rgb="FFFF0000"/>
      </font>
    </dxf>
    <dxf>
      <font>
        <b/>
        <i val="0"/>
        <color rgb="FFFF0000"/>
      </font>
    </dxf>
    <dxf>
      <font>
        <b/>
        <i val="0"/>
        <color rgb="FFFF0000"/>
      </font>
    </dxf>
    <dxf>
      <font>
        <b/>
        <i val="0"/>
        <color rgb="FFFF0000"/>
      </font>
    </dxf>
    <dxf>
      <font>
        <color rgb="FFFF0000"/>
      </font>
    </dxf>
    <dxf>
      <font>
        <color rgb="FFFF0000"/>
      </font>
    </dxf>
    <dxf>
      <font>
        <b/>
        <i val="0"/>
        <color rgb="FFFF0000"/>
      </font>
    </dxf>
    <dxf>
      <font>
        <b/>
        <i val="0"/>
        <color rgb="FFFF0000"/>
      </font>
    </dxf>
    <dxf>
      <font>
        <b val="0"/>
        <i val="0"/>
        <color auto="1"/>
        <name val="Cambria"/>
        <scheme val="none"/>
      </font>
      <fill>
        <patternFill>
          <bgColor theme="9" tint="0.39994506668294322"/>
        </patternFill>
      </fill>
    </dxf>
    <dxf>
      <font>
        <b val="0"/>
        <i val="0"/>
        <color auto="1"/>
      </font>
      <fill>
        <patternFill>
          <bgColor theme="9" tint="0.39994506668294322"/>
        </patternFill>
      </fill>
    </dxf>
    <dxf>
      <font>
        <b val="0"/>
        <i val="0"/>
        <color auto="1"/>
        <name val="Cambria"/>
        <scheme val="none"/>
      </font>
      <fill>
        <patternFill>
          <bgColor theme="9" tint="0.39994506668294322"/>
        </patternFill>
      </fill>
    </dxf>
    <dxf>
      <font>
        <b val="0"/>
        <i val="0"/>
        <color auto="1"/>
      </font>
      <fill>
        <patternFill>
          <bgColor theme="9" tint="0.39994506668294322"/>
        </patternFill>
      </fill>
    </dxf>
    <dxf>
      <font>
        <b/>
        <i val="0"/>
        <color rgb="FFFF0000"/>
      </font>
    </dxf>
    <dxf>
      <font>
        <b val="0"/>
        <i val="0"/>
        <color auto="1"/>
        <name val="Cambria"/>
        <scheme val="none"/>
      </font>
      <fill>
        <patternFill>
          <bgColor theme="9" tint="0.39994506668294322"/>
        </patternFill>
      </fill>
    </dxf>
    <dxf>
      <font>
        <b val="0"/>
        <i val="0"/>
        <color auto="1"/>
        <name val="Cambria"/>
        <scheme val="none"/>
      </font>
      <fill>
        <patternFill>
          <bgColor theme="9" tint="0.39994506668294322"/>
        </patternFill>
      </fill>
    </dxf>
    <dxf>
      <font>
        <b val="0"/>
        <i val="0"/>
        <color auto="1"/>
        <name val="Cambria"/>
        <scheme val="none"/>
      </font>
      <fill>
        <patternFill patternType="solid">
          <bgColor theme="9" tint="0.39994506668294322"/>
        </patternFill>
      </fill>
    </dxf>
    <dxf>
      <font>
        <color auto="1"/>
      </font>
      <fill>
        <patternFill>
          <bgColor rgb="FFFFC000"/>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rgb="FFFF0000"/>
      </font>
    </dxf>
    <dxf>
      <font>
        <color rgb="FFFF0000"/>
      </font>
    </dxf>
    <dxf>
      <font>
        <color rgb="FFFF0000"/>
      </font>
    </dxf>
    <dxf>
      <fill>
        <patternFill>
          <bgColor rgb="FFFF0000"/>
        </patternFill>
      </fill>
    </dxf>
    <dxf>
      <font>
        <color rgb="FFFF0000"/>
      </font>
    </dxf>
    <dxf>
      <font>
        <condense val="0"/>
        <extend val="0"/>
        <color indexed="10"/>
      </font>
    </dxf>
    <dxf>
      <font>
        <condense val="0"/>
        <extend val="0"/>
        <color indexed="10"/>
      </font>
    </dxf>
    <dxf>
      <fill>
        <patternFill>
          <bgColor indexed="10"/>
        </patternFill>
      </fill>
    </dxf>
    <dxf>
      <font>
        <color auto="1"/>
      </font>
      <fill>
        <patternFill>
          <bgColor theme="9" tint="0.59996337778862885"/>
        </patternFill>
      </fill>
    </dxf>
    <dxf>
      <font>
        <color auto="1"/>
      </font>
      <fill>
        <patternFill>
          <bgColor theme="9" tint="0.39994506668294322"/>
        </patternFill>
      </fill>
    </dxf>
    <dxf>
      <font>
        <color auto="1"/>
      </font>
      <fill>
        <patternFill>
          <bgColor theme="9" tint="0.59996337778862885"/>
        </patternFill>
      </fill>
    </dxf>
    <dxf>
      <font>
        <color auto="1"/>
      </font>
      <fill>
        <patternFill>
          <bgColor theme="9" tint="0.59996337778862885"/>
        </patternFill>
      </fill>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i val="0"/>
        <color rgb="FFFF0000"/>
      </font>
    </dxf>
    <dxf>
      <font>
        <b/>
        <i val="0"/>
        <color rgb="FFFF0000"/>
      </font>
    </dxf>
    <dxf>
      <font>
        <b/>
        <i val="0"/>
        <color rgb="FFFF0000"/>
      </font>
    </dxf>
    <dxf>
      <fill>
        <patternFill>
          <bgColor rgb="FFFF0000"/>
        </patternFill>
      </fill>
    </dxf>
    <dxf>
      <fill>
        <patternFill>
          <bgColor rgb="FFFF0000"/>
        </patternFill>
      </fill>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i val="0"/>
        <condense val="0"/>
        <extend val="0"/>
        <color indexed="10"/>
      </font>
    </dxf>
    <dxf>
      <font>
        <b/>
        <i val="0"/>
        <condense val="0"/>
        <extend val="0"/>
        <color indexed="10"/>
      </font>
    </dxf>
    <dxf>
      <font>
        <condense val="0"/>
        <extend val="0"/>
        <color auto="1"/>
      </font>
    </dxf>
    <dxf>
      <font>
        <b/>
        <i val="0"/>
        <condense val="0"/>
        <extend val="0"/>
        <color indexed="10"/>
      </font>
      <fill>
        <patternFill patternType="none">
          <bgColor indexed="65"/>
        </patternFill>
      </fill>
    </dxf>
    <dxf>
      <font>
        <b/>
        <i val="0"/>
        <condense val="0"/>
        <extend val="0"/>
        <color indexed="10"/>
      </font>
    </dxf>
    <dxf>
      <font>
        <strike val="0"/>
        <color auto="1"/>
      </font>
      <fill>
        <patternFill>
          <bgColor theme="9" tint="0.79998168889431442"/>
        </patternFill>
      </fill>
    </dxf>
    <dxf>
      <fill>
        <patternFill>
          <bgColor indexed="10"/>
        </patternFill>
      </fill>
    </dxf>
    <dxf>
      <font>
        <b/>
        <i val="0"/>
        <condense val="0"/>
        <extend val="0"/>
        <color indexed="10"/>
      </font>
      <fill>
        <patternFill patternType="none">
          <bgColor indexed="65"/>
        </patternFill>
      </fill>
    </dxf>
    <dxf>
      <font>
        <b/>
        <i val="0"/>
        <condense val="0"/>
        <extend val="0"/>
        <color indexed="10"/>
      </font>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39994506668294322"/>
        </patternFill>
      </fill>
    </dxf>
    <dxf>
      <fill>
        <patternFill>
          <bgColor rgb="FFFF0000"/>
        </patternFill>
      </fill>
    </dxf>
    <dxf>
      <fill>
        <patternFill>
          <bgColor rgb="FFFF0000"/>
        </patternFill>
      </fill>
    </dxf>
    <dxf>
      <font>
        <color rgb="FFFF0000"/>
      </font>
    </dxf>
    <dxf>
      <font>
        <color rgb="FFFF0000"/>
      </font>
    </dxf>
    <dxf>
      <font>
        <color rgb="FFFF0000"/>
      </font>
    </dxf>
    <dxf>
      <font>
        <color rgb="FFFF0000"/>
      </font>
    </dxf>
    <dxf>
      <fill>
        <patternFill>
          <bgColor indexed="1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color auto="1"/>
      </font>
      <fill>
        <patternFill>
          <bgColor theme="9" tint="0.5999633777886288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ont>
        <color auto="1"/>
      </font>
      <fill>
        <patternFill>
          <bgColor rgb="FFFF000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FF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83820</xdr:colOff>
      <xdr:row>28</xdr:row>
      <xdr:rowOff>11430</xdr:rowOff>
    </xdr:from>
    <xdr:ext cx="184731" cy="262400"/>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5617845" y="5097780"/>
          <a:ext cx="184731" cy="26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v-SE"/>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76200</xdr:rowOff>
    </xdr:from>
    <xdr:to>
      <xdr:col>6</xdr:col>
      <xdr:colOff>28575</xdr:colOff>
      <xdr:row>12</xdr:row>
      <xdr:rowOff>76200</xdr:rowOff>
    </xdr:to>
    <xdr:cxnSp macro="">
      <xdr:nvCxnSpPr>
        <xdr:cNvPr id="186129" name="AutoShape 242">
          <a:extLst>
            <a:ext uri="{FF2B5EF4-FFF2-40B4-BE49-F238E27FC236}">
              <a16:creationId xmlns:a16="http://schemas.microsoft.com/office/drawing/2014/main" id="{00000000-0008-0000-0200-000011D70200}"/>
            </a:ext>
          </a:extLst>
        </xdr:cNvPr>
        <xdr:cNvCxnSpPr>
          <a:cxnSpLocks noChangeShapeType="1"/>
        </xdr:cNvCxnSpPr>
      </xdr:nvCxnSpPr>
      <xdr:spPr bwMode="auto">
        <a:xfrm>
          <a:off x="4086225" y="2428875"/>
          <a:ext cx="19431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14</xdr:row>
      <xdr:rowOff>95250</xdr:rowOff>
    </xdr:from>
    <xdr:to>
      <xdr:col>6</xdr:col>
      <xdr:colOff>0</xdr:colOff>
      <xdr:row>14</xdr:row>
      <xdr:rowOff>95250</xdr:rowOff>
    </xdr:to>
    <xdr:cxnSp macro="">
      <xdr:nvCxnSpPr>
        <xdr:cNvPr id="186130" name="AutoShape 243">
          <a:extLst>
            <a:ext uri="{FF2B5EF4-FFF2-40B4-BE49-F238E27FC236}">
              <a16:creationId xmlns:a16="http://schemas.microsoft.com/office/drawing/2014/main" id="{00000000-0008-0000-0200-000012D70200}"/>
            </a:ext>
          </a:extLst>
        </xdr:cNvPr>
        <xdr:cNvCxnSpPr>
          <a:cxnSpLocks noChangeShapeType="1"/>
        </xdr:cNvCxnSpPr>
      </xdr:nvCxnSpPr>
      <xdr:spPr bwMode="auto">
        <a:xfrm>
          <a:off x="4095750" y="2809875"/>
          <a:ext cx="19050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21</xdr:row>
      <xdr:rowOff>123825</xdr:rowOff>
    </xdr:from>
    <xdr:to>
      <xdr:col>6</xdr:col>
      <xdr:colOff>9525</xdr:colOff>
      <xdr:row>21</xdr:row>
      <xdr:rowOff>123825</xdr:rowOff>
    </xdr:to>
    <xdr:cxnSp macro="">
      <xdr:nvCxnSpPr>
        <xdr:cNvPr id="186131" name="AutoShape 244">
          <a:extLst>
            <a:ext uri="{FF2B5EF4-FFF2-40B4-BE49-F238E27FC236}">
              <a16:creationId xmlns:a16="http://schemas.microsoft.com/office/drawing/2014/main" id="{00000000-0008-0000-0200-000013D70200}"/>
            </a:ext>
          </a:extLst>
        </xdr:cNvPr>
        <xdr:cNvCxnSpPr>
          <a:cxnSpLocks noChangeShapeType="1"/>
        </xdr:cNvCxnSpPr>
      </xdr:nvCxnSpPr>
      <xdr:spPr bwMode="auto">
        <a:xfrm flipV="1">
          <a:off x="4095750" y="4105275"/>
          <a:ext cx="191452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717550</xdr:colOff>
      <xdr:row>47</xdr:row>
      <xdr:rowOff>28576</xdr:rowOff>
    </xdr:from>
    <xdr:to>
      <xdr:col>8</xdr:col>
      <xdr:colOff>69850</xdr:colOff>
      <xdr:row>47</xdr:row>
      <xdr:rowOff>31750</xdr:rowOff>
    </xdr:to>
    <xdr:cxnSp macro="">
      <xdr:nvCxnSpPr>
        <xdr:cNvPr id="186132" name="AutoShape 245">
          <a:extLst>
            <a:ext uri="{FF2B5EF4-FFF2-40B4-BE49-F238E27FC236}">
              <a16:creationId xmlns:a16="http://schemas.microsoft.com/office/drawing/2014/main" id="{00000000-0008-0000-0200-000014D70200}"/>
            </a:ext>
          </a:extLst>
        </xdr:cNvPr>
        <xdr:cNvCxnSpPr>
          <a:cxnSpLocks noChangeShapeType="1"/>
        </xdr:cNvCxnSpPr>
      </xdr:nvCxnSpPr>
      <xdr:spPr bwMode="auto">
        <a:xfrm>
          <a:off x="4203700" y="8899526"/>
          <a:ext cx="3117850" cy="3174"/>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57</xdr:row>
      <xdr:rowOff>104775</xdr:rowOff>
    </xdr:from>
    <xdr:to>
      <xdr:col>6</xdr:col>
      <xdr:colOff>0</xdr:colOff>
      <xdr:row>57</xdr:row>
      <xdr:rowOff>114300</xdr:rowOff>
    </xdr:to>
    <xdr:cxnSp macro="">
      <xdr:nvCxnSpPr>
        <xdr:cNvPr id="186133" name="AutoShape 246">
          <a:extLst>
            <a:ext uri="{FF2B5EF4-FFF2-40B4-BE49-F238E27FC236}">
              <a16:creationId xmlns:a16="http://schemas.microsoft.com/office/drawing/2014/main" id="{00000000-0008-0000-0200-000015D70200}"/>
            </a:ext>
          </a:extLst>
        </xdr:cNvPr>
        <xdr:cNvCxnSpPr>
          <a:cxnSpLocks noChangeShapeType="1"/>
        </xdr:cNvCxnSpPr>
      </xdr:nvCxnSpPr>
      <xdr:spPr bwMode="auto">
        <a:xfrm>
          <a:off x="4095750" y="10420350"/>
          <a:ext cx="1905000" cy="9525"/>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0</xdr:colOff>
      <xdr:row>53</xdr:row>
      <xdr:rowOff>114300</xdr:rowOff>
    </xdr:from>
    <xdr:to>
      <xdr:col>5</xdr:col>
      <xdr:colOff>1568450</xdr:colOff>
      <xdr:row>54</xdr:row>
      <xdr:rowOff>85725</xdr:rowOff>
    </xdr:to>
    <xdr:cxnSp macro="">
      <xdr:nvCxnSpPr>
        <xdr:cNvPr id="186135" name="AutoShape 250">
          <a:extLst>
            <a:ext uri="{FF2B5EF4-FFF2-40B4-BE49-F238E27FC236}">
              <a16:creationId xmlns:a16="http://schemas.microsoft.com/office/drawing/2014/main" id="{00000000-0008-0000-0200-000017D70200}"/>
            </a:ext>
          </a:extLst>
        </xdr:cNvPr>
        <xdr:cNvCxnSpPr>
          <a:cxnSpLocks noChangeShapeType="1"/>
        </xdr:cNvCxnSpPr>
      </xdr:nvCxnSpPr>
      <xdr:spPr bwMode="auto">
        <a:xfrm flipV="1">
          <a:off x="4902200" y="10090150"/>
          <a:ext cx="1568450" cy="155575"/>
        </a:xfrm>
        <a:prstGeom prst="bentConnector3">
          <a:avLst>
            <a:gd name="adj1" fmla="val 54048"/>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352425</xdr:colOff>
      <xdr:row>19</xdr:row>
      <xdr:rowOff>57150</xdr:rowOff>
    </xdr:from>
    <xdr:to>
      <xdr:col>3</xdr:col>
      <xdr:colOff>352425</xdr:colOff>
      <xdr:row>20</xdr:row>
      <xdr:rowOff>9525</xdr:rowOff>
    </xdr:to>
    <xdr:cxnSp macro="">
      <xdr:nvCxnSpPr>
        <xdr:cNvPr id="186137" name="AutoShape 245">
          <a:extLst>
            <a:ext uri="{FF2B5EF4-FFF2-40B4-BE49-F238E27FC236}">
              <a16:creationId xmlns:a16="http://schemas.microsoft.com/office/drawing/2014/main" id="{00000000-0008-0000-0200-000019D70200}"/>
            </a:ext>
          </a:extLst>
        </xdr:cNvPr>
        <xdr:cNvCxnSpPr>
          <a:cxnSpLocks noChangeShapeType="1"/>
        </xdr:cNvCxnSpPr>
      </xdr:nvCxnSpPr>
      <xdr:spPr bwMode="auto">
        <a:xfrm flipH="1" flipV="1">
          <a:off x="3733800" y="3676650"/>
          <a:ext cx="0" cy="133350"/>
        </a:xfrm>
        <a:prstGeom prst="straightConnector1">
          <a:avLst/>
        </a:prstGeom>
        <a:noFill/>
        <a:ln w="19050">
          <a:solidFill>
            <a:srgbClr val="0070C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352425</xdr:colOff>
      <xdr:row>19</xdr:row>
      <xdr:rowOff>66675</xdr:rowOff>
    </xdr:from>
    <xdr:to>
      <xdr:col>6</xdr:col>
      <xdr:colOff>0</xdr:colOff>
      <xdr:row>19</xdr:row>
      <xdr:rowOff>66675</xdr:rowOff>
    </xdr:to>
    <xdr:cxnSp macro="">
      <xdr:nvCxnSpPr>
        <xdr:cNvPr id="186138" name="AutoShape 244">
          <a:extLst>
            <a:ext uri="{FF2B5EF4-FFF2-40B4-BE49-F238E27FC236}">
              <a16:creationId xmlns:a16="http://schemas.microsoft.com/office/drawing/2014/main" id="{00000000-0008-0000-0200-00001AD70200}"/>
            </a:ext>
          </a:extLst>
        </xdr:cNvPr>
        <xdr:cNvCxnSpPr>
          <a:cxnSpLocks noChangeShapeType="1"/>
        </xdr:cNvCxnSpPr>
      </xdr:nvCxnSpPr>
      <xdr:spPr bwMode="auto">
        <a:xfrm flipV="1">
          <a:off x="3733800" y="3686175"/>
          <a:ext cx="226695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885825</xdr:colOff>
      <xdr:row>55</xdr:row>
      <xdr:rowOff>76200</xdr:rowOff>
    </xdr:from>
    <xdr:to>
      <xdr:col>6</xdr:col>
      <xdr:colOff>9525</xdr:colOff>
      <xdr:row>56</xdr:row>
      <xdr:rowOff>104775</xdr:rowOff>
    </xdr:to>
    <xdr:cxnSp macro="">
      <xdr:nvCxnSpPr>
        <xdr:cNvPr id="186140" name="AutoShape 250">
          <a:extLst>
            <a:ext uri="{FF2B5EF4-FFF2-40B4-BE49-F238E27FC236}">
              <a16:creationId xmlns:a16="http://schemas.microsoft.com/office/drawing/2014/main" id="{00000000-0008-0000-0200-00001CD70200}"/>
            </a:ext>
          </a:extLst>
        </xdr:cNvPr>
        <xdr:cNvCxnSpPr>
          <a:cxnSpLocks noChangeShapeType="1"/>
        </xdr:cNvCxnSpPr>
      </xdr:nvCxnSpPr>
      <xdr:spPr bwMode="auto">
        <a:xfrm flipV="1">
          <a:off x="5648325" y="10029825"/>
          <a:ext cx="361950" cy="209550"/>
        </a:xfrm>
        <a:prstGeom prst="bentConnector3">
          <a:avLst>
            <a:gd name="adj1" fmla="val -5179"/>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9525</xdr:colOff>
      <xdr:row>56</xdr:row>
      <xdr:rowOff>104776</xdr:rowOff>
    </xdr:from>
    <xdr:to>
      <xdr:col>5</xdr:col>
      <xdr:colOff>1568450</xdr:colOff>
      <xdr:row>56</xdr:row>
      <xdr:rowOff>120650</xdr:rowOff>
    </xdr:to>
    <xdr:cxnSp macro="">
      <xdr:nvCxnSpPr>
        <xdr:cNvPr id="186141" name="AutoShape 248">
          <a:extLst>
            <a:ext uri="{FF2B5EF4-FFF2-40B4-BE49-F238E27FC236}">
              <a16:creationId xmlns:a16="http://schemas.microsoft.com/office/drawing/2014/main" id="{00000000-0008-0000-0200-00001DD70200}"/>
            </a:ext>
          </a:extLst>
        </xdr:cNvPr>
        <xdr:cNvCxnSpPr>
          <a:cxnSpLocks noChangeShapeType="1"/>
        </xdr:cNvCxnSpPr>
      </xdr:nvCxnSpPr>
      <xdr:spPr bwMode="auto">
        <a:xfrm>
          <a:off x="4911725" y="10690226"/>
          <a:ext cx="1558925" cy="15874"/>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698500</xdr:colOff>
      <xdr:row>22</xdr:row>
      <xdr:rowOff>103188</xdr:rowOff>
    </xdr:from>
    <xdr:to>
      <xdr:col>6</xdr:col>
      <xdr:colOff>25400</xdr:colOff>
      <xdr:row>23</xdr:row>
      <xdr:rowOff>112712</xdr:rowOff>
    </xdr:to>
    <xdr:cxnSp macro="">
      <xdr:nvCxnSpPr>
        <xdr:cNvPr id="186142" name="AutoShape 249">
          <a:extLst>
            <a:ext uri="{FF2B5EF4-FFF2-40B4-BE49-F238E27FC236}">
              <a16:creationId xmlns:a16="http://schemas.microsoft.com/office/drawing/2014/main" id="{00000000-0008-0000-0200-00001ED70200}"/>
            </a:ext>
          </a:extLst>
        </xdr:cNvPr>
        <xdr:cNvCxnSpPr>
          <a:cxnSpLocks noChangeShapeType="1"/>
        </xdr:cNvCxnSpPr>
      </xdr:nvCxnSpPr>
      <xdr:spPr bwMode="auto">
        <a:xfrm>
          <a:off x="4079875" y="4278313"/>
          <a:ext cx="2239963" cy="192087"/>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657225</xdr:colOff>
      <xdr:row>67</xdr:row>
      <xdr:rowOff>41275</xdr:rowOff>
    </xdr:from>
    <xdr:to>
      <xdr:col>6</xdr:col>
      <xdr:colOff>19050</xdr:colOff>
      <xdr:row>67</xdr:row>
      <xdr:rowOff>41275</xdr:rowOff>
    </xdr:to>
    <xdr:cxnSp macro="">
      <xdr:nvCxnSpPr>
        <xdr:cNvPr id="186143" name="AutoShape 248">
          <a:extLst>
            <a:ext uri="{FF2B5EF4-FFF2-40B4-BE49-F238E27FC236}">
              <a16:creationId xmlns:a16="http://schemas.microsoft.com/office/drawing/2014/main" id="{00000000-0008-0000-0200-00001FD70200}"/>
            </a:ext>
          </a:extLst>
        </xdr:cNvPr>
        <xdr:cNvCxnSpPr>
          <a:cxnSpLocks noChangeShapeType="1"/>
        </xdr:cNvCxnSpPr>
      </xdr:nvCxnSpPr>
      <xdr:spPr bwMode="auto">
        <a:xfrm>
          <a:off x="4867275" y="12512675"/>
          <a:ext cx="162877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800100</xdr:colOff>
      <xdr:row>57</xdr:row>
      <xdr:rowOff>114300</xdr:rowOff>
    </xdr:from>
    <xdr:to>
      <xdr:col>6</xdr:col>
      <xdr:colOff>0</xdr:colOff>
      <xdr:row>58</xdr:row>
      <xdr:rowOff>104775</xdr:rowOff>
    </xdr:to>
    <xdr:cxnSp macro="">
      <xdr:nvCxnSpPr>
        <xdr:cNvPr id="186144" name="AutoShape 249">
          <a:extLst>
            <a:ext uri="{FF2B5EF4-FFF2-40B4-BE49-F238E27FC236}">
              <a16:creationId xmlns:a16="http://schemas.microsoft.com/office/drawing/2014/main" id="{00000000-0008-0000-0200-000020D70200}"/>
            </a:ext>
          </a:extLst>
        </xdr:cNvPr>
        <xdr:cNvCxnSpPr>
          <a:cxnSpLocks noChangeShapeType="1"/>
        </xdr:cNvCxnSpPr>
      </xdr:nvCxnSpPr>
      <xdr:spPr bwMode="auto">
        <a:xfrm>
          <a:off x="5562600" y="10429875"/>
          <a:ext cx="438150" cy="219075"/>
        </a:xfrm>
        <a:prstGeom prst="bentConnector3">
          <a:avLst>
            <a:gd name="adj1" fmla="val 15704"/>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39687</xdr:colOff>
      <xdr:row>58</xdr:row>
      <xdr:rowOff>111125</xdr:rowOff>
    </xdr:from>
    <xdr:to>
      <xdr:col>5</xdr:col>
      <xdr:colOff>1524000</xdr:colOff>
      <xdr:row>60</xdr:row>
      <xdr:rowOff>95250</xdr:rowOff>
    </xdr:to>
    <xdr:cxnSp macro="">
      <xdr:nvCxnSpPr>
        <xdr:cNvPr id="186145" name="AutoShape 249">
          <a:extLst>
            <a:ext uri="{FF2B5EF4-FFF2-40B4-BE49-F238E27FC236}">
              <a16:creationId xmlns:a16="http://schemas.microsoft.com/office/drawing/2014/main" id="{00000000-0008-0000-0200-000021D70200}"/>
            </a:ext>
          </a:extLst>
        </xdr:cNvPr>
        <xdr:cNvCxnSpPr>
          <a:cxnSpLocks noChangeShapeType="1"/>
        </xdr:cNvCxnSpPr>
      </xdr:nvCxnSpPr>
      <xdr:spPr bwMode="auto">
        <a:xfrm>
          <a:off x="4127500" y="11072813"/>
          <a:ext cx="2159000" cy="349250"/>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12700</xdr:colOff>
      <xdr:row>75</xdr:row>
      <xdr:rowOff>76200</xdr:rowOff>
    </xdr:from>
    <xdr:to>
      <xdr:col>6</xdr:col>
      <xdr:colOff>31750</xdr:colOff>
      <xdr:row>80</xdr:row>
      <xdr:rowOff>95250</xdr:rowOff>
    </xdr:to>
    <xdr:cxnSp macro="">
      <xdr:nvCxnSpPr>
        <xdr:cNvPr id="186146" name="AutoShape 249">
          <a:extLst>
            <a:ext uri="{FF2B5EF4-FFF2-40B4-BE49-F238E27FC236}">
              <a16:creationId xmlns:a16="http://schemas.microsoft.com/office/drawing/2014/main" id="{00000000-0008-0000-0200-000022D70200}"/>
            </a:ext>
          </a:extLst>
        </xdr:cNvPr>
        <xdr:cNvCxnSpPr>
          <a:cxnSpLocks noChangeShapeType="1"/>
        </xdr:cNvCxnSpPr>
      </xdr:nvCxnSpPr>
      <xdr:spPr bwMode="auto">
        <a:xfrm>
          <a:off x="4914900" y="14249400"/>
          <a:ext cx="1593850" cy="1143000"/>
        </a:xfrm>
        <a:prstGeom prst="bentConnector3">
          <a:avLst>
            <a:gd name="adj1" fmla="val 67611"/>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647700</xdr:colOff>
      <xdr:row>77</xdr:row>
      <xdr:rowOff>85725</xdr:rowOff>
    </xdr:from>
    <xdr:to>
      <xdr:col>4</xdr:col>
      <xdr:colOff>647700</xdr:colOff>
      <xdr:row>77</xdr:row>
      <xdr:rowOff>85725</xdr:rowOff>
    </xdr:to>
    <xdr:cxnSp macro="">
      <xdr:nvCxnSpPr>
        <xdr:cNvPr id="186147" name="AutoShape 249">
          <a:extLst>
            <a:ext uri="{FF2B5EF4-FFF2-40B4-BE49-F238E27FC236}">
              <a16:creationId xmlns:a16="http://schemas.microsoft.com/office/drawing/2014/main" id="{00000000-0008-0000-0200-000023D70200}"/>
            </a:ext>
          </a:extLst>
        </xdr:cNvPr>
        <xdr:cNvCxnSpPr>
          <a:cxnSpLocks noChangeShapeType="1"/>
        </xdr:cNvCxnSpPr>
      </xdr:nvCxnSpPr>
      <xdr:spPr bwMode="auto">
        <a:xfrm flipV="1">
          <a:off x="4733925" y="14173200"/>
          <a:ext cx="0" cy="0"/>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4</xdr:col>
      <xdr:colOff>657225</xdr:colOff>
      <xdr:row>76</xdr:row>
      <xdr:rowOff>66675</xdr:rowOff>
    </xdr:from>
    <xdr:to>
      <xdr:col>5</xdr:col>
      <xdr:colOff>1076325</xdr:colOff>
      <xdr:row>76</xdr:row>
      <xdr:rowOff>66676</xdr:rowOff>
    </xdr:to>
    <xdr:cxnSp macro="">
      <xdr:nvCxnSpPr>
        <xdr:cNvPr id="186148" name="AutoShape 249">
          <a:extLst>
            <a:ext uri="{FF2B5EF4-FFF2-40B4-BE49-F238E27FC236}">
              <a16:creationId xmlns:a16="http://schemas.microsoft.com/office/drawing/2014/main" id="{00000000-0008-0000-0200-000024D70200}"/>
            </a:ext>
          </a:extLst>
        </xdr:cNvPr>
        <xdr:cNvCxnSpPr>
          <a:cxnSpLocks noChangeShapeType="1"/>
        </xdr:cNvCxnSpPr>
      </xdr:nvCxnSpPr>
      <xdr:spPr bwMode="auto">
        <a:xfrm flipV="1">
          <a:off x="4867275" y="14455775"/>
          <a:ext cx="1111250" cy="1"/>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77</xdr:row>
      <xdr:rowOff>95250</xdr:rowOff>
    </xdr:from>
    <xdr:to>
      <xdr:col>5</xdr:col>
      <xdr:colOff>1095375</xdr:colOff>
      <xdr:row>77</xdr:row>
      <xdr:rowOff>95251</xdr:rowOff>
    </xdr:to>
    <xdr:cxnSp macro="">
      <xdr:nvCxnSpPr>
        <xdr:cNvPr id="33" name="AutoShape 249">
          <a:extLst>
            <a:ext uri="{FF2B5EF4-FFF2-40B4-BE49-F238E27FC236}">
              <a16:creationId xmlns:a16="http://schemas.microsoft.com/office/drawing/2014/main" id="{00000000-0008-0000-0200-000021000000}"/>
            </a:ext>
          </a:extLst>
        </xdr:cNvPr>
        <xdr:cNvCxnSpPr>
          <a:cxnSpLocks noChangeShapeType="1"/>
        </xdr:cNvCxnSpPr>
      </xdr:nvCxnSpPr>
      <xdr:spPr bwMode="auto">
        <a:xfrm flipV="1">
          <a:off x="4762500" y="14182725"/>
          <a:ext cx="1095375" cy="1"/>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9525</xdr:colOff>
      <xdr:row>78</xdr:row>
      <xdr:rowOff>114300</xdr:rowOff>
    </xdr:from>
    <xdr:to>
      <xdr:col>5</xdr:col>
      <xdr:colOff>1047750</xdr:colOff>
      <xdr:row>78</xdr:row>
      <xdr:rowOff>114303</xdr:rowOff>
    </xdr:to>
    <xdr:cxnSp macro="">
      <xdr:nvCxnSpPr>
        <xdr:cNvPr id="34" name="AutoShape 249">
          <a:extLst>
            <a:ext uri="{FF2B5EF4-FFF2-40B4-BE49-F238E27FC236}">
              <a16:creationId xmlns:a16="http://schemas.microsoft.com/office/drawing/2014/main" id="{00000000-0008-0000-0200-000022000000}"/>
            </a:ext>
          </a:extLst>
        </xdr:cNvPr>
        <xdr:cNvCxnSpPr>
          <a:cxnSpLocks noChangeShapeType="1"/>
        </xdr:cNvCxnSpPr>
      </xdr:nvCxnSpPr>
      <xdr:spPr bwMode="auto">
        <a:xfrm flipV="1">
          <a:off x="4772025" y="14439900"/>
          <a:ext cx="1038225" cy="3"/>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476250</xdr:colOff>
      <xdr:row>23</xdr:row>
      <xdr:rowOff>111125</xdr:rowOff>
    </xdr:from>
    <xdr:to>
      <xdr:col>6</xdr:col>
      <xdr:colOff>25400</xdr:colOff>
      <xdr:row>24</xdr:row>
      <xdr:rowOff>112712</xdr:rowOff>
    </xdr:to>
    <xdr:cxnSp macro="">
      <xdr:nvCxnSpPr>
        <xdr:cNvPr id="24" name="AutoShape 249">
          <a:extLst>
            <a:ext uri="{FF2B5EF4-FFF2-40B4-BE49-F238E27FC236}">
              <a16:creationId xmlns:a16="http://schemas.microsoft.com/office/drawing/2014/main" id="{00000000-0008-0000-0200-000018000000}"/>
            </a:ext>
          </a:extLst>
        </xdr:cNvPr>
        <xdr:cNvCxnSpPr>
          <a:cxnSpLocks noChangeShapeType="1"/>
        </xdr:cNvCxnSpPr>
      </xdr:nvCxnSpPr>
      <xdr:spPr bwMode="auto">
        <a:xfrm>
          <a:off x="5238750" y="4468813"/>
          <a:ext cx="1081088" cy="184149"/>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687161</xdr:colOff>
      <xdr:row>63</xdr:row>
      <xdr:rowOff>53975</xdr:rowOff>
    </xdr:from>
    <xdr:to>
      <xdr:col>6</xdr:col>
      <xdr:colOff>6350</xdr:colOff>
      <xdr:row>63</xdr:row>
      <xdr:rowOff>54428</xdr:rowOff>
    </xdr:to>
    <xdr:cxnSp macro="">
      <xdr:nvCxnSpPr>
        <xdr:cNvPr id="25" name="AutoShape 249">
          <a:extLst>
            <a:ext uri="{FF2B5EF4-FFF2-40B4-BE49-F238E27FC236}">
              <a16:creationId xmlns:a16="http://schemas.microsoft.com/office/drawing/2014/main" id="{00000000-0008-0000-0200-000019000000}"/>
            </a:ext>
          </a:extLst>
        </xdr:cNvPr>
        <xdr:cNvCxnSpPr>
          <a:cxnSpLocks noChangeShapeType="1"/>
        </xdr:cNvCxnSpPr>
      </xdr:nvCxnSpPr>
      <xdr:spPr bwMode="auto">
        <a:xfrm flipV="1">
          <a:off x="4061732" y="11994243"/>
          <a:ext cx="2231118" cy="453"/>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914400</xdr:colOff>
      <xdr:row>58</xdr:row>
      <xdr:rowOff>114300</xdr:rowOff>
    </xdr:from>
    <xdr:to>
      <xdr:col>5</xdr:col>
      <xdr:colOff>1568450</xdr:colOff>
      <xdr:row>59</xdr:row>
      <xdr:rowOff>114300</xdr:rowOff>
    </xdr:to>
    <xdr:cxnSp macro="">
      <xdr:nvCxnSpPr>
        <xdr:cNvPr id="26" name="AutoShape 249">
          <a:extLst>
            <a:ext uri="{FF2B5EF4-FFF2-40B4-BE49-F238E27FC236}">
              <a16:creationId xmlns:a16="http://schemas.microsoft.com/office/drawing/2014/main" id="{00000000-0008-0000-0200-00001A000000}"/>
            </a:ext>
          </a:extLst>
        </xdr:cNvPr>
        <xdr:cNvCxnSpPr>
          <a:cxnSpLocks noChangeShapeType="1"/>
        </xdr:cNvCxnSpPr>
      </xdr:nvCxnSpPr>
      <xdr:spPr bwMode="auto">
        <a:xfrm>
          <a:off x="5816600" y="11112500"/>
          <a:ext cx="654050" cy="184150"/>
        </a:xfrm>
        <a:prstGeom prst="bentConnector3">
          <a:avLst>
            <a:gd name="adj1" fmla="val 1456"/>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762000</xdr:colOff>
      <xdr:row>41</xdr:row>
      <xdr:rowOff>0</xdr:rowOff>
    </xdr:from>
    <xdr:to>
      <xdr:col>5</xdr:col>
      <xdr:colOff>9525</xdr:colOff>
      <xdr:row>41</xdr:row>
      <xdr:rowOff>123825</xdr:rowOff>
    </xdr:to>
    <xdr:cxnSp macro="">
      <xdr:nvCxnSpPr>
        <xdr:cNvPr id="2" name="AutoShape 187">
          <a:extLst>
            <a:ext uri="{FF2B5EF4-FFF2-40B4-BE49-F238E27FC236}">
              <a16:creationId xmlns:a16="http://schemas.microsoft.com/office/drawing/2014/main" id="{00000000-0008-0000-0300-000002000000}"/>
            </a:ext>
          </a:extLst>
        </xdr:cNvPr>
        <xdr:cNvCxnSpPr>
          <a:cxnSpLocks noChangeShapeType="1"/>
        </xdr:cNvCxnSpPr>
      </xdr:nvCxnSpPr>
      <xdr:spPr bwMode="auto">
        <a:xfrm flipV="1">
          <a:off x="4200525" y="8086725"/>
          <a:ext cx="1495425" cy="123825"/>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28</xdr:row>
      <xdr:rowOff>70139</xdr:rowOff>
    </xdr:from>
    <xdr:to>
      <xdr:col>5</xdr:col>
      <xdr:colOff>9525</xdr:colOff>
      <xdr:row>28</xdr:row>
      <xdr:rowOff>70139</xdr:rowOff>
    </xdr:to>
    <xdr:cxnSp macro="">
      <xdr:nvCxnSpPr>
        <xdr:cNvPr id="3" name="AutoShape 197">
          <a:extLst>
            <a:ext uri="{FF2B5EF4-FFF2-40B4-BE49-F238E27FC236}">
              <a16:creationId xmlns:a16="http://schemas.microsoft.com/office/drawing/2014/main" id="{00000000-0008-0000-0300-000003000000}"/>
            </a:ext>
          </a:extLst>
        </xdr:cNvPr>
        <xdr:cNvCxnSpPr>
          <a:cxnSpLocks noChangeShapeType="1"/>
        </xdr:cNvCxnSpPr>
      </xdr:nvCxnSpPr>
      <xdr:spPr bwMode="auto">
        <a:xfrm>
          <a:off x="4210050" y="4975514"/>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762000</xdr:colOff>
      <xdr:row>26</xdr:row>
      <xdr:rowOff>112568</xdr:rowOff>
    </xdr:from>
    <xdr:to>
      <xdr:col>5</xdr:col>
      <xdr:colOff>0</xdr:colOff>
      <xdr:row>26</xdr:row>
      <xdr:rowOff>112568</xdr:rowOff>
    </xdr:to>
    <xdr:cxnSp macro="">
      <xdr:nvCxnSpPr>
        <xdr:cNvPr id="4" name="AutoShape 197">
          <a:extLst>
            <a:ext uri="{FF2B5EF4-FFF2-40B4-BE49-F238E27FC236}">
              <a16:creationId xmlns:a16="http://schemas.microsoft.com/office/drawing/2014/main" id="{00000000-0008-0000-0300-000004000000}"/>
            </a:ext>
          </a:extLst>
        </xdr:cNvPr>
        <xdr:cNvCxnSpPr>
          <a:cxnSpLocks noChangeShapeType="1"/>
        </xdr:cNvCxnSpPr>
      </xdr:nvCxnSpPr>
      <xdr:spPr bwMode="auto">
        <a:xfrm>
          <a:off x="4199659" y="4658591"/>
          <a:ext cx="15153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44</xdr:row>
      <xdr:rowOff>159327</xdr:rowOff>
    </xdr:from>
    <xdr:to>
      <xdr:col>5</xdr:col>
      <xdr:colOff>19050</xdr:colOff>
      <xdr:row>44</xdr:row>
      <xdr:rowOff>159327</xdr:rowOff>
    </xdr:to>
    <xdr:cxnSp macro="">
      <xdr:nvCxnSpPr>
        <xdr:cNvPr id="5" name="AutoShape 191">
          <a:extLst>
            <a:ext uri="{FF2B5EF4-FFF2-40B4-BE49-F238E27FC236}">
              <a16:creationId xmlns:a16="http://schemas.microsoft.com/office/drawing/2014/main" id="{00000000-0008-0000-0300-000005000000}"/>
            </a:ext>
          </a:extLst>
        </xdr:cNvPr>
        <xdr:cNvCxnSpPr>
          <a:cxnSpLocks noChangeShapeType="1"/>
        </xdr:cNvCxnSpPr>
      </xdr:nvCxnSpPr>
      <xdr:spPr bwMode="auto">
        <a:xfrm>
          <a:off x="4219575" y="8903277"/>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53</xdr:row>
      <xdr:rowOff>95250</xdr:rowOff>
    </xdr:from>
    <xdr:to>
      <xdr:col>5</xdr:col>
      <xdr:colOff>9525</xdr:colOff>
      <xdr:row>53</xdr:row>
      <xdr:rowOff>95250</xdr:rowOff>
    </xdr:to>
    <xdr:cxnSp macro="">
      <xdr:nvCxnSpPr>
        <xdr:cNvPr id="6" name="AutoShape 191">
          <a:extLst>
            <a:ext uri="{FF2B5EF4-FFF2-40B4-BE49-F238E27FC236}">
              <a16:creationId xmlns:a16="http://schemas.microsoft.com/office/drawing/2014/main" id="{00000000-0008-0000-0300-000006000000}"/>
            </a:ext>
          </a:extLst>
        </xdr:cNvPr>
        <xdr:cNvCxnSpPr>
          <a:cxnSpLocks noChangeShapeType="1"/>
        </xdr:cNvCxnSpPr>
      </xdr:nvCxnSpPr>
      <xdr:spPr bwMode="auto">
        <a:xfrm>
          <a:off x="4210050" y="10544175"/>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56</xdr:row>
      <xdr:rowOff>76200</xdr:rowOff>
    </xdr:from>
    <xdr:to>
      <xdr:col>5</xdr:col>
      <xdr:colOff>9525</xdr:colOff>
      <xdr:row>57</xdr:row>
      <xdr:rowOff>0</xdr:rowOff>
    </xdr:to>
    <xdr:cxnSp macro="">
      <xdr:nvCxnSpPr>
        <xdr:cNvPr id="7" name="AutoShape 250">
          <a:extLst>
            <a:ext uri="{FF2B5EF4-FFF2-40B4-BE49-F238E27FC236}">
              <a16:creationId xmlns:a16="http://schemas.microsoft.com/office/drawing/2014/main" id="{00000000-0008-0000-0300-000007000000}"/>
            </a:ext>
          </a:extLst>
        </xdr:cNvPr>
        <xdr:cNvCxnSpPr>
          <a:cxnSpLocks noChangeShapeType="1"/>
        </xdr:cNvCxnSpPr>
      </xdr:nvCxnSpPr>
      <xdr:spPr bwMode="auto">
        <a:xfrm>
          <a:off x="4210050" y="11010900"/>
          <a:ext cx="1485900" cy="857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42</xdr:row>
      <xdr:rowOff>66675</xdr:rowOff>
    </xdr:from>
    <xdr:to>
      <xdr:col>5</xdr:col>
      <xdr:colOff>9525</xdr:colOff>
      <xdr:row>43</xdr:row>
      <xdr:rowOff>9525</xdr:rowOff>
    </xdr:to>
    <xdr:cxnSp macro="">
      <xdr:nvCxnSpPr>
        <xdr:cNvPr id="8" name="AutoShape 250">
          <a:extLst>
            <a:ext uri="{FF2B5EF4-FFF2-40B4-BE49-F238E27FC236}">
              <a16:creationId xmlns:a16="http://schemas.microsoft.com/office/drawing/2014/main" id="{00000000-0008-0000-0300-000008000000}"/>
            </a:ext>
          </a:extLst>
        </xdr:cNvPr>
        <xdr:cNvCxnSpPr>
          <a:cxnSpLocks noChangeShapeType="1"/>
        </xdr:cNvCxnSpPr>
      </xdr:nvCxnSpPr>
      <xdr:spPr bwMode="auto">
        <a:xfrm>
          <a:off x="4219575" y="8382000"/>
          <a:ext cx="1476375" cy="2000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755072</xdr:colOff>
      <xdr:row>48</xdr:row>
      <xdr:rowOff>17319</xdr:rowOff>
    </xdr:from>
    <xdr:to>
      <xdr:col>5</xdr:col>
      <xdr:colOff>25977</xdr:colOff>
      <xdr:row>48</xdr:row>
      <xdr:rowOff>103044</xdr:rowOff>
    </xdr:to>
    <xdr:cxnSp macro="">
      <xdr:nvCxnSpPr>
        <xdr:cNvPr id="9" name="AutoShape 250">
          <a:extLst>
            <a:ext uri="{FF2B5EF4-FFF2-40B4-BE49-F238E27FC236}">
              <a16:creationId xmlns:a16="http://schemas.microsoft.com/office/drawing/2014/main" id="{00000000-0008-0000-0300-000009000000}"/>
            </a:ext>
          </a:extLst>
        </xdr:cNvPr>
        <xdr:cNvCxnSpPr>
          <a:cxnSpLocks noChangeShapeType="1"/>
        </xdr:cNvCxnSpPr>
      </xdr:nvCxnSpPr>
      <xdr:spPr bwMode="auto">
        <a:xfrm flipV="1">
          <a:off x="4192731" y="9862705"/>
          <a:ext cx="1522269" cy="857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762000</xdr:colOff>
      <xdr:row>67</xdr:row>
      <xdr:rowOff>9525</xdr:rowOff>
    </xdr:from>
    <xdr:to>
      <xdr:col>5</xdr:col>
      <xdr:colOff>9525</xdr:colOff>
      <xdr:row>68</xdr:row>
      <xdr:rowOff>114300</xdr:rowOff>
    </xdr:to>
    <xdr:cxnSp macro="">
      <xdr:nvCxnSpPr>
        <xdr:cNvPr id="10" name="AutoShape 250">
          <a:extLst>
            <a:ext uri="{FF2B5EF4-FFF2-40B4-BE49-F238E27FC236}">
              <a16:creationId xmlns:a16="http://schemas.microsoft.com/office/drawing/2014/main" id="{00000000-0008-0000-0300-00000A000000}"/>
            </a:ext>
          </a:extLst>
        </xdr:cNvPr>
        <xdr:cNvCxnSpPr>
          <a:cxnSpLocks noChangeShapeType="1"/>
        </xdr:cNvCxnSpPr>
      </xdr:nvCxnSpPr>
      <xdr:spPr bwMode="auto">
        <a:xfrm flipV="1">
          <a:off x="4200525" y="12792075"/>
          <a:ext cx="1495425" cy="342900"/>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27</xdr:row>
      <xdr:rowOff>69273</xdr:rowOff>
    </xdr:from>
    <xdr:to>
      <xdr:col>5</xdr:col>
      <xdr:colOff>8659</xdr:colOff>
      <xdr:row>27</xdr:row>
      <xdr:rowOff>69273</xdr:rowOff>
    </xdr:to>
    <xdr:cxnSp macro="">
      <xdr:nvCxnSpPr>
        <xdr:cNvPr id="11" name="AutoShape 197">
          <a:extLst>
            <a:ext uri="{FF2B5EF4-FFF2-40B4-BE49-F238E27FC236}">
              <a16:creationId xmlns:a16="http://schemas.microsoft.com/office/drawing/2014/main" id="{00000000-0008-0000-0300-00000B000000}"/>
            </a:ext>
          </a:extLst>
        </xdr:cNvPr>
        <xdr:cNvCxnSpPr>
          <a:cxnSpLocks noChangeShapeType="1"/>
        </xdr:cNvCxnSpPr>
      </xdr:nvCxnSpPr>
      <xdr:spPr bwMode="auto">
        <a:xfrm>
          <a:off x="4210050" y="4812723"/>
          <a:ext cx="1485034"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39</xdr:row>
      <xdr:rowOff>112569</xdr:rowOff>
    </xdr:from>
    <xdr:to>
      <xdr:col>5</xdr:col>
      <xdr:colOff>9525</xdr:colOff>
      <xdr:row>39</xdr:row>
      <xdr:rowOff>112569</xdr:rowOff>
    </xdr:to>
    <xdr:cxnSp macro="">
      <xdr:nvCxnSpPr>
        <xdr:cNvPr id="12" name="AutoShape 197">
          <a:extLst>
            <a:ext uri="{FF2B5EF4-FFF2-40B4-BE49-F238E27FC236}">
              <a16:creationId xmlns:a16="http://schemas.microsoft.com/office/drawing/2014/main" id="{00000000-0008-0000-0300-00000C000000}"/>
            </a:ext>
          </a:extLst>
        </xdr:cNvPr>
        <xdr:cNvCxnSpPr>
          <a:cxnSpLocks noChangeShapeType="1"/>
        </xdr:cNvCxnSpPr>
      </xdr:nvCxnSpPr>
      <xdr:spPr bwMode="auto">
        <a:xfrm>
          <a:off x="4210050" y="7808769"/>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800100</xdr:colOff>
      <xdr:row>18</xdr:row>
      <xdr:rowOff>21359</xdr:rowOff>
    </xdr:from>
    <xdr:to>
      <xdr:col>5</xdr:col>
      <xdr:colOff>2309</xdr:colOff>
      <xdr:row>18</xdr:row>
      <xdr:rowOff>21359</xdr:rowOff>
    </xdr:to>
    <xdr:cxnSp macro="">
      <xdr:nvCxnSpPr>
        <xdr:cNvPr id="15" name="AutoShape 197">
          <a:extLst>
            <a:ext uri="{FF2B5EF4-FFF2-40B4-BE49-F238E27FC236}">
              <a16:creationId xmlns:a16="http://schemas.microsoft.com/office/drawing/2014/main" id="{00000000-0008-0000-0300-00000F000000}"/>
            </a:ext>
          </a:extLst>
        </xdr:cNvPr>
        <xdr:cNvCxnSpPr>
          <a:cxnSpLocks noChangeShapeType="1"/>
        </xdr:cNvCxnSpPr>
      </xdr:nvCxnSpPr>
      <xdr:spPr bwMode="auto">
        <a:xfrm>
          <a:off x="4391025" y="3297959"/>
          <a:ext cx="1583459"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762000</xdr:colOff>
      <xdr:row>24</xdr:row>
      <xdr:rowOff>138545</xdr:rowOff>
    </xdr:from>
    <xdr:to>
      <xdr:col>5</xdr:col>
      <xdr:colOff>0</xdr:colOff>
      <xdr:row>24</xdr:row>
      <xdr:rowOff>138545</xdr:rowOff>
    </xdr:to>
    <xdr:cxnSp macro="">
      <xdr:nvCxnSpPr>
        <xdr:cNvPr id="16" name="AutoShape 197">
          <a:extLst>
            <a:ext uri="{FF2B5EF4-FFF2-40B4-BE49-F238E27FC236}">
              <a16:creationId xmlns:a16="http://schemas.microsoft.com/office/drawing/2014/main" id="{00000000-0008-0000-0300-000010000000}"/>
            </a:ext>
          </a:extLst>
        </xdr:cNvPr>
        <xdr:cNvCxnSpPr>
          <a:cxnSpLocks noChangeShapeType="1"/>
        </xdr:cNvCxnSpPr>
      </xdr:nvCxnSpPr>
      <xdr:spPr bwMode="auto">
        <a:xfrm>
          <a:off x="4199659" y="4320886"/>
          <a:ext cx="2034886"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27</xdr:row>
      <xdr:rowOff>70139</xdr:rowOff>
    </xdr:from>
    <xdr:to>
      <xdr:col>5</xdr:col>
      <xdr:colOff>9525</xdr:colOff>
      <xdr:row>27</xdr:row>
      <xdr:rowOff>70139</xdr:rowOff>
    </xdr:to>
    <xdr:cxnSp macro="">
      <xdr:nvCxnSpPr>
        <xdr:cNvPr id="17" name="AutoShape 197">
          <a:extLst>
            <a:ext uri="{FF2B5EF4-FFF2-40B4-BE49-F238E27FC236}">
              <a16:creationId xmlns:a16="http://schemas.microsoft.com/office/drawing/2014/main" id="{00000000-0008-0000-0300-000011000000}"/>
            </a:ext>
          </a:extLst>
        </xdr:cNvPr>
        <xdr:cNvCxnSpPr>
          <a:cxnSpLocks noChangeShapeType="1"/>
        </xdr:cNvCxnSpPr>
      </xdr:nvCxnSpPr>
      <xdr:spPr bwMode="auto">
        <a:xfrm>
          <a:off x="4208318" y="4979844"/>
          <a:ext cx="149023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45</xdr:row>
      <xdr:rowOff>129886</xdr:rowOff>
    </xdr:from>
    <xdr:to>
      <xdr:col>5</xdr:col>
      <xdr:colOff>9525</xdr:colOff>
      <xdr:row>45</xdr:row>
      <xdr:rowOff>129886</xdr:rowOff>
    </xdr:to>
    <xdr:cxnSp macro="">
      <xdr:nvCxnSpPr>
        <xdr:cNvPr id="27" name="AutoShape 191">
          <a:extLst>
            <a:ext uri="{FF2B5EF4-FFF2-40B4-BE49-F238E27FC236}">
              <a16:creationId xmlns:a16="http://schemas.microsoft.com/office/drawing/2014/main" id="{00000000-0008-0000-0300-00001B000000}"/>
            </a:ext>
          </a:extLst>
        </xdr:cNvPr>
        <xdr:cNvCxnSpPr>
          <a:cxnSpLocks noChangeShapeType="1"/>
        </xdr:cNvCxnSpPr>
      </xdr:nvCxnSpPr>
      <xdr:spPr bwMode="auto">
        <a:xfrm>
          <a:off x="4328160" y="9212926"/>
          <a:ext cx="155638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29</xdr:row>
      <xdr:rowOff>69273</xdr:rowOff>
    </xdr:from>
    <xdr:to>
      <xdr:col>5</xdr:col>
      <xdr:colOff>8659</xdr:colOff>
      <xdr:row>29</xdr:row>
      <xdr:rowOff>69273</xdr:rowOff>
    </xdr:to>
    <xdr:cxnSp macro="">
      <xdr:nvCxnSpPr>
        <xdr:cNvPr id="18" name="AutoShape 197">
          <a:extLst>
            <a:ext uri="{FF2B5EF4-FFF2-40B4-BE49-F238E27FC236}">
              <a16:creationId xmlns:a16="http://schemas.microsoft.com/office/drawing/2014/main" id="{00000000-0008-0000-0300-000012000000}"/>
            </a:ext>
          </a:extLst>
        </xdr:cNvPr>
        <xdr:cNvCxnSpPr>
          <a:cxnSpLocks noChangeShapeType="1"/>
        </xdr:cNvCxnSpPr>
      </xdr:nvCxnSpPr>
      <xdr:spPr bwMode="auto">
        <a:xfrm>
          <a:off x="4329545" y="4786746"/>
          <a:ext cx="15534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29</xdr:row>
      <xdr:rowOff>70139</xdr:rowOff>
    </xdr:from>
    <xdr:to>
      <xdr:col>5</xdr:col>
      <xdr:colOff>9525</xdr:colOff>
      <xdr:row>29</xdr:row>
      <xdr:rowOff>70139</xdr:rowOff>
    </xdr:to>
    <xdr:cxnSp macro="">
      <xdr:nvCxnSpPr>
        <xdr:cNvPr id="19" name="AutoShape 197">
          <a:extLst>
            <a:ext uri="{FF2B5EF4-FFF2-40B4-BE49-F238E27FC236}">
              <a16:creationId xmlns:a16="http://schemas.microsoft.com/office/drawing/2014/main" id="{00000000-0008-0000-0300-000013000000}"/>
            </a:ext>
          </a:extLst>
        </xdr:cNvPr>
        <xdr:cNvCxnSpPr>
          <a:cxnSpLocks noChangeShapeType="1"/>
        </xdr:cNvCxnSpPr>
      </xdr:nvCxnSpPr>
      <xdr:spPr bwMode="auto">
        <a:xfrm>
          <a:off x="4329545" y="4787612"/>
          <a:ext cx="1554307"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782783</xdr:colOff>
      <xdr:row>31</xdr:row>
      <xdr:rowOff>6929</xdr:rowOff>
    </xdr:from>
    <xdr:to>
      <xdr:col>5</xdr:col>
      <xdr:colOff>1733</xdr:colOff>
      <xdr:row>31</xdr:row>
      <xdr:rowOff>6929</xdr:rowOff>
    </xdr:to>
    <xdr:cxnSp macro="">
      <xdr:nvCxnSpPr>
        <xdr:cNvPr id="20" name="AutoShape 197">
          <a:extLst>
            <a:ext uri="{FF2B5EF4-FFF2-40B4-BE49-F238E27FC236}">
              <a16:creationId xmlns:a16="http://schemas.microsoft.com/office/drawing/2014/main" id="{00000000-0008-0000-0300-000014000000}"/>
            </a:ext>
          </a:extLst>
        </xdr:cNvPr>
        <xdr:cNvCxnSpPr>
          <a:cxnSpLocks noChangeShapeType="1"/>
        </xdr:cNvCxnSpPr>
      </xdr:nvCxnSpPr>
      <xdr:spPr bwMode="auto">
        <a:xfrm>
          <a:off x="4322619" y="5437911"/>
          <a:ext cx="15534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390525</xdr:colOff>
      <xdr:row>6</xdr:row>
      <xdr:rowOff>38100</xdr:rowOff>
    </xdr:from>
    <xdr:to>
      <xdr:col>13</xdr:col>
      <xdr:colOff>9525</xdr:colOff>
      <xdr:row>7</xdr:row>
      <xdr:rowOff>57150</xdr:rowOff>
    </xdr:to>
    <xdr:cxnSp macro="">
      <xdr:nvCxnSpPr>
        <xdr:cNvPr id="4" name="AutoShape 250">
          <a:extLst>
            <a:ext uri="{FF2B5EF4-FFF2-40B4-BE49-F238E27FC236}">
              <a16:creationId xmlns:a16="http://schemas.microsoft.com/office/drawing/2014/main" id="{00000000-0008-0000-0400-000004000000}"/>
            </a:ext>
          </a:extLst>
        </xdr:cNvPr>
        <xdr:cNvCxnSpPr>
          <a:cxnSpLocks noChangeShapeType="1"/>
        </xdr:cNvCxnSpPr>
      </xdr:nvCxnSpPr>
      <xdr:spPr bwMode="auto">
        <a:xfrm>
          <a:off x="10591800" y="1133475"/>
          <a:ext cx="1943100" cy="209550"/>
        </a:xfrm>
        <a:prstGeom prst="bentConnector3">
          <a:avLst>
            <a:gd name="adj1" fmla="val 80139"/>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400050</xdr:colOff>
      <xdr:row>6</xdr:row>
      <xdr:rowOff>38100</xdr:rowOff>
    </xdr:from>
    <xdr:to>
      <xdr:col>10</xdr:col>
      <xdr:colOff>400050</xdr:colOff>
      <xdr:row>6</xdr:row>
      <xdr:rowOff>180975</xdr:rowOff>
    </xdr:to>
    <xdr:cxnSp macro="">
      <xdr:nvCxnSpPr>
        <xdr:cNvPr id="5" name="AutoShape 191">
          <a:extLst>
            <a:ext uri="{FF2B5EF4-FFF2-40B4-BE49-F238E27FC236}">
              <a16:creationId xmlns:a16="http://schemas.microsoft.com/office/drawing/2014/main" id="{00000000-0008-0000-0400-000005000000}"/>
            </a:ext>
          </a:extLst>
        </xdr:cNvPr>
        <xdr:cNvCxnSpPr>
          <a:cxnSpLocks noChangeShapeType="1"/>
        </xdr:cNvCxnSpPr>
      </xdr:nvCxnSpPr>
      <xdr:spPr bwMode="auto">
        <a:xfrm flipV="1">
          <a:off x="10601325" y="1133475"/>
          <a:ext cx="0" cy="142875"/>
        </a:xfrm>
        <a:prstGeom prst="straightConnector1">
          <a:avLst/>
        </a:prstGeom>
        <a:noFill/>
        <a:ln w="19050">
          <a:solidFill>
            <a:srgbClr val="0070C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28575</xdr:colOff>
      <xdr:row>14</xdr:row>
      <xdr:rowOff>76200</xdr:rowOff>
    </xdr:from>
    <xdr:to>
      <xdr:col>13</xdr:col>
      <xdr:colOff>9525</xdr:colOff>
      <xdr:row>15</xdr:row>
      <xdr:rowOff>85725</xdr:rowOff>
    </xdr:to>
    <xdr:cxnSp macro="">
      <xdr:nvCxnSpPr>
        <xdr:cNvPr id="14" name="AutoShape 250">
          <a:extLst>
            <a:ext uri="{FF2B5EF4-FFF2-40B4-BE49-F238E27FC236}">
              <a16:creationId xmlns:a16="http://schemas.microsoft.com/office/drawing/2014/main" id="{00000000-0008-0000-0400-00000E000000}"/>
            </a:ext>
          </a:extLst>
        </xdr:cNvPr>
        <xdr:cNvCxnSpPr>
          <a:cxnSpLocks noChangeShapeType="1"/>
        </xdr:cNvCxnSpPr>
      </xdr:nvCxnSpPr>
      <xdr:spPr bwMode="auto">
        <a:xfrm>
          <a:off x="10944225" y="2619375"/>
          <a:ext cx="1590675" cy="180975"/>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0</xdr:colOff>
      <xdr:row>14</xdr:row>
      <xdr:rowOff>66675</xdr:rowOff>
    </xdr:from>
    <xdr:to>
      <xdr:col>13</xdr:col>
      <xdr:colOff>9525</xdr:colOff>
      <xdr:row>14</xdr:row>
      <xdr:rowOff>66675</xdr:rowOff>
    </xdr:to>
    <xdr:cxnSp macro="">
      <xdr:nvCxnSpPr>
        <xdr:cNvPr id="16" name="AutoShape 191">
          <a:extLst>
            <a:ext uri="{FF2B5EF4-FFF2-40B4-BE49-F238E27FC236}">
              <a16:creationId xmlns:a16="http://schemas.microsoft.com/office/drawing/2014/main" id="{00000000-0008-0000-0400-000010000000}"/>
            </a:ext>
          </a:extLst>
        </xdr:cNvPr>
        <xdr:cNvCxnSpPr>
          <a:cxnSpLocks noChangeShapeType="1"/>
        </xdr:cNvCxnSpPr>
      </xdr:nvCxnSpPr>
      <xdr:spPr bwMode="auto">
        <a:xfrm>
          <a:off x="11630025" y="2609850"/>
          <a:ext cx="90487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18</xdr:row>
      <xdr:rowOff>47625</xdr:rowOff>
    </xdr:from>
    <xdr:to>
      <xdr:col>0</xdr:col>
      <xdr:colOff>19050</xdr:colOff>
      <xdr:row>18</xdr:row>
      <xdr:rowOff>167640</xdr:rowOff>
    </xdr:to>
    <xdr:sp macro="" textlink="">
      <xdr:nvSpPr>
        <xdr:cNvPr id="3" name="Text 1">
          <a:extLst>
            <a:ext uri="{FF2B5EF4-FFF2-40B4-BE49-F238E27FC236}">
              <a16:creationId xmlns:a16="http://schemas.microsoft.com/office/drawing/2014/main" id="{00000000-0008-0000-0500-000003000000}"/>
            </a:ext>
          </a:extLst>
        </xdr:cNvPr>
        <xdr:cNvSpPr txBox="1">
          <a:spLocks noChangeArrowheads="1"/>
        </xdr:cNvSpPr>
      </xdr:nvSpPr>
      <xdr:spPr bwMode="auto">
        <a:xfrm>
          <a:off x="19050" y="3248025"/>
          <a:ext cx="0" cy="1809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u="none" strike="noStrike" baseline="0">
              <a:solidFill>
                <a:srgbClr val="000000"/>
              </a:solidFill>
              <a:latin typeface="Arial"/>
              <a:cs typeface="Arial"/>
            </a:rPr>
            <a:t>Gå till avd:</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47625</xdr:rowOff>
    </xdr:from>
    <xdr:to>
      <xdr:col>1</xdr:col>
      <xdr:colOff>0</xdr:colOff>
      <xdr:row>3</xdr:row>
      <xdr:rowOff>27940</xdr:rowOff>
    </xdr:to>
    <xdr:sp macro="" textlink="">
      <xdr:nvSpPr>
        <xdr:cNvPr id="2" name="txtGoTo">
          <a:extLst>
            <a:ext uri="{FF2B5EF4-FFF2-40B4-BE49-F238E27FC236}">
              <a16:creationId xmlns:a16="http://schemas.microsoft.com/office/drawing/2014/main" id="{00000000-0008-0000-0900-000002000000}"/>
            </a:ext>
          </a:extLst>
        </xdr:cNvPr>
        <xdr:cNvSpPr txBox="1">
          <a:spLocks noChangeArrowheads="1"/>
        </xdr:cNvSpPr>
      </xdr:nvSpPr>
      <xdr:spPr bwMode="auto">
        <a:xfrm>
          <a:off x="342900" y="60007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twoCellAnchor editAs="oneCell">
    <xdr:from>
      <xdr:col>0</xdr:col>
      <xdr:colOff>38100</xdr:colOff>
      <xdr:row>2</xdr:row>
      <xdr:rowOff>47625</xdr:rowOff>
    </xdr:from>
    <xdr:to>
      <xdr:col>0</xdr:col>
      <xdr:colOff>38100</xdr:colOff>
      <xdr:row>3</xdr:row>
      <xdr:rowOff>27940</xdr:rowOff>
    </xdr:to>
    <xdr:sp macro="" textlink="">
      <xdr:nvSpPr>
        <xdr:cNvPr id="3" name="txtGoTo">
          <a:extLst>
            <a:ext uri="{FF2B5EF4-FFF2-40B4-BE49-F238E27FC236}">
              <a16:creationId xmlns:a16="http://schemas.microsoft.com/office/drawing/2014/main" id="{00000000-0008-0000-0900-000003000000}"/>
            </a:ext>
          </a:extLst>
        </xdr:cNvPr>
        <xdr:cNvSpPr txBox="1">
          <a:spLocks noChangeArrowheads="1"/>
        </xdr:cNvSpPr>
      </xdr:nvSpPr>
      <xdr:spPr bwMode="auto">
        <a:xfrm>
          <a:off x="38100" y="60007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twoCellAnchor>
    <xdr:from>
      <xdr:col>2</xdr:col>
      <xdr:colOff>255269</xdr:colOff>
      <xdr:row>0</xdr:row>
      <xdr:rowOff>266700</xdr:rowOff>
    </xdr:from>
    <xdr:to>
      <xdr:col>7</xdr:col>
      <xdr:colOff>142869</xdr:colOff>
      <xdr:row>2</xdr:row>
      <xdr:rowOff>123825</xdr:rowOff>
    </xdr:to>
    <xdr:sp macro="" textlink="">
      <xdr:nvSpPr>
        <xdr:cNvPr id="62515" name="Rectangle 48">
          <a:extLst>
            <a:ext uri="{FF2B5EF4-FFF2-40B4-BE49-F238E27FC236}">
              <a16:creationId xmlns:a16="http://schemas.microsoft.com/office/drawing/2014/main" id="{00000000-0008-0000-0900-000033F40000}"/>
            </a:ext>
          </a:extLst>
        </xdr:cNvPr>
        <xdr:cNvSpPr>
          <a:spLocks noChangeArrowheads="1"/>
        </xdr:cNvSpPr>
      </xdr:nvSpPr>
      <xdr:spPr bwMode="auto">
        <a:xfrm>
          <a:off x="2781299" y="266700"/>
          <a:ext cx="3000375" cy="295275"/>
        </a:xfrm>
        <a:prstGeom prst="rect">
          <a:avLst/>
        </a:prstGeom>
        <a:solidFill>
          <a:srgbClr val="C0C0C0"/>
        </a:solidFill>
        <a:ln w="9525">
          <a:solidFill>
            <a:srgbClr val="000000"/>
          </a:solidFill>
          <a:miter lim="800000"/>
          <a:headEnd/>
          <a:tailEnd/>
        </a:ln>
      </xdr:spPr>
      <xdr:txBody>
        <a:bodyPr vertOverflow="clip" wrap="square" lIns="27432" tIns="22860" rIns="0" bIns="0" anchor="t" upright="1"/>
        <a:lstStyle/>
        <a:p>
          <a:pPr algn="l" rtl="0">
            <a:defRPr sz="1000"/>
          </a:pPr>
          <a:r>
            <a:rPr lang="sv-SE" sz="800" b="1" i="0" u="none" strike="noStrike" baseline="0">
              <a:solidFill>
                <a:srgbClr val="000000"/>
              </a:solidFill>
              <a:latin typeface="Helvetica"/>
              <a:cs typeface="Helvetica"/>
            </a:rPr>
            <a:t>Obs!</a:t>
          </a:r>
          <a:r>
            <a:rPr lang="sv-SE" sz="800" b="0" i="0" u="none" strike="noStrike" baseline="0">
              <a:solidFill>
                <a:srgbClr val="000000"/>
              </a:solidFill>
              <a:latin typeface="Helvetica"/>
              <a:cs typeface="Helvetica"/>
            </a:rPr>
            <a:t> Skriv 0 om kostnad/intäkt ej förekommer. Om uppgiften är okänd/saknas lämnas cellen tom och orsaken kommenteras.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2</xdr:row>
      <xdr:rowOff>47625</xdr:rowOff>
    </xdr:from>
    <xdr:to>
      <xdr:col>0</xdr:col>
      <xdr:colOff>38100</xdr:colOff>
      <xdr:row>3</xdr:row>
      <xdr:rowOff>21590</xdr:rowOff>
    </xdr:to>
    <xdr:sp macro="" textlink="">
      <xdr:nvSpPr>
        <xdr:cNvPr id="2" name="txtGoTo">
          <a:extLst>
            <a:ext uri="{FF2B5EF4-FFF2-40B4-BE49-F238E27FC236}">
              <a16:creationId xmlns:a16="http://schemas.microsoft.com/office/drawing/2014/main" id="{00000000-0008-0000-0A00-000002000000}"/>
            </a:ext>
          </a:extLst>
        </xdr:cNvPr>
        <xdr:cNvSpPr txBox="1">
          <a:spLocks noChangeArrowheads="1"/>
        </xdr:cNvSpPr>
      </xdr:nvSpPr>
      <xdr:spPr bwMode="auto">
        <a:xfrm>
          <a:off x="38100" y="27622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twoCellAnchor>
    <xdr:from>
      <xdr:col>19</xdr:col>
      <xdr:colOff>0</xdr:colOff>
      <xdr:row>65535</xdr:row>
      <xdr:rowOff>0</xdr:rowOff>
    </xdr:from>
    <xdr:to>
      <xdr:col>19</xdr:col>
      <xdr:colOff>0</xdr:colOff>
      <xdr:row>65535</xdr:row>
      <xdr:rowOff>0</xdr:rowOff>
    </xdr:to>
    <xdr:sp macro="" textlink="">
      <xdr:nvSpPr>
        <xdr:cNvPr id="172907" name="Entreprenad">
          <a:extLst>
            <a:ext uri="{FF2B5EF4-FFF2-40B4-BE49-F238E27FC236}">
              <a16:creationId xmlns:a16="http://schemas.microsoft.com/office/drawing/2014/main" id="{00000000-0008-0000-0A00-00006BA30200}"/>
            </a:ext>
          </a:extLst>
        </xdr:cNvPr>
        <xdr:cNvSpPr txBox="1">
          <a:spLocks noChangeArrowheads="1"/>
        </xdr:cNvSpPr>
      </xdr:nvSpPr>
      <xdr:spPr bwMode="auto">
        <a:xfrm>
          <a:off x="14478000" y="7000875"/>
          <a:ext cx="0" cy="0"/>
        </a:xfrm>
        <a:prstGeom prst="rect">
          <a:avLst/>
        </a:prstGeom>
        <a:solidFill>
          <a:srgbClr val="FFFFFF"/>
        </a:solidFill>
        <a:ln w="9525">
          <a:solidFill>
            <a:srgbClr val="C0C0C0"/>
          </a:solidFill>
          <a:miter lim="800000"/>
          <a:headEnd/>
          <a:tailEnd/>
        </a:ln>
      </xdr:spPr>
    </xdr:sp>
    <xdr:clientData/>
  </xdr:twoCellAnchor>
  <xdr:twoCellAnchor>
    <xdr:from>
      <xdr:col>19</xdr:col>
      <xdr:colOff>0</xdr:colOff>
      <xdr:row>65535</xdr:row>
      <xdr:rowOff>0</xdr:rowOff>
    </xdr:from>
    <xdr:to>
      <xdr:col>19</xdr:col>
      <xdr:colOff>0</xdr:colOff>
      <xdr:row>65535</xdr:row>
      <xdr:rowOff>0</xdr:rowOff>
    </xdr:to>
    <xdr:sp macro="" textlink="">
      <xdr:nvSpPr>
        <xdr:cNvPr id="172908" name="Entreprenad">
          <a:extLst>
            <a:ext uri="{FF2B5EF4-FFF2-40B4-BE49-F238E27FC236}">
              <a16:creationId xmlns:a16="http://schemas.microsoft.com/office/drawing/2014/main" id="{00000000-0008-0000-0A00-00006CA30200}"/>
            </a:ext>
          </a:extLst>
        </xdr:cNvPr>
        <xdr:cNvSpPr txBox="1">
          <a:spLocks noChangeArrowheads="1"/>
        </xdr:cNvSpPr>
      </xdr:nvSpPr>
      <xdr:spPr bwMode="auto">
        <a:xfrm>
          <a:off x="14478000" y="7000875"/>
          <a:ext cx="0" cy="0"/>
        </a:xfrm>
        <a:prstGeom prst="rect">
          <a:avLst/>
        </a:prstGeom>
        <a:solidFill>
          <a:srgbClr val="FFFFFF"/>
        </a:solidFill>
        <a:ln w="9525">
          <a:solidFill>
            <a:srgbClr val="C0C0C0"/>
          </a:solidFill>
          <a:miter lim="800000"/>
          <a:headEnd/>
          <a:tailEnd/>
        </a:ln>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BCBCBC"/>
          </a:solidFill>
          <a:miter lim="800000"/>
          <a:headEnd/>
          <a:tailEnd/>
        </a:ln>
      </a:spPr>
      <a:bodyPr/>
      <a:lstStyle>
        <a:defPPr>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www.scb.se/rskommuner"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7" Type="http://schemas.openxmlformats.org/officeDocument/2006/relationships/comments" Target="../comments9.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vmlDrawing" Target="../drawings/vmlDrawing9.vml"/><Relationship Id="rId5" Type="http://schemas.openxmlformats.org/officeDocument/2006/relationships/drawing" Target="../drawings/drawing6.xml"/><Relationship Id="rId4" Type="http://schemas.openxmlformats.org/officeDocument/2006/relationships/printerSettings" Target="../printerSettings/printerSettings3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7" Type="http://schemas.openxmlformats.org/officeDocument/2006/relationships/comments" Target="../comments10.x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vmlDrawing" Target="../drawings/vmlDrawing10.vml"/><Relationship Id="rId5" Type="http://schemas.openxmlformats.org/officeDocument/2006/relationships/drawing" Target="../drawings/drawing7.xml"/><Relationship Id="rId4" Type="http://schemas.openxmlformats.org/officeDocument/2006/relationships/printerSettings" Target="../printerSettings/printerSettings35.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comments" Target="../comments2.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7" Type="http://schemas.openxmlformats.org/officeDocument/2006/relationships/comments" Target="../comments5.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vmlDrawing" Target="../drawings/vmlDrawing5.vml"/><Relationship Id="rId5" Type="http://schemas.openxmlformats.org/officeDocument/2006/relationships/drawing" Target="../drawings/drawing5.xml"/><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comments" Target="../comments8.xml"/><Relationship Id="rId5" Type="http://schemas.openxmlformats.org/officeDocument/2006/relationships/vmlDrawing" Target="../drawings/vmlDrawing8.vml"/><Relationship Id="rId4"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FFF00"/>
    <pageSetUpPr fitToPage="1"/>
  </sheetPr>
  <dimension ref="A1:E50"/>
  <sheetViews>
    <sheetView zoomScaleNormal="100" workbookViewId="0">
      <selection activeCell="A41" sqref="A41"/>
    </sheetView>
  </sheetViews>
  <sheetFormatPr defaultColWidth="0" defaultRowHeight="12.75" zeroHeight="1"/>
  <cols>
    <col min="1" max="1" width="22.5703125" style="519" customWidth="1"/>
    <col min="2" max="2" width="26.5703125" style="519" customWidth="1"/>
    <col min="3" max="3" width="20.5703125" style="519" customWidth="1"/>
    <col min="4" max="4" width="26.5703125" style="519" customWidth="1"/>
    <col min="5" max="5" width="12.42578125" style="510" customWidth="1"/>
  </cols>
  <sheetData>
    <row r="1" spans="1:5" s="520" customFormat="1">
      <c r="A1" s="2834" t="s">
        <v>591</v>
      </c>
      <c r="B1" s="2835"/>
      <c r="C1" s="2835"/>
      <c r="D1" s="2835"/>
      <c r="E1" s="508"/>
    </row>
    <row r="2" spans="1:5" s="519" customFormat="1" ht="15.75">
      <c r="A2" s="509" t="s">
        <v>593</v>
      </c>
      <c r="B2" s="506"/>
      <c r="C2" s="151"/>
      <c r="D2" s="151"/>
      <c r="E2" s="510"/>
    </row>
    <row r="3" spans="1:5" s="519" customFormat="1" ht="15.75">
      <c r="A3" s="509" t="s">
        <v>594</v>
      </c>
      <c r="B3" s="507"/>
      <c r="C3" s="151"/>
      <c r="D3" s="151"/>
      <c r="E3" s="510"/>
    </row>
    <row r="4" spans="1:5" s="519" customFormat="1" ht="15.75">
      <c r="A4" s="2449" t="str">
        <f>"Invånare 31 dec. "&amp;År&amp;""</f>
        <v>Invånare 31 dec. 2023</v>
      </c>
      <c r="B4" s="511"/>
      <c r="C4" s="2338"/>
      <c r="D4" s="151"/>
      <c r="E4" s="510"/>
    </row>
    <row r="5" spans="1:5" s="519" customFormat="1" ht="19.5" customHeight="1">
      <c r="A5" s="2449" t="str">
        <f>"Inv. 7-15 år 31 dec. "&amp;År&amp;""</f>
        <v>Inv. 7-15 år 31 dec. 2023</v>
      </c>
      <c r="B5" s="511"/>
      <c r="C5" s="152"/>
      <c r="D5" s="151"/>
      <c r="E5" s="510"/>
    </row>
    <row r="6" spans="1:5" s="519" customFormat="1" ht="15.75">
      <c r="A6" s="512"/>
      <c r="B6" s="151"/>
      <c r="C6" s="513"/>
      <c r="D6" s="513"/>
      <c r="E6" s="510"/>
    </row>
    <row r="7" spans="1:5" s="519" customFormat="1" ht="15.75">
      <c r="A7" s="2836" t="str">
        <f>"Räkenskapssammandraget "&amp;År&amp;""</f>
        <v>Räkenskapssammandraget 2023</v>
      </c>
      <c r="B7" s="2837"/>
      <c r="C7" s="2837"/>
      <c r="D7" s="2837"/>
      <c r="E7" s="510"/>
    </row>
    <row r="8" spans="1:5" s="519" customFormat="1" ht="22.5" customHeight="1">
      <c r="A8" s="514"/>
      <c r="B8" s="151"/>
      <c r="C8" s="151"/>
      <c r="D8" s="151"/>
      <c r="E8" s="510"/>
    </row>
    <row r="9" spans="1:5" s="519" customFormat="1" ht="12.75" customHeight="1">
      <c r="A9" s="2735" t="s">
        <v>1725</v>
      </c>
      <c r="B9" s="2734" t="s">
        <v>1724</v>
      </c>
      <c r="C9" s="515"/>
      <c r="D9" s="2725"/>
      <c r="E9" s="510"/>
    </row>
    <row r="10" spans="1:5" s="519" customFormat="1">
      <c r="A10" s="2828"/>
      <c r="B10" s="2838"/>
      <c r="C10" s="2838"/>
      <c r="D10" s="2725"/>
      <c r="E10" s="510"/>
    </row>
    <row r="11" spans="1:5" s="519" customFormat="1">
      <c r="A11" s="2826" t="s">
        <v>1726</v>
      </c>
      <c r="B11" s="2827"/>
      <c r="C11" s="515"/>
      <c r="D11" s="2725"/>
      <c r="E11" s="510"/>
    </row>
    <row r="12" spans="1:5" s="519" customFormat="1">
      <c r="A12" s="2828" t="s">
        <v>1720</v>
      </c>
      <c r="B12" s="2829"/>
      <c r="C12" s="2830"/>
      <c r="D12" s="2725"/>
      <c r="E12" s="510"/>
    </row>
    <row r="13" spans="1:5" s="519" customFormat="1">
      <c r="A13" s="2733" t="s">
        <v>1721</v>
      </c>
      <c r="B13" s="2732"/>
      <c r="C13" s="2732"/>
      <c r="D13" s="150"/>
      <c r="E13" s="510"/>
    </row>
    <row r="14" spans="1:5" s="519" customFormat="1">
      <c r="A14" s="2831" t="s">
        <v>1722</v>
      </c>
      <c r="B14" s="2832"/>
      <c r="C14" s="2832"/>
      <c r="D14" s="2832"/>
      <c r="E14" s="510"/>
    </row>
    <row r="15" spans="1:5" s="519" customFormat="1">
      <c r="A15" s="2732" t="s">
        <v>1733</v>
      </c>
      <c r="B15" s="2726"/>
      <c r="C15" s="2725"/>
      <c r="D15" s="2725"/>
      <c r="E15" s="510"/>
    </row>
    <row r="16" spans="1:5" s="519" customFormat="1">
      <c r="A16" s="2732" t="s">
        <v>1723</v>
      </c>
      <c r="B16" s="2730"/>
      <c r="C16" s="2730"/>
      <c r="D16" s="2731"/>
      <c r="E16" s="510"/>
    </row>
    <row r="17" spans="1:5" s="519" customFormat="1">
      <c r="A17" s="2727"/>
      <c r="B17" s="2728"/>
      <c r="C17" s="2728"/>
      <c r="D17" s="2728"/>
      <c r="E17" s="510"/>
    </row>
    <row r="18" spans="1:5" s="519" customFormat="1" ht="13.35" customHeight="1">
      <c r="A18" s="2831" t="s">
        <v>1727</v>
      </c>
      <c r="B18" s="2833"/>
      <c r="C18" s="2833"/>
      <c r="D18" s="2833"/>
      <c r="E18" s="2833"/>
    </row>
    <row r="19" spans="1:5" s="519" customFormat="1">
      <c r="A19" s="2843"/>
      <c r="B19" s="2844"/>
      <c r="C19" s="2844"/>
      <c r="D19" s="2844"/>
      <c r="E19" s="510"/>
    </row>
    <row r="20" spans="1:5" s="519" customFormat="1">
      <c r="A20" s="2725"/>
      <c r="B20" s="2725"/>
      <c r="C20" s="2725"/>
      <c r="D20" s="2725"/>
      <c r="E20" s="510"/>
    </row>
    <row r="21" spans="1:5" s="519" customFormat="1">
      <c r="A21" s="2729"/>
      <c r="B21" s="2730"/>
      <c r="C21" s="2730"/>
      <c r="D21" s="2731"/>
      <c r="E21" s="510"/>
    </row>
    <row r="22" spans="1:5" s="519" customFormat="1">
      <c r="A22" s="2826"/>
      <c r="B22" s="2827"/>
      <c r="C22" s="515"/>
      <c r="D22" s="2725"/>
      <c r="E22" s="510"/>
    </row>
    <row r="23" spans="1:5" s="519" customFormat="1">
      <c r="A23" s="2828"/>
      <c r="B23" s="2829"/>
      <c r="C23" s="2830"/>
      <c r="D23" s="2725"/>
      <c r="E23" s="510"/>
    </row>
    <row r="24" spans="1:5" s="519" customFormat="1">
      <c r="A24" s="2733"/>
      <c r="B24" s="2732"/>
      <c r="C24" s="2732"/>
      <c r="D24" s="150"/>
      <c r="E24" s="510"/>
    </row>
    <row r="25" spans="1:5" s="519" customFormat="1">
      <c r="A25" s="2831"/>
      <c r="B25" s="2832"/>
      <c r="C25" s="2832"/>
      <c r="D25" s="2832"/>
      <c r="E25" s="510"/>
    </row>
    <row r="26" spans="1:5" s="519" customFormat="1">
      <c r="A26" s="2732"/>
      <c r="B26" s="2726"/>
      <c r="C26" s="2725"/>
      <c r="D26" s="2725"/>
      <c r="E26" s="510"/>
    </row>
    <row r="27" spans="1:5" s="519" customFormat="1">
      <c r="A27" s="2845"/>
      <c r="B27" s="2846"/>
      <c r="C27" s="2846"/>
      <c r="D27" s="2846"/>
      <c r="E27" s="510"/>
    </row>
    <row r="28" spans="1:5" s="519" customFormat="1" ht="15">
      <c r="A28" s="2847"/>
      <c r="B28" s="2848"/>
      <c r="C28" s="2848"/>
      <c r="D28" s="2848"/>
      <c r="E28" s="510"/>
    </row>
    <row r="29" spans="1:5" s="519" customFormat="1">
      <c r="A29" s="2841"/>
      <c r="B29" s="2842"/>
      <c r="C29" s="2842"/>
      <c r="D29" s="2842"/>
      <c r="E29" s="510"/>
    </row>
    <row r="30" spans="1:5" s="519" customFormat="1">
      <c r="A30" s="2725"/>
      <c r="B30" s="2725"/>
      <c r="C30" s="2725"/>
      <c r="D30" s="2725"/>
      <c r="E30" s="510"/>
    </row>
    <row r="31" spans="1:5" s="519" customFormat="1">
      <c r="A31" s="2729"/>
      <c r="B31" s="2730"/>
      <c r="C31" s="2730"/>
      <c r="D31" s="2731"/>
      <c r="E31" s="510"/>
    </row>
    <row r="32" spans="1:5" s="519" customFormat="1">
      <c r="A32" s="2729"/>
      <c r="B32" s="2730"/>
      <c r="C32" s="2730"/>
      <c r="D32" s="2731"/>
      <c r="E32" s="510"/>
    </row>
    <row r="33" spans="1:5" s="519" customFormat="1">
      <c r="A33" s="2729"/>
      <c r="B33" s="2730"/>
      <c r="C33" s="2730"/>
      <c r="D33" s="2731"/>
      <c r="E33" s="510"/>
    </row>
    <row r="34" spans="1:5" s="519" customFormat="1">
      <c r="A34" s="2729"/>
      <c r="B34" s="2730"/>
      <c r="C34" s="2730"/>
      <c r="D34" s="2731"/>
      <c r="E34" s="510"/>
    </row>
    <row r="35" spans="1:5" s="519" customFormat="1">
      <c r="A35" s="2729"/>
      <c r="B35" s="2730"/>
      <c r="C35" s="2730"/>
      <c r="D35" s="2731"/>
      <c r="E35" s="510"/>
    </row>
    <row r="36" spans="1:5" s="519" customFormat="1">
      <c r="A36" s="516"/>
      <c r="B36" s="510"/>
      <c r="C36" s="510"/>
      <c r="D36" s="510"/>
      <c r="E36" s="510"/>
    </row>
    <row r="37" spans="1:5" s="519" customFormat="1">
      <c r="A37" s="516"/>
      <c r="B37" s="510"/>
      <c r="C37" s="510"/>
      <c r="D37" s="510"/>
      <c r="E37" s="510"/>
    </row>
    <row r="38" spans="1:5" s="519" customFormat="1">
      <c r="A38" s="516"/>
      <c r="B38" s="510"/>
      <c r="C38" s="510"/>
      <c r="D38" s="510"/>
      <c r="E38" s="510"/>
    </row>
    <row r="39" spans="1:5" s="519" customFormat="1">
      <c r="A39" s="516"/>
      <c r="B39" s="2839"/>
      <c r="C39" s="2839"/>
      <c r="D39" s="510"/>
      <c r="E39" s="510"/>
    </row>
    <row r="40" spans="1:5" s="519" customFormat="1">
      <c r="A40" s="516"/>
      <c r="B40" s="2839"/>
      <c r="C40" s="2839"/>
      <c r="D40" s="510"/>
      <c r="E40" s="510"/>
    </row>
    <row r="41" spans="1:5" s="519" customFormat="1">
      <c r="A41" s="2762" t="s">
        <v>1840</v>
      </c>
      <c r="B41" s="2840"/>
      <c r="C41" s="2840"/>
      <c r="D41" s="510"/>
      <c r="E41" s="510"/>
    </row>
    <row r="42" spans="1:5" s="519" customFormat="1">
      <c r="A42" s="516"/>
      <c r="B42" s="510"/>
      <c r="C42" s="510"/>
      <c r="D42" s="510"/>
      <c r="E42" s="510"/>
    </row>
    <row r="43" spans="1:5" s="519" customFormat="1">
      <c r="A43" s="516"/>
      <c r="B43" s="510"/>
      <c r="C43" s="510"/>
      <c r="D43" s="510"/>
      <c r="E43" s="510"/>
    </row>
    <row r="44" spans="1:5" s="519" customFormat="1">
      <c r="A44" s="516"/>
      <c r="B44" s="510"/>
      <c r="C44" s="510"/>
      <c r="D44" s="510"/>
      <c r="E44" s="510"/>
    </row>
    <row r="45" spans="1:5" s="519" customFormat="1">
      <c r="A45" s="516"/>
      <c r="B45" s="510"/>
      <c r="C45" s="510"/>
      <c r="D45" s="510"/>
      <c r="E45" s="510"/>
    </row>
    <row r="46" spans="1:5" s="519" customFormat="1">
      <c r="A46" s="516"/>
      <c r="B46" s="510"/>
      <c r="C46" s="510"/>
      <c r="D46" s="510"/>
      <c r="E46" s="510"/>
    </row>
    <row r="47" spans="1:5" s="519" customFormat="1">
      <c r="A47" s="516"/>
      <c r="B47" s="510"/>
      <c r="C47" s="510"/>
      <c r="D47" s="510"/>
      <c r="E47" s="510"/>
    </row>
    <row r="48" spans="1:5" s="519" customFormat="1">
      <c r="A48" s="516"/>
      <c r="B48" s="510"/>
      <c r="C48" s="510"/>
      <c r="D48" s="510"/>
      <c r="E48" s="510"/>
    </row>
    <row r="49" spans="1:5" s="519" customFormat="1">
      <c r="A49" s="516"/>
      <c r="B49" s="510"/>
      <c r="C49" s="510"/>
      <c r="D49" s="510"/>
      <c r="E49" s="510"/>
    </row>
    <row r="50" spans="1:5" s="378" customFormat="1" ht="54.75" customHeight="1">
      <c r="A50" s="517"/>
      <c r="B50" s="518"/>
      <c r="C50" s="518"/>
      <c r="D50" s="518"/>
      <c r="E50" s="518"/>
    </row>
  </sheetData>
  <customSheetViews>
    <customSheetView guid="{97D6DB71-3F4C-4C5F-8C5B-51E3EBF78932}" showPageBreaks="1" fitToPage="1" hiddenRows="1" hiddenColumns="1">
      <selection activeCell="B4" sqref="B4"/>
      <pageMargins left="0.70866141732283472" right="0.70866141732283472" top="0.74803149606299213" bottom="0.74803149606299213" header="0.31496062992125984" footer="0.31496062992125984"/>
      <pageSetup paperSize="9" scale="71" orientation="portrait" r:id="rId1"/>
    </customSheetView>
    <customSheetView guid="{99FBDEB7-DD08-4F57-81F4-3C180403E153}" fitToPage="1" hiddenRows="1" hiddenColumns="1">
      <selection activeCell="B4" sqref="B4"/>
      <pageMargins left="0.70866141732283472" right="0.70866141732283472" top="0.74803149606299213" bottom="0.74803149606299213" header="0.31496062992125984" footer="0.31496062992125984"/>
      <pageSetup paperSize="9" scale="65" orientation="portrait" r:id="rId2"/>
    </customSheetView>
    <customSheetView guid="{27C9E95B-0E2B-454F-B637-1CECC9579A10}" fitToPage="1" hiddenRows="1" hiddenColumns="1" showRuler="0">
      <selection activeCell="D3" sqref="D3"/>
      <pageMargins left="0.70866141732283472" right="0.70866141732283472" top="0.74803149606299213" bottom="0.74803149606299213" header="0.31496062992125984" footer="0.31496062992125984"/>
      <pageSetup paperSize="9" scale="65" orientation="portrait" r:id="rId3"/>
      <headerFooter alignWithMargins="0"/>
    </customSheetView>
  </customSheetViews>
  <mergeCells count="15">
    <mergeCell ref="B39:C41"/>
    <mergeCell ref="A29:D29"/>
    <mergeCell ref="A19:D19"/>
    <mergeCell ref="A27:D27"/>
    <mergeCell ref="A28:D28"/>
    <mergeCell ref="A22:B22"/>
    <mergeCell ref="A23:C23"/>
    <mergeCell ref="A25:D25"/>
    <mergeCell ref="A11:B11"/>
    <mergeCell ref="A12:C12"/>
    <mergeCell ref="A14:D14"/>
    <mergeCell ref="A18:E18"/>
    <mergeCell ref="A1:D1"/>
    <mergeCell ref="A7:D7"/>
    <mergeCell ref="A10:C10"/>
  </mergeCells>
  <phoneticPr fontId="95" type="noConversion"/>
  <hyperlinks>
    <hyperlink ref="B9" r:id="rId4" xr:uid="{00000000-0004-0000-0000-000000000000}"/>
  </hyperlinks>
  <pageMargins left="0.70866141732283472" right="0.48" top="0.74803149606299213" bottom="0.74803149606299213" header="0.31496062992125984" footer="0.31496062992125984"/>
  <pageSetup paperSize="9" scale="84" orientation="portrait"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2">
    <tabColor rgb="FFFFFF00"/>
  </sheetPr>
  <dimension ref="A1:W60"/>
  <sheetViews>
    <sheetView showGridLines="0" zoomScaleNormal="100" workbookViewId="0">
      <pane xSplit="2" ySplit="11" topLeftCell="E12" activePane="bottomRight" state="frozen"/>
      <selection activeCell="F36" sqref="F36"/>
      <selection pane="topRight" activeCell="F36" sqref="F36"/>
      <selection pane="bottomLeft" activeCell="F36" sqref="F36"/>
      <selection pane="bottomRight" activeCell="P15" sqref="P15"/>
    </sheetView>
  </sheetViews>
  <sheetFormatPr defaultColWidth="0" defaultRowHeight="0" customHeight="1" zeroHeight="1"/>
  <cols>
    <col min="1" max="1" width="5.42578125" style="308" customWidth="1"/>
    <col min="2" max="2" width="32.5703125" style="312" customWidth="1"/>
    <col min="3" max="3" width="11.42578125" style="315" customWidth="1"/>
    <col min="4" max="4" width="9.42578125" style="315" customWidth="1"/>
    <col min="5" max="7" width="8.5703125" style="315" customWidth="1"/>
    <col min="8" max="8" width="10" style="315" customWidth="1"/>
    <col min="9" max="9" width="9.5703125" style="315" customWidth="1"/>
    <col min="10" max="10" width="10" style="315" customWidth="1"/>
    <col min="11" max="11" width="9.5703125" style="315" customWidth="1"/>
    <col min="12" max="13" width="10.42578125" style="315" customWidth="1"/>
    <col min="14" max="14" width="13.42578125" style="315" customWidth="1"/>
    <col min="15" max="15" width="8" style="313" customWidth="1"/>
    <col min="16" max="16" width="20.5703125" style="308" customWidth="1"/>
    <col min="17" max="17" width="6" style="314" customWidth="1"/>
    <col min="18" max="18" width="18.5703125" style="308" customWidth="1"/>
    <col min="19" max="19" width="4.42578125" style="308" customWidth="1"/>
    <col min="20" max="20" width="14.5703125" style="308" customWidth="1"/>
    <col min="21" max="21" width="9.42578125" style="308" customWidth="1"/>
    <col min="22" max="22" width="9.42578125" style="303" customWidth="1"/>
    <col min="23" max="16384" width="0" style="303" hidden="1"/>
  </cols>
  <sheetData>
    <row r="1" spans="1:23" ht="21.75">
      <c r="A1" s="142" t="str">
        <f>"Specificering vård och omsorg om äldre och personer med funktionsnedsättning "&amp;År&amp;", 1000 tal kronor"</f>
        <v>Specificering vård och omsorg om äldre och personer med funktionsnedsättning 2023, 1000 tal kronor</v>
      </c>
      <c r="B1" s="143"/>
      <c r="C1" s="143"/>
      <c r="D1" s="301"/>
      <c r="E1" s="301"/>
      <c r="F1" s="301"/>
      <c r="G1" s="301"/>
      <c r="H1" s="301"/>
      <c r="I1" s="301"/>
      <c r="J1" s="301"/>
      <c r="K1" s="301"/>
      <c r="L1" s="301"/>
      <c r="M1" s="301"/>
      <c r="N1" s="301"/>
      <c r="O1" s="635">
        <f>Information!B3</f>
        <v>0</v>
      </c>
      <c r="P1" s="636">
        <f>Information!B2</f>
        <v>0</v>
      </c>
      <c r="Q1" s="302"/>
      <c r="R1" s="301"/>
      <c r="S1" s="301"/>
      <c r="T1" s="301"/>
      <c r="U1" s="301"/>
    </row>
    <row r="2" spans="1:23" ht="12.75">
      <c r="A2" s="1978"/>
      <c r="B2" s="144"/>
      <c r="C2" s="306"/>
      <c r="D2" s="306"/>
      <c r="E2" s="306"/>
      <c r="F2" s="306"/>
      <c r="G2" s="306"/>
      <c r="H2" s="306"/>
      <c r="I2" s="306"/>
      <c r="J2" s="304"/>
      <c r="K2" s="1624"/>
      <c r="L2" s="1624"/>
      <c r="N2" s="1620"/>
      <c r="O2" s="1622"/>
      <c r="P2" s="1619"/>
      <c r="Q2" s="304"/>
      <c r="R2" s="314"/>
      <c r="T2" s="304"/>
      <c r="U2" s="304"/>
      <c r="V2" s="304"/>
    </row>
    <row r="3" spans="1:23" ht="12.75" customHeight="1" thickBot="1">
      <c r="A3" s="305"/>
      <c r="B3" s="305"/>
      <c r="C3" s="306" t="s">
        <v>841</v>
      </c>
      <c r="D3" s="306" t="s">
        <v>846</v>
      </c>
      <c r="E3" s="306" t="s">
        <v>842</v>
      </c>
      <c r="F3" s="306" t="s">
        <v>597</v>
      </c>
      <c r="G3" s="306" t="s">
        <v>843</v>
      </c>
      <c r="H3" s="306" t="s">
        <v>598</v>
      </c>
      <c r="I3" s="306" t="s">
        <v>599</v>
      </c>
      <c r="J3" s="306" t="s">
        <v>845</v>
      </c>
      <c r="K3" s="306" t="s">
        <v>844</v>
      </c>
      <c r="L3" s="306"/>
      <c r="M3" s="306"/>
      <c r="N3" s="306"/>
      <c r="O3" s="1623"/>
      <c r="P3" s="1621"/>
      <c r="Q3" s="305"/>
      <c r="R3" s="314"/>
      <c r="U3" s="305"/>
      <c r="V3" s="305"/>
    </row>
    <row r="4" spans="1:23" ht="12.75">
      <c r="A4" s="1328" t="s">
        <v>873</v>
      </c>
      <c r="B4" s="1329" t="s">
        <v>13</v>
      </c>
      <c r="C4" s="1900" t="s">
        <v>1320</v>
      </c>
      <c r="D4" s="1900"/>
      <c r="E4" s="2169"/>
      <c r="F4" s="1686" t="s">
        <v>37</v>
      </c>
      <c r="G4" s="1332"/>
      <c r="H4" s="1332"/>
      <c r="I4" s="1330"/>
      <c r="J4" s="1688" t="s">
        <v>38</v>
      </c>
      <c r="K4" s="1687" t="s">
        <v>1317</v>
      </c>
      <c r="L4" s="2389" t="s">
        <v>1417</v>
      </c>
      <c r="M4" s="1982" t="s">
        <v>1327</v>
      </c>
      <c r="N4" s="1979"/>
      <c r="O4" s="3050" t="str">
        <f>"Förändring kostnader för eget åtagande "&amp;År-1&amp;"-"&amp;År&amp;" procent"</f>
        <v>Förändring kostnader för eget åtagande 2022-2023 procent</v>
      </c>
      <c r="P4" s="1626" t="s">
        <v>40</v>
      </c>
      <c r="Q4" s="1331"/>
      <c r="R4" s="1334"/>
      <c r="S4" s="314"/>
      <c r="V4" s="308"/>
      <c r="W4" s="308"/>
    </row>
    <row r="5" spans="1:23" ht="12.75" customHeight="1">
      <c r="A5" s="1335" t="s">
        <v>876</v>
      </c>
      <c r="B5" s="1336"/>
      <c r="C5" s="1641" t="s">
        <v>43</v>
      </c>
      <c r="D5" s="1641"/>
      <c r="E5" s="2163"/>
      <c r="F5" s="1337"/>
      <c r="G5" s="1338"/>
      <c r="H5" s="1338"/>
      <c r="I5" s="1339"/>
      <c r="J5" s="1689" t="s">
        <v>42</v>
      </c>
      <c r="K5" s="1999" t="s">
        <v>1333</v>
      </c>
      <c r="L5" s="2390" t="s">
        <v>44</v>
      </c>
      <c r="M5" s="1981" t="s">
        <v>1326</v>
      </c>
      <c r="N5" s="1980"/>
      <c r="O5" s="3051"/>
      <c r="P5" s="1625" t="s">
        <v>1050</v>
      </c>
      <c r="Q5" s="1342"/>
      <c r="R5" s="1343"/>
      <c r="S5" s="430"/>
      <c r="T5" s="48" t="s">
        <v>994</v>
      </c>
      <c r="V5" s="308"/>
      <c r="W5" s="308"/>
    </row>
    <row r="6" spans="1:23" ht="33.75" customHeight="1">
      <c r="A6" s="1344"/>
      <c r="B6" s="1345"/>
      <c r="C6" s="1934"/>
      <c r="D6" s="3098" t="s">
        <v>1416</v>
      </c>
      <c r="E6" s="3098" t="s">
        <v>1480</v>
      </c>
      <c r="F6" s="3091" t="s">
        <v>937</v>
      </c>
      <c r="G6" s="3093" t="s">
        <v>1083</v>
      </c>
      <c r="H6" s="3093" t="s">
        <v>521</v>
      </c>
      <c r="I6" s="3100" t="s">
        <v>1565</v>
      </c>
      <c r="J6" s="2163"/>
      <c r="K6" s="1998" t="s">
        <v>1332</v>
      </c>
      <c r="L6" s="2170"/>
      <c r="M6" s="2325"/>
      <c r="N6" s="1995"/>
      <c r="O6" s="3051"/>
      <c r="P6" s="3073"/>
      <c r="Q6" s="3062" t="str">
        <f>"Nämnare nyckeltal"</f>
        <v>Nämnare nyckeltal</v>
      </c>
      <c r="R6" s="3063"/>
      <c r="S6" s="107"/>
      <c r="T6" s="48" t="s">
        <v>627</v>
      </c>
      <c r="V6" s="308"/>
      <c r="W6" s="308"/>
    </row>
    <row r="7" spans="1:23" ht="21" customHeight="1">
      <c r="A7" s="1347"/>
      <c r="B7" s="1345"/>
      <c r="C7" s="1641"/>
      <c r="D7" s="3102"/>
      <c r="E7" s="3099"/>
      <c r="F7" s="3092"/>
      <c r="G7" s="3094"/>
      <c r="H7" s="3095"/>
      <c r="I7" s="3101"/>
      <c r="J7" s="2163"/>
      <c r="K7" s="1986" t="s">
        <v>1328</v>
      </c>
      <c r="L7" s="2175" t="s">
        <v>1324</v>
      </c>
      <c r="M7" s="2176" t="s">
        <v>1331</v>
      </c>
      <c r="N7" s="1994" t="s">
        <v>1331</v>
      </c>
      <c r="O7" s="1993"/>
      <c r="P7" s="3074"/>
      <c r="Q7" s="3064"/>
      <c r="R7" s="3063"/>
      <c r="S7" s="435"/>
      <c r="T7" s="48" t="s">
        <v>628</v>
      </c>
      <c r="V7" s="308"/>
      <c r="W7" s="308"/>
    </row>
    <row r="8" spans="1:23" ht="12.75">
      <c r="A8" s="1347"/>
      <c r="B8" s="1348"/>
      <c r="C8" s="1340"/>
      <c r="D8" s="2163"/>
      <c r="E8" s="1933"/>
      <c r="F8" s="1346"/>
      <c r="G8" s="2373"/>
      <c r="H8" s="2373"/>
      <c r="I8" s="1692"/>
      <c r="J8" s="2163"/>
      <c r="K8" s="1640" t="s">
        <v>1566</v>
      </c>
      <c r="L8" s="2177"/>
      <c r="M8" s="2178">
        <f>År</f>
        <v>2023</v>
      </c>
      <c r="N8" s="1984">
        <f>År-1</f>
        <v>2022</v>
      </c>
      <c r="O8" s="1341"/>
      <c r="P8" s="3074"/>
      <c r="Q8" s="1350"/>
      <c r="R8" s="1627"/>
      <c r="S8" s="1705"/>
      <c r="T8" s="48" t="s">
        <v>1051</v>
      </c>
      <c r="U8" s="1617"/>
      <c r="V8" s="1617"/>
      <c r="W8" s="308"/>
    </row>
    <row r="9" spans="1:23" ht="20.25" customHeight="1">
      <c r="A9" s="1347"/>
      <c r="B9" s="1345"/>
      <c r="C9" s="1340"/>
      <c r="D9" s="3073" t="s">
        <v>1624</v>
      </c>
      <c r="E9" s="1946" t="s">
        <v>1058</v>
      </c>
      <c r="F9" s="1945" t="s">
        <v>1093</v>
      </c>
      <c r="G9" s="1944" t="s">
        <v>47</v>
      </c>
      <c r="H9" s="3096" t="s">
        <v>1082</v>
      </c>
      <c r="I9" s="2677" t="s">
        <v>1568</v>
      </c>
      <c r="J9" s="1341"/>
      <c r="K9" s="2546" t="s">
        <v>1567</v>
      </c>
      <c r="L9" s="2374"/>
      <c r="M9" s="2179"/>
      <c r="N9" s="1983"/>
      <c r="O9" s="1341"/>
      <c r="P9" s="3075" t="s">
        <v>1610</v>
      </c>
      <c r="Q9" s="1351"/>
      <c r="R9" s="1352"/>
      <c r="S9" s="307"/>
      <c r="T9" s="48" t="s">
        <v>1052</v>
      </c>
      <c r="V9" s="308"/>
      <c r="W9" s="308"/>
    </row>
    <row r="10" spans="1:23" ht="12.75" customHeight="1">
      <c r="A10" s="1347"/>
      <c r="B10" s="1353"/>
      <c r="C10" s="1340"/>
      <c r="D10" s="3103"/>
      <c r="E10" s="1933"/>
      <c r="F10" s="1709"/>
      <c r="G10" s="1947"/>
      <c r="H10" s="3094"/>
      <c r="I10" s="1936"/>
      <c r="J10" s="1341"/>
      <c r="K10" s="1640" t="s">
        <v>1563</v>
      </c>
      <c r="L10" s="2171"/>
      <c r="M10" s="1996"/>
      <c r="N10" s="1997"/>
      <c r="O10" s="1354"/>
      <c r="P10" s="3076"/>
      <c r="Q10" s="1355"/>
      <c r="R10" s="1356"/>
      <c r="S10" s="309"/>
      <c r="V10" s="308"/>
      <c r="W10" s="308"/>
    </row>
    <row r="11" spans="1:23" ht="12.75">
      <c r="A11" s="1357"/>
      <c r="B11" s="1710"/>
      <c r="C11" s="1358"/>
      <c r="D11" s="2164"/>
      <c r="E11" s="1935"/>
      <c r="F11" s="1709"/>
      <c r="G11" s="1948"/>
      <c r="H11" s="3097"/>
      <c r="I11" s="1937"/>
      <c r="J11" s="1360"/>
      <c r="K11" s="2571" t="s">
        <v>1564</v>
      </c>
      <c r="L11" s="2172"/>
      <c r="M11" s="2167"/>
      <c r="N11" s="2168"/>
      <c r="O11" s="1361"/>
      <c r="P11" s="3077"/>
      <c r="Q11" s="1362"/>
      <c r="R11" s="1363"/>
      <c r="S11" s="309"/>
      <c r="T11" s="318" t="s">
        <v>711</v>
      </c>
      <c r="V11" s="308"/>
      <c r="W11" s="308"/>
    </row>
    <row r="12" spans="1:23" ht="12.75">
      <c r="A12" s="1364">
        <v>510</v>
      </c>
      <c r="B12" s="1365" t="s">
        <v>542</v>
      </c>
      <c r="C12" s="417">
        <f>Drift!P73</f>
        <v>0</v>
      </c>
      <c r="D12" s="417">
        <f>SUM(Drift!C73:D73)</f>
        <v>0</v>
      </c>
      <c r="E12" s="417">
        <f>Drift!F73</f>
        <v>0</v>
      </c>
      <c r="F12" s="417">
        <f>Drift!R73</f>
        <v>0</v>
      </c>
      <c r="G12" s="417">
        <f>Drift!S73</f>
        <v>0</v>
      </c>
      <c r="H12" s="417">
        <f>Drift!T73</f>
        <v>0</v>
      </c>
      <c r="I12" s="417">
        <f>Motpart!Y27+Motpart!Z27</f>
        <v>0</v>
      </c>
      <c r="J12" s="417">
        <f>Drift!V73</f>
        <v>0</v>
      </c>
      <c r="K12" s="2162">
        <f t="shared" ref="K12:K18" si="0">C12-I12-J12</f>
        <v>0</v>
      </c>
      <c r="L12" s="2165">
        <f t="shared" ref="L12:L18" si="1">C12-SUM(F12:H12,J12)</f>
        <v>0</v>
      </c>
      <c r="M12" s="1385" t="str">
        <f>IF(C12&gt;0,K12*1000/Q12,"")</f>
        <v/>
      </c>
      <c r="N12" s="2174"/>
      <c r="O12" s="1381"/>
      <c r="P12" s="1542"/>
      <c r="Q12" s="1382"/>
      <c r="R12" s="1383" t="s">
        <v>1473</v>
      </c>
      <c r="S12" s="309"/>
      <c r="T12" s="3061"/>
      <c r="U12" s="3002"/>
      <c r="V12" s="2972"/>
      <c r="W12" s="310"/>
    </row>
    <row r="13" spans="1:23" ht="13.5" customHeight="1">
      <c r="A13" s="1366">
        <v>5101</v>
      </c>
      <c r="B13" s="1367" t="s">
        <v>497</v>
      </c>
      <c r="C13" s="145"/>
      <c r="D13" s="145"/>
      <c r="E13" s="145"/>
      <c r="F13" s="145"/>
      <c r="G13" s="2771"/>
      <c r="H13" s="145"/>
      <c r="I13" s="145"/>
      <c r="J13" s="145"/>
      <c r="K13" s="2165">
        <f t="shared" si="0"/>
        <v>0</v>
      </c>
      <c r="L13" s="2165">
        <f t="shared" si="1"/>
        <v>0</v>
      </c>
      <c r="M13" s="1385" t="str">
        <f>IF(C13&gt;0,K13*1000/Q12,"")</f>
        <v/>
      </c>
      <c r="N13" s="1385"/>
      <c r="O13" s="1386" t="str">
        <f>IF(ISERROR((M13-N13)/N13),"",((M13-N13)/N13))</f>
        <v/>
      </c>
      <c r="P13" s="2489" t="str">
        <f>IF(C12=0,"",IF(C13="","Belopp saknas",IF(SUM(D13+E13)&gt;C13,"Därav-kol. D+E &gt; kol. C",IF(I13&gt;H13,"Därav-kol. I &gt; kol. H",IF(AND(K13=0,N13&lt;&gt;0),"se frågan till höger",IF(AND(M13="",N13=""),"",IF(OR(O13&gt;30%,O13&lt;-25%),"Kommentera förändringen","")))))))</f>
        <v/>
      </c>
      <c r="Q13" s="1387"/>
      <c r="R13" s="2452"/>
      <c r="S13" s="309"/>
      <c r="T13" s="2973"/>
      <c r="U13" s="3003"/>
      <c r="V13" s="2974"/>
      <c r="W13" s="310"/>
    </row>
    <row r="14" spans="1:23" ht="13.5" customHeight="1">
      <c r="A14" s="1366">
        <v>5103</v>
      </c>
      <c r="B14" s="1367" t="s">
        <v>1003</v>
      </c>
      <c r="C14" s="316"/>
      <c r="D14" s="145"/>
      <c r="E14" s="316"/>
      <c r="F14" s="145"/>
      <c r="G14" s="316"/>
      <c r="H14" s="145"/>
      <c r="I14" s="316"/>
      <c r="J14" s="145"/>
      <c r="K14" s="2165">
        <f>C14-I14-J14</f>
        <v>0</v>
      </c>
      <c r="L14" s="2165">
        <f t="shared" si="1"/>
        <v>0</v>
      </c>
      <c r="M14" s="1388" t="str">
        <f>IF(C14&gt;0,K14*1000/Q12,"")</f>
        <v/>
      </c>
      <c r="N14" s="1388"/>
      <c r="O14" s="1386" t="str">
        <f>IF(ISERROR((M14-N14)/N14),"",((M14-N14)/N14))</f>
        <v/>
      </c>
      <c r="P14" s="2489" t="str">
        <f>IF(C12=0,"",IF(C14="","Skriv belopp eller 0 i kol. C",IF(SUM(D14+E14)&gt;C14,"Därav-kol. D+E &gt; kol. C",IF(I14&gt;H14,"Därav-kol. I &gt; kol. H",IF(AND(K14=0,N14&lt;&gt;0),"se frågan till höger",IF(AND(M14="",N14=""),"",IF(AND(M14="",N14=""),"",IF(OR(O14&gt;70%,O14&lt;-40%),"Kommentera förändringen",""))))))))</f>
        <v/>
      </c>
      <c r="Q14" s="2458"/>
      <c r="R14" s="3078" t="str">
        <f>"För minst en delv-ht inom v-het 510 redovisades kostnader föregående år men inte i år. Har kommunen inte verksamheten(-erna)? Lämna förklarande kommentar"</f>
        <v>För minst en delv-ht inom v-het 510 redovisades kostnader föregående år men inte i år. Har kommunen inte verksamheten(-erna)? Lämna förklarande kommentar</v>
      </c>
      <c r="S14" s="309"/>
      <c r="T14" s="2973"/>
      <c r="U14" s="3003"/>
      <c r="V14" s="2974"/>
      <c r="W14" s="310"/>
    </row>
    <row r="15" spans="1:23" ht="13.5" customHeight="1">
      <c r="A15" s="1366">
        <v>5104</v>
      </c>
      <c r="B15" s="1367" t="s">
        <v>498</v>
      </c>
      <c r="C15" s="316"/>
      <c r="D15" s="316"/>
      <c r="E15" s="316"/>
      <c r="F15" s="316"/>
      <c r="G15" s="2771"/>
      <c r="H15" s="316"/>
      <c r="I15" s="316"/>
      <c r="J15" s="316"/>
      <c r="K15" s="2165">
        <f>C15-I15-J15</f>
        <v>0</v>
      </c>
      <c r="L15" s="2165">
        <f t="shared" si="1"/>
        <v>0</v>
      </c>
      <c r="M15" s="1388" t="str">
        <f>IF(C15&gt;0,K15*1000/Q12,"")</f>
        <v/>
      </c>
      <c r="N15" s="1388"/>
      <c r="O15" s="1386" t="str">
        <f>IF(ISERROR((M15-N15)/N15),"",((M15-N15)/N15))</f>
        <v/>
      </c>
      <c r="P15" s="2489" t="str">
        <f>IF(C12=0,"",IF(C15="","Skriv belopp eller 0 i kol. C",IF(SUM(D15+E15)&gt;C15,"Därav-kol. D+E &gt; kol. C",IF(I15&gt;H15,"Därav-kol. I &gt; kol H.",IF(AND(O15&gt;-3%,O15&lt;3%),"",IF(AND(K15=0,N15&lt;&gt;0),"se frågan till höger",IF(AND(M15="",N15=""),"",IF(OR(_xlfn.NUMBERVALUE(O15)&gt;100%,O15&lt;-60%,AND(_xlfn.NUMBERVALUE(N15)=0,M15&gt;600)),"Kommentera förändringen",""))))))))</f>
        <v/>
      </c>
      <c r="Q15" s="2468"/>
      <c r="R15" s="3079"/>
      <c r="S15" s="309"/>
      <c r="T15" s="2975"/>
      <c r="U15" s="3004"/>
      <c r="V15" s="2976"/>
      <c r="W15" s="310"/>
    </row>
    <row r="16" spans="1:23" ht="13.5" customHeight="1">
      <c r="A16" s="1366">
        <v>5105</v>
      </c>
      <c r="B16" s="1367" t="s">
        <v>533</v>
      </c>
      <c r="C16" s="145"/>
      <c r="D16" s="145"/>
      <c r="E16" s="145"/>
      <c r="F16" s="317"/>
      <c r="G16" s="145"/>
      <c r="H16" s="317"/>
      <c r="I16" s="317"/>
      <c r="J16" s="317"/>
      <c r="K16" s="2165">
        <f t="shared" si="0"/>
        <v>0</v>
      </c>
      <c r="L16" s="2165">
        <f t="shared" si="1"/>
        <v>0</v>
      </c>
      <c r="M16" s="1389" t="str">
        <f>IF(C16&gt;0,K16*1000/Q12,"")</f>
        <v/>
      </c>
      <c r="N16" s="1389"/>
      <c r="O16" s="1386" t="str">
        <f>IF(ISERROR((M16-N16)/N16),"",((M16-N16)/N16))</f>
        <v/>
      </c>
      <c r="P16" s="2489" t="str">
        <f>IF(C12=0,"",IF(C16="","Skriv belopp eller 0 i kol. C",IF(SUM(D16+E16)&gt;C16,"Därav-kol. D+E  &gt; kol. C",IF(I16&gt;H16,"Därav-kol. I &gt; kol. H",IF(AND(K16=0,N16&lt;&gt;0),"se frågan till höger",IF(AND(M16="",N16=""),"",IF(OR(O16&gt;15%,O16&lt;-20%),"Kommentera förändringen",IF(OR(O16&gt;10%,O16&lt;-15%),"Kontrollera förändringen",""))))))))</f>
        <v/>
      </c>
      <c r="Q16" s="2468"/>
      <c r="R16" s="3079"/>
      <c r="S16" s="309"/>
      <c r="T16" s="310"/>
      <c r="U16" s="310"/>
      <c r="V16" s="310"/>
      <c r="W16" s="310"/>
    </row>
    <row r="17" spans="1:23" ht="13.5" customHeight="1">
      <c r="A17" s="1366">
        <v>5106</v>
      </c>
      <c r="B17" s="1368" t="s">
        <v>110</v>
      </c>
      <c r="C17" s="316"/>
      <c r="D17" s="145"/>
      <c r="E17" s="145"/>
      <c r="F17" s="145"/>
      <c r="G17" s="145"/>
      <c r="H17" s="145"/>
      <c r="I17" s="145"/>
      <c r="J17" s="145"/>
      <c r="K17" s="2165">
        <f t="shared" si="0"/>
        <v>0</v>
      </c>
      <c r="L17" s="2165">
        <f t="shared" si="1"/>
        <v>0</v>
      </c>
      <c r="M17" s="1385" t="str">
        <f>IF(C17&gt;0,K17*1000/Q12,"")</f>
        <v/>
      </c>
      <c r="N17" s="1385"/>
      <c r="O17" s="1386" t="str">
        <f>IF(ISERROR((M17-N17)/N17),"",((M17-N17)/N17))</f>
        <v/>
      </c>
      <c r="P17" s="2489" t="str">
        <f>IF(C12=0,"",IF(C17="","Skriv belopp eller 0 i kol. C",IF(SUM(D17+E17)&gt;C17,"Därav-kol. D+E &gt; kol. C",IF(I17&gt;H17,"Därav-kol. I &gt; kol. H",IF(AND(K17=0,N17&lt;&gt;0),"se frågan till höger",IF(AND(M17="",N17=""),"",IF(OR(_xlfn.NUMBERVALUE(O17)&gt;200%,O17&lt;-80%,AND(OR(_xlfn.NUMBERVALUE(N17)=0),M17&gt;500)),"Kommentera förändringen","")))))))</f>
        <v/>
      </c>
      <c r="Q17" s="2468"/>
      <c r="R17" s="3079"/>
      <c r="S17" s="309"/>
      <c r="T17" s="310"/>
      <c r="U17" s="310"/>
      <c r="V17" s="310"/>
      <c r="W17" s="310"/>
    </row>
    <row r="18" spans="1:23" ht="13.5" customHeight="1">
      <c r="A18" s="1366">
        <v>5109</v>
      </c>
      <c r="B18" s="1367" t="s">
        <v>380</v>
      </c>
      <c r="C18" s="316"/>
      <c r="D18" s="145"/>
      <c r="E18" s="145"/>
      <c r="F18" s="145"/>
      <c r="G18" s="145"/>
      <c r="H18" s="145"/>
      <c r="I18" s="145"/>
      <c r="J18" s="316"/>
      <c r="K18" s="1384">
        <f t="shared" si="0"/>
        <v>0</v>
      </c>
      <c r="L18" s="2165">
        <f t="shared" si="1"/>
        <v>0</v>
      </c>
      <c r="M18" s="1390"/>
      <c r="N18" s="1390"/>
      <c r="O18" s="1390"/>
      <c r="P18" s="2365" t="str">
        <f>IF(C12=0,"",IF(C18="","Skriv belopp eller 0 i kol. C",IF(SUM(D18+E18)&gt;C18,"Därav-kol. D+E &gt; kol. C",IF(I18&gt;H18,"Därav-kol I. &gt; kol. H",IF(K18&lt;0,"Negativt nyckeltal! Kontrollera","")))))</f>
        <v/>
      </c>
      <c r="Q18" s="2468"/>
      <c r="R18" s="3079"/>
      <c r="S18" s="309"/>
      <c r="T18" s="310"/>
      <c r="U18" s="310"/>
      <c r="V18" s="310"/>
      <c r="W18" s="310"/>
    </row>
    <row r="19" spans="1:23" ht="12.75">
      <c r="A19" s="1369">
        <v>51099</v>
      </c>
      <c r="B19" s="1370" t="s">
        <v>168</v>
      </c>
      <c r="C19" s="397">
        <f>SUM(C13:C18)</f>
        <v>0</v>
      </c>
      <c r="D19" s="397">
        <f>SUM(D13:D18)</f>
        <v>0</v>
      </c>
      <c r="E19" s="397">
        <f t="shared" ref="E19:J19" si="2">SUM(E13:E18)</f>
        <v>0</v>
      </c>
      <c r="F19" s="397">
        <f t="shared" si="2"/>
        <v>0</v>
      </c>
      <c r="G19" s="397">
        <f t="shared" si="2"/>
        <v>0</v>
      </c>
      <c r="H19" s="397">
        <f>SUM(H13:H18)</f>
        <v>0</v>
      </c>
      <c r="I19" s="397">
        <f t="shared" si="2"/>
        <v>0</v>
      </c>
      <c r="J19" s="397">
        <f t="shared" si="2"/>
        <v>0</v>
      </c>
      <c r="K19" s="1392"/>
      <c r="L19" s="2173"/>
      <c r="M19" s="1393"/>
      <c r="N19" s="1393"/>
      <c r="O19" s="1393"/>
      <c r="P19" s="2366"/>
      <c r="Q19" s="2468"/>
      <c r="R19" s="3079"/>
      <c r="S19" s="311"/>
      <c r="T19" s="310"/>
      <c r="U19" s="310"/>
      <c r="V19" s="310"/>
      <c r="W19" s="310"/>
    </row>
    <row r="20" spans="1:23" ht="13.5" thickBot="1">
      <c r="A20" s="1371"/>
      <c r="B20" s="2093" t="s">
        <v>174</v>
      </c>
      <c r="C20" s="398">
        <f>C12-C19</f>
        <v>0</v>
      </c>
      <c r="D20" s="398">
        <f>D12-D19</f>
        <v>0</v>
      </c>
      <c r="E20" s="398">
        <f t="shared" ref="E20:J20" si="3">E12-E19</f>
        <v>0</v>
      </c>
      <c r="F20" s="398">
        <f t="shared" si="3"/>
        <v>0</v>
      </c>
      <c r="G20" s="398">
        <f t="shared" si="3"/>
        <v>0</v>
      </c>
      <c r="H20" s="398">
        <f t="shared" si="3"/>
        <v>0</v>
      </c>
      <c r="I20" s="398">
        <f t="shared" si="3"/>
        <v>0</v>
      </c>
      <c r="J20" s="398">
        <f t="shared" si="3"/>
        <v>0</v>
      </c>
      <c r="K20" s="1394"/>
      <c r="L20" s="2181"/>
      <c r="M20" s="1395"/>
      <c r="N20" s="1395"/>
      <c r="O20" s="1395"/>
      <c r="P20" s="1396" t="str">
        <f>IF(OR(C20&gt;5,C20&lt;-5),"Diff Bruttokostnad",IF(OR(D20&gt;5,E20&gt;5,D20&lt;-5,E20&lt;-5),"Diff Därav personalkostn.eller Därav köp av huvudv-het",IF(OR(F20&gt;5,F20&lt;-5),"Diff Taxor och avgifter",IF(OR(G20&gt;5,G20&lt;-5),"Diff Externa hyror",IF(OR(H20&gt;5,H20&lt;-5),"Diff Övriga externa intäkter",IF(OR(I20&gt;5,I20&lt;-5),"Diff Därav försäljning",IF(OR(J20&gt;5,J20&lt;-5),"Diff Interna intäkter","")))))))</f>
        <v/>
      </c>
      <c r="Q20" s="1397"/>
      <c r="R20" s="1398"/>
      <c r="S20" s="311"/>
      <c r="T20" s="310"/>
      <c r="U20" s="310"/>
      <c r="V20" s="310"/>
      <c r="W20" s="310"/>
    </row>
    <row r="21" spans="1:23" ht="22.5" customHeight="1">
      <c r="A21" s="1372">
        <v>520</v>
      </c>
      <c r="B21" s="1373" t="s">
        <v>119</v>
      </c>
      <c r="C21" s="418">
        <f>Drift!P74</f>
        <v>0</v>
      </c>
      <c r="D21" s="417">
        <f>SUM(Drift!C74:D74)</f>
        <v>0</v>
      </c>
      <c r="E21" s="418">
        <f>Drift!F74</f>
        <v>0</v>
      </c>
      <c r="F21" s="418">
        <f>Drift!R74</f>
        <v>0</v>
      </c>
      <c r="G21" s="418">
        <f>Drift!S74</f>
        <v>0</v>
      </c>
      <c r="H21" s="418">
        <f>Drift!T74</f>
        <v>0</v>
      </c>
      <c r="I21" s="418">
        <f>Motpart!Y28+Motpart!Z28</f>
        <v>0</v>
      </c>
      <c r="J21" s="418">
        <f>Drift!V74</f>
        <v>0</v>
      </c>
      <c r="K21" s="1399">
        <f t="shared" ref="K21:K28" si="4">C21-I21-J21</f>
        <v>0</v>
      </c>
      <c r="L21" s="1399">
        <f t="shared" ref="L21:L28" si="5">C21-SUM(F21:H21,J21)</f>
        <v>0</v>
      </c>
      <c r="M21" s="1400" t="str">
        <f>IF(C21&gt;0,K21*1000/Q21,"")</f>
        <v/>
      </c>
      <c r="N21" s="1400"/>
      <c r="O21" s="1401"/>
      <c r="P21" s="1543"/>
      <c r="Q21" s="1402"/>
      <c r="R21" s="1403" t="s">
        <v>1474</v>
      </c>
      <c r="S21" s="309"/>
      <c r="T21" s="319" t="s">
        <v>601</v>
      </c>
      <c r="U21" s="310"/>
      <c r="V21" s="310"/>
      <c r="W21" s="310"/>
    </row>
    <row r="22" spans="1:23" ht="12.75">
      <c r="A22" s="1366">
        <v>5201</v>
      </c>
      <c r="B22" s="1367" t="s">
        <v>499</v>
      </c>
      <c r="C22" s="145"/>
      <c r="D22" s="145"/>
      <c r="E22" s="145"/>
      <c r="F22" s="145"/>
      <c r="G22" s="2771"/>
      <c r="H22" s="145"/>
      <c r="I22" s="145"/>
      <c r="J22" s="145"/>
      <c r="K22" s="1404">
        <f t="shared" si="4"/>
        <v>0</v>
      </c>
      <c r="L22" s="2165">
        <f t="shared" si="5"/>
        <v>0</v>
      </c>
      <c r="M22" s="1388" t="str">
        <f>IF(C22&gt;0,K22*1000/Q21,"")</f>
        <v/>
      </c>
      <c r="N22" s="1388"/>
      <c r="O22" s="1386" t="str">
        <f t="shared" ref="O22:O27" si="6">IF(ISERROR((M22-N22)/N22),"",((M22-N22)/N22))</f>
        <v/>
      </c>
      <c r="P22" s="2490" t="str">
        <f>IF(C21=0,"",IF(C22="","Skriv belopp eller 0 i kol. C",IF(SUM(D22+E22)&gt;C22,"Därav-kol. D+E &gt; kol. C",IF(I22&gt;H22,"Därav-kol. I &gt; kol. H",IF(AND(K22=0,N22&lt;&gt;0),"se frågan till höger",IF(AND(M22="",N22=""),"",IF(OR(_xlfn.NUMBERVALUE(O22)&gt;200%,O22&lt;-60%,AND(OR(_xlfn.NUMBERVALUE(N22)=0),M22&gt;500)),"Kommentera förändringen","")))))))</f>
        <v/>
      </c>
      <c r="Q22" s="1387"/>
      <c r="R22" s="1405"/>
      <c r="S22" s="309"/>
      <c r="T22" s="3052"/>
      <c r="U22" s="3053"/>
      <c r="V22" s="3054"/>
      <c r="W22" s="310"/>
    </row>
    <row r="23" spans="1:23" ht="12.75">
      <c r="A23" s="1366">
        <v>5202</v>
      </c>
      <c r="B23" s="1367" t="s">
        <v>500</v>
      </c>
      <c r="C23" s="316"/>
      <c r="D23" s="145"/>
      <c r="E23" s="145"/>
      <c r="F23" s="145"/>
      <c r="G23" s="2771"/>
      <c r="H23" s="145"/>
      <c r="I23" s="145"/>
      <c r="J23" s="145"/>
      <c r="K23" s="1404">
        <f t="shared" si="4"/>
        <v>0</v>
      </c>
      <c r="L23" s="2165">
        <f t="shared" si="5"/>
        <v>0</v>
      </c>
      <c r="M23" s="1388" t="str">
        <f>IF(C23&gt;0,K23*1000/Q21,"")</f>
        <v/>
      </c>
      <c r="N23" s="1388"/>
      <c r="O23" s="1386" t="str">
        <f t="shared" si="6"/>
        <v/>
      </c>
      <c r="P23" s="2490" t="str">
        <f>IF($C$21=0,"",IF(C23="","Skriv belopp eller 0 i kol. C",IF(SUM(D23+E23)&gt;C23,"Därav-kol. D+E &gt; kol. C",IF(I23&gt;H23,"Därav-kol. I &gt; kol. H",IF(AND(K23=0,N23&lt;&gt;0),"se frågan till höger",IF(AND(M23="",N23=""),"",IF(OR(_xlfn.NUMBERVALUE(O23)&gt;200%,O23&lt;-60%,AND(OR(_xlfn.NUMBERVALUE(N23)=0),M23&gt;400)),"Kommentera förändringen","")))))))</f>
        <v/>
      </c>
      <c r="Q23" s="2467"/>
      <c r="R23" s="3080" t="str">
        <f>"För minst en delv-ht inom v-het 520 redovisades kostnader föregående år men inte i år. Har kommunen inte verksamheten(-erna)? Lämna förklarande kommentar"</f>
        <v>För minst en delv-ht inom v-het 520 redovisades kostnader föregående år men inte i år. Har kommunen inte verksamheten(-erna)? Lämna förklarande kommentar</v>
      </c>
      <c r="S23" s="309"/>
      <c r="T23" s="3055"/>
      <c r="U23" s="3056"/>
      <c r="V23" s="3057"/>
      <c r="W23" s="310"/>
    </row>
    <row r="24" spans="1:23" ht="12.75">
      <c r="A24" s="1366">
        <v>5203</v>
      </c>
      <c r="B24" s="1367" t="s">
        <v>1003</v>
      </c>
      <c r="C24" s="316"/>
      <c r="D24" s="145"/>
      <c r="E24" s="145"/>
      <c r="F24" s="145"/>
      <c r="G24" s="145"/>
      <c r="H24" s="145"/>
      <c r="I24" s="145"/>
      <c r="J24" s="316"/>
      <c r="K24" s="1404">
        <f>C24-I24-J24</f>
        <v>0</v>
      </c>
      <c r="L24" s="2165">
        <f t="shared" si="5"/>
        <v>0</v>
      </c>
      <c r="M24" s="1388" t="str">
        <f>IF(C24&gt;0,K24*1000/Q21,"")</f>
        <v/>
      </c>
      <c r="N24" s="1388"/>
      <c r="O24" s="1386" t="str">
        <f t="shared" si="6"/>
        <v/>
      </c>
      <c r="P24" s="2490" t="str">
        <f>IF($C$21=0,"",IF(C24="","Skriv belopp eller 0 i kol. C",IF(SUM(D24+E24)&gt;C24,"Därav-kol. D+E &gt; kol. C",IF(I24&gt;H24,"Därav-kol. I &gt; kol. H",IF(AND(K24=0,N24&lt;&gt;0),"se frågan till höger",IF(AND(M24="",N24=""),"",IF(OR(_xlfn.NUMBERVALUE(O24)&gt;400%,O24&lt;-95%,AND(OR(_xlfn.NUMBERVALUE(N24)=0),M24&gt;100)),"Kommentera förändringen","")))))))</f>
        <v/>
      </c>
      <c r="Q24" s="2457"/>
      <c r="R24" s="3081"/>
      <c r="S24" s="309"/>
      <c r="T24" s="3055"/>
      <c r="U24" s="3056"/>
      <c r="V24" s="3057"/>
      <c r="W24" s="310"/>
    </row>
    <row r="25" spans="1:23" ht="12.75">
      <c r="A25" s="2427">
        <v>5204</v>
      </c>
      <c r="B25" s="1367" t="s">
        <v>1418</v>
      </c>
      <c r="C25" s="316"/>
      <c r="D25" s="145"/>
      <c r="E25" s="145"/>
      <c r="F25" s="145"/>
      <c r="G25" s="2771"/>
      <c r="H25" s="145"/>
      <c r="I25" s="145"/>
      <c r="J25" s="145"/>
      <c r="K25" s="1404">
        <f t="shared" si="4"/>
        <v>0</v>
      </c>
      <c r="L25" s="2165">
        <f t="shared" si="5"/>
        <v>0</v>
      </c>
      <c r="M25" s="1388" t="str">
        <f>IF(C25&gt;0,K25*1000/Q21,"")</f>
        <v/>
      </c>
      <c r="N25" s="1388"/>
      <c r="O25" s="1386" t="str">
        <f t="shared" si="6"/>
        <v/>
      </c>
      <c r="P25" s="2490" t="str">
        <f>IF($C$21=0,"",IF(C25="","Skriv belopp eller 0 i kol. C",IF(SUM(D25+E25)&gt;C25,"Därav-kol. D+E &gt; kol. C",IF(I25&gt;H25,"Därav-kol. I &gt; kol. H",IF(AND(K25=0,N25&lt;&gt;0),"se frågan till höger",IF(AND(M25="",N25=""),"",IF(OR(_xlfn.NUMBERVALUE(O25)&gt;200%,O25&lt;-60%,AND(OR(_xlfn.NUMBERVALUE(N25)=0),M25&gt;150)),"Kommentera förändringen","")))))))</f>
        <v/>
      </c>
      <c r="Q25" s="2457"/>
      <c r="R25" s="3081"/>
      <c r="S25" s="309"/>
      <c r="T25" s="3058"/>
      <c r="U25" s="3059"/>
      <c r="V25" s="3060"/>
      <c r="W25" s="310"/>
    </row>
    <row r="26" spans="1:23" ht="12.75">
      <c r="A26" s="1366">
        <v>5205</v>
      </c>
      <c r="B26" s="1367" t="s">
        <v>533</v>
      </c>
      <c r="C26" s="316"/>
      <c r="D26" s="145"/>
      <c r="E26" s="145"/>
      <c r="F26" s="145"/>
      <c r="G26" s="145"/>
      <c r="H26" s="145"/>
      <c r="I26" s="145"/>
      <c r="J26" s="145"/>
      <c r="K26" s="1404">
        <f t="shared" si="4"/>
        <v>0</v>
      </c>
      <c r="L26" s="2165">
        <f t="shared" si="5"/>
        <v>0</v>
      </c>
      <c r="M26" s="1388" t="str">
        <f>IF(C26&gt;0,K26*1000/Q21,"")</f>
        <v/>
      </c>
      <c r="N26" s="1388"/>
      <c r="O26" s="1386" t="str">
        <f t="shared" si="6"/>
        <v/>
      </c>
      <c r="P26" s="2490" t="str">
        <f>IF($C$21=0,"",IF(C26="","Skriv belopp eller 0 i kol. C",IF(SUM(D26+E26)&gt;C26,"Därav-kol. D+E &gt; kol. C",IF(I26&gt;H26,"Därav-kol. I &gt; kol. H",IF(AND(K26=0,N26&lt;&gt;0),"se frågan till höger",IF(AND(M26="",N26=""),"",IF(OR(_xlfn.NUMBERVALUE(O26)&gt;150%,O26&lt;-90%,AND(OR(_xlfn.NUMBERVALUE(N26)=0),M26&gt;700)),"Kommentera förändringen","")))))))</f>
        <v/>
      </c>
      <c r="Q26" s="2457"/>
      <c r="R26" s="3081"/>
      <c r="S26" s="309"/>
      <c r="T26" s="2228"/>
      <c r="U26" s="2228"/>
      <c r="V26" s="2228"/>
      <c r="W26" s="310"/>
    </row>
    <row r="27" spans="1:23" ht="12.75">
      <c r="A27" s="1366">
        <v>5206</v>
      </c>
      <c r="B27" s="1367" t="s">
        <v>110</v>
      </c>
      <c r="C27" s="316"/>
      <c r="D27" s="145"/>
      <c r="E27" s="145"/>
      <c r="F27" s="145"/>
      <c r="G27" s="145"/>
      <c r="H27" s="145"/>
      <c r="I27" s="145"/>
      <c r="J27" s="145"/>
      <c r="K27" s="1406">
        <f t="shared" si="4"/>
        <v>0</v>
      </c>
      <c r="L27" s="2165">
        <f t="shared" si="5"/>
        <v>0</v>
      </c>
      <c r="M27" s="1385" t="str">
        <f>IF(C27&gt;0,K27*1000/Q21,"")</f>
        <v/>
      </c>
      <c r="N27" s="1385"/>
      <c r="O27" s="1386" t="str">
        <f t="shared" si="6"/>
        <v/>
      </c>
      <c r="P27" s="2490" t="str">
        <f>IF($C$21=0,"",IF(C27="","Skriv belopp eller 0 i kol. C",IF(SUM(D27+E27)&gt;C27,"Därav-kol. D+E &gt; kol. C",IF(I27&gt;H27,"Därav-kol. I &gt; kol. H",IF(AND(K27=0,N27&lt;&gt;0),"se frågan till höger",IF(AND(M27="",N27=""),"",IF(OR(_xlfn.NUMBERVALUE(O27)&gt;300%,O27&lt;-95%,AND(OR(_xlfn.NUMBERVALUE(N27)=0),M27&gt;100)),"Kommentera förändringen","")))))))</f>
        <v/>
      </c>
      <c r="Q27" s="2457"/>
      <c r="R27" s="3081"/>
      <c r="S27" s="309"/>
      <c r="T27" s="310"/>
      <c r="U27" s="310"/>
      <c r="V27" s="310"/>
      <c r="W27" s="310"/>
    </row>
    <row r="28" spans="1:23" ht="12.75">
      <c r="A28" s="1366">
        <v>5209</v>
      </c>
      <c r="B28" s="1367" t="s">
        <v>380</v>
      </c>
      <c r="C28" s="316"/>
      <c r="D28" s="145"/>
      <c r="E28" s="145"/>
      <c r="F28" s="145"/>
      <c r="G28" s="145"/>
      <c r="H28" s="145"/>
      <c r="I28" s="145"/>
      <c r="J28" s="145"/>
      <c r="K28" s="1404">
        <f t="shared" si="4"/>
        <v>0</v>
      </c>
      <c r="L28" s="2165">
        <f t="shared" si="5"/>
        <v>0</v>
      </c>
      <c r="M28" s="1392"/>
      <c r="N28" s="1390"/>
      <c r="O28" s="1390"/>
      <c r="P28" s="2365" t="str">
        <f>IF(C21=0,"",IF(C28="","Skriv belopp eller 0 i kol. C",IF(SUM(D28+E28)&gt;C28,"Därav-kol. D+E &gt; kol. C",IF(I28&gt;H28,"Därav-kol. I &gt; kol. H",IF(K28&lt;0,"Negativt nyckeltal! Kontrollera","")))))</f>
        <v/>
      </c>
      <c r="Q28" s="2457"/>
      <c r="R28" s="3081"/>
      <c r="S28" s="309"/>
      <c r="T28" s="310"/>
      <c r="U28" s="310"/>
      <c r="V28" s="310"/>
      <c r="W28" s="310"/>
    </row>
    <row r="29" spans="1:23" ht="21.75" customHeight="1">
      <c r="A29" s="1369">
        <v>52099</v>
      </c>
      <c r="B29" s="1374" t="s">
        <v>712</v>
      </c>
      <c r="C29" s="2770">
        <f>SUM(C22:C28)</f>
        <v>0</v>
      </c>
      <c r="D29" s="2770">
        <f t="shared" ref="D29:J29" si="7">SUM(D22:D28)</f>
        <v>0</v>
      </c>
      <c r="E29" s="2770">
        <f t="shared" si="7"/>
        <v>0</v>
      </c>
      <c r="F29" s="2770">
        <f t="shared" si="7"/>
        <v>0</v>
      </c>
      <c r="G29" s="2770">
        <f t="shared" si="7"/>
        <v>0</v>
      </c>
      <c r="H29" s="2770">
        <f t="shared" si="7"/>
        <v>0</v>
      </c>
      <c r="I29" s="2770">
        <f t="shared" si="7"/>
        <v>0</v>
      </c>
      <c r="J29" s="2770">
        <f t="shared" si="7"/>
        <v>0</v>
      </c>
      <c r="K29" s="1392"/>
      <c r="L29" s="2173"/>
      <c r="M29" s="1393"/>
      <c r="N29" s="1393"/>
      <c r="O29" s="1393"/>
      <c r="P29" s="2366"/>
      <c r="Q29" s="1391"/>
      <c r="R29" s="3081"/>
      <c r="S29" s="309"/>
      <c r="T29" s="310"/>
      <c r="U29" s="310"/>
      <c r="V29" s="310"/>
      <c r="W29" s="310"/>
    </row>
    <row r="30" spans="1:23" ht="13.5" thickBot="1">
      <c r="A30" s="1375"/>
      <c r="B30" s="2093" t="s">
        <v>175</v>
      </c>
      <c r="C30" s="396">
        <f>C21-C29</f>
        <v>0</v>
      </c>
      <c r="D30" s="396">
        <f>D21-D29</f>
        <v>0</v>
      </c>
      <c r="E30" s="396">
        <f t="shared" ref="E30:J30" si="8">E21-E29</f>
        <v>0</v>
      </c>
      <c r="F30" s="396">
        <f t="shared" si="8"/>
        <v>0</v>
      </c>
      <c r="G30" s="396">
        <f t="shared" si="8"/>
        <v>0</v>
      </c>
      <c r="H30" s="396">
        <f t="shared" si="8"/>
        <v>0</v>
      </c>
      <c r="I30" s="396">
        <f>I21-I29</f>
        <v>0</v>
      </c>
      <c r="J30" s="396">
        <f t="shared" si="8"/>
        <v>0</v>
      </c>
      <c r="K30" s="1394"/>
      <c r="L30" s="2181"/>
      <c r="M30" s="1395"/>
      <c r="N30" s="1395"/>
      <c r="O30" s="1395"/>
      <c r="P30" s="1396" t="str">
        <f>IF(OR(C30&gt;5,C30&lt;-5),"Diff Bruttokostnad",IF(OR(D30&gt;5,E30&gt;5,D30&lt;-5,E30&lt;-5),"Diff Därav personalkostn. eller Därav köp av huvudv-het",IF(OR(F30&gt;5,F30&lt;-5),"Diff Taxor och avgifter",IF(OR(G30&gt;5,G30&lt;-5),"Diff Externa hyror",IF(OR(H30&gt;5,H30&lt;-5),"Diff Övriga externa intäkter",IF(OR(I30&gt;5,I30&lt;-5),"Diff Förs av verks",IF(OR(J30&gt;5,J30&lt;-5),"Diff Interna intäkter","")))))))</f>
        <v/>
      </c>
      <c r="Q30" s="1397"/>
      <c r="R30" s="1398"/>
      <c r="S30" s="309"/>
      <c r="T30" s="310"/>
      <c r="U30" s="310"/>
      <c r="V30" s="310"/>
      <c r="W30" s="310"/>
    </row>
    <row r="31" spans="1:23" ht="12.75">
      <c r="A31" s="1376">
        <v>513</v>
      </c>
      <c r="B31" s="1377" t="s">
        <v>713</v>
      </c>
      <c r="C31" s="417">
        <f>Drift!P75</f>
        <v>0</v>
      </c>
      <c r="D31" s="417">
        <f>SUM(Drift!C75:D75)</f>
        <v>0</v>
      </c>
      <c r="E31" s="417">
        <f>Drift!F75</f>
        <v>0</v>
      </c>
      <c r="F31" s="417">
        <f>Drift!R75</f>
        <v>0</v>
      </c>
      <c r="G31" s="417">
        <f>Drift!S75</f>
        <v>0</v>
      </c>
      <c r="H31" s="418">
        <f>Drift!T75</f>
        <v>0</v>
      </c>
      <c r="I31" s="1839">
        <f>Motpart!Y29+Motpart!Z29</f>
        <v>0</v>
      </c>
      <c r="J31" s="417">
        <f>Drift!V75</f>
        <v>0</v>
      </c>
      <c r="K31" s="1407">
        <f>C31-I31-J31-G41-G43</f>
        <v>0</v>
      </c>
      <c r="L31" s="2180">
        <f t="shared" ref="L31:L36" si="9">C31-SUM(F31:H31,J31)</f>
        <v>0</v>
      </c>
      <c r="M31" s="2326" t="str">
        <f>IF(C31&gt;0,K31*1000/Q31,"")</f>
        <v/>
      </c>
      <c r="N31" s="2326"/>
      <c r="O31" s="1386" t="str">
        <f>IF(ISERROR((M31-N31)/N31),"",((M31-N31)/N31))</f>
        <v/>
      </c>
      <c r="P31" s="1543"/>
      <c r="Q31" s="2470"/>
      <c r="R31" s="1403" t="s">
        <v>584</v>
      </c>
      <c r="S31" s="309"/>
      <c r="T31" s="319" t="s">
        <v>645</v>
      </c>
      <c r="U31" s="310"/>
      <c r="V31" s="310"/>
      <c r="W31" s="310"/>
    </row>
    <row r="32" spans="1:23" ht="12.75">
      <c r="A32" s="1378">
        <v>5131</v>
      </c>
      <c r="B32" s="1379" t="s">
        <v>209</v>
      </c>
      <c r="C32" s="316"/>
      <c r="D32" s="145"/>
      <c r="E32" s="145"/>
      <c r="F32" s="145"/>
      <c r="G32" s="145"/>
      <c r="H32" s="145"/>
      <c r="I32" s="145"/>
      <c r="J32" s="145"/>
      <c r="K32" s="1404">
        <f>C32-I32-J32</f>
        <v>0</v>
      </c>
      <c r="L32" s="2173">
        <f t="shared" si="9"/>
        <v>0</v>
      </c>
      <c r="M32" s="1388" t="str">
        <f>IF(C32&gt;0,K32*1000/Q32,"")</f>
        <v/>
      </c>
      <c r="N32" s="1388"/>
      <c r="O32" s="1386" t="str">
        <f>IF(ISERROR((M32-N32)/N32),"",((M32-N32)/N32))</f>
        <v/>
      </c>
      <c r="P32" s="2490" t="str">
        <f>IF(C31=0,"",IF(C32="","Skriv belopp eller 0 i kol. C",IF(SUM(D32+E32)&gt;C32,"Därav-kol. D+E &gt;kol. C",IF(I32&gt;H32,"Därav-kol. I &gt; kol. H",IF(AND(K32=0,N32&lt;&gt;0),"se frågan till höger",IF(AND(M32="",N32=""),"",IF(OR(O32&gt;35%,O32&lt;-10%),"Kommentera förändringen","")))))))</f>
        <v/>
      </c>
      <c r="Q32" s="2471"/>
      <c r="R32" s="1408" t="s">
        <v>1475</v>
      </c>
      <c r="S32" s="309"/>
      <c r="T32" s="3061"/>
      <c r="U32" s="3065"/>
      <c r="V32" s="3066"/>
      <c r="W32" s="310"/>
    </row>
    <row r="33" spans="1:23" ht="12.75">
      <c r="A33" s="1378">
        <v>5132</v>
      </c>
      <c r="B33" s="1380" t="s">
        <v>634</v>
      </c>
      <c r="C33" s="316"/>
      <c r="D33" s="145"/>
      <c r="E33" s="145"/>
      <c r="F33" s="145"/>
      <c r="G33" s="145"/>
      <c r="H33" s="145"/>
      <c r="I33" s="145"/>
      <c r="J33" s="316"/>
      <c r="K33" s="1404">
        <f>C33-I33-J33</f>
        <v>0</v>
      </c>
      <c r="L33" s="2173">
        <f t="shared" si="9"/>
        <v>0</v>
      </c>
      <c r="M33" s="1388" t="str">
        <f>IF(C33&gt;0,K33*1000/Q33,"")</f>
        <v/>
      </c>
      <c r="N33" s="1388"/>
      <c r="O33" s="1386" t="str">
        <f>IF(ISERROR((M33-N33)/N33),"",((M33-N33)/N33))</f>
        <v/>
      </c>
      <c r="P33" s="2490" t="str">
        <f>IF(C31=0,"",IF(C33="","Skriv belopp eller 0 i kol. C",IF(SUM(D33+E33)&gt;C33,"Därav-kol. D+E &gt; kol. C",IF(I33&gt;H33,"Därav-kol. I &gt; kol. H",IF(AND(K33=0,N33&lt;&gt;0),"se frågan till höger",IF(AND(M33="",N33=""),"",IF(OR(_xlfn.NUMBERVALUE(O33)&gt;250%,O33&lt;-95%,AND(OR(_xlfn.NUMBERVALUE(N33)=0),M33&gt;1200)),"Kommentera förändringen","")))))))</f>
        <v/>
      </c>
      <c r="Q33" s="2327"/>
      <c r="R33" s="1409" t="s">
        <v>1476</v>
      </c>
      <c r="S33" s="309"/>
      <c r="T33" s="3067"/>
      <c r="U33" s="3068"/>
      <c r="V33" s="3069"/>
      <c r="W33" s="310"/>
    </row>
    <row r="34" spans="1:23" ht="12.75">
      <c r="A34" s="1378">
        <v>5133</v>
      </c>
      <c r="B34" s="1379" t="s">
        <v>714</v>
      </c>
      <c r="C34" s="316"/>
      <c r="D34" s="145"/>
      <c r="E34" s="145"/>
      <c r="F34" s="145"/>
      <c r="G34" s="145"/>
      <c r="H34" s="145"/>
      <c r="I34" s="145"/>
      <c r="J34" s="145"/>
      <c r="K34" s="1404">
        <f>C34-I34-J34</f>
        <v>0</v>
      </c>
      <c r="L34" s="2173">
        <f t="shared" si="9"/>
        <v>0</v>
      </c>
      <c r="M34" s="1388" t="str">
        <f>IF(C34&gt;0,K34*1000/Q34,"")</f>
        <v/>
      </c>
      <c r="N34" s="1388"/>
      <c r="O34" s="1386" t="str">
        <f>IF(ISERROR((M34-N34)/N34),"",((M34-N34)/N34))</f>
        <v/>
      </c>
      <c r="P34" s="2490" t="str">
        <f>IF(C31=0,"",IF(C34="","Skriv belopp eller 0 i kol. C",IF(SUM(D34+E34)&gt;C34,"Därav-kol. D+E &gt; kol. C",IF(I34&gt;H34,"Därav-kol. I &gt; kol. H",IF(AND(K34=0,N34&lt;&gt;0),"se frågan till höger",IF(AND(M34="",N34=""),"",IF(OR(O34&gt;40%,O34&lt;-25%),"Kommentera förändringen",IF(OR(O34&gt;30%,O34&lt;-15%),"Kontrollera förändringen",""))))))))</f>
        <v/>
      </c>
      <c r="Q34" s="2327"/>
      <c r="R34" s="1409" t="s">
        <v>584</v>
      </c>
      <c r="S34" s="309"/>
      <c r="T34" s="3067"/>
      <c r="U34" s="3068"/>
      <c r="V34" s="3069"/>
      <c r="W34" s="310"/>
    </row>
    <row r="35" spans="1:23" ht="12.75">
      <c r="A35" s="1378">
        <v>5135</v>
      </c>
      <c r="B35" s="1367" t="s">
        <v>169</v>
      </c>
      <c r="C35" s="316"/>
      <c r="D35" s="145"/>
      <c r="E35" s="145"/>
      <c r="F35" s="145"/>
      <c r="G35" s="145"/>
      <c r="H35" s="145"/>
      <c r="I35" s="145"/>
      <c r="J35" s="145"/>
      <c r="K35" s="1404">
        <f>C35-I35-J35</f>
        <v>0</v>
      </c>
      <c r="L35" s="2173">
        <f t="shared" si="9"/>
        <v>0</v>
      </c>
      <c r="M35" s="1388" t="str">
        <f>IF(C35&gt;0,K35*1000/Q35,"")</f>
        <v/>
      </c>
      <c r="N35" s="1388"/>
      <c r="O35" s="1386" t="str">
        <f>IF(ISERROR((M35-N35)/N35),"",((M35-N35)/N35))</f>
        <v/>
      </c>
      <c r="P35" s="2490" t="str">
        <f>IF(C31=0,"",IF(C35="","Skriv belopp eller 0 i kol. C",IF(SUM(D35+E35)&gt;C35,"Därav-kol. D+E &gt; kol. C",IF(I35&gt;H35,"Därav-kol. I &gt; kol. H",IF(AND(K35=0,N35&lt;&gt;0),"se frågan till höger",IF(AND(M35="",N35=""),"",IF(OR(_xlfn.NUMBERVALUE(O35)&gt;50%,O35&lt;-20%,AND(OR(_xlfn.NUMBERVALUE(N35)=0),M35&gt;1000)),"Kommentera förändringen","")))))))</f>
        <v/>
      </c>
      <c r="Q35" s="2327"/>
      <c r="R35" s="1409" t="s">
        <v>1477</v>
      </c>
      <c r="S35" s="309"/>
      <c r="T35" s="3070"/>
      <c r="U35" s="3071"/>
      <c r="V35" s="3072"/>
      <c r="W35" s="310"/>
    </row>
    <row r="36" spans="1:23" ht="12.75">
      <c r="A36" s="1378">
        <v>5139</v>
      </c>
      <c r="B36" s="1367" t="s">
        <v>170</v>
      </c>
      <c r="C36" s="316"/>
      <c r="D36" s="145"/>
      <c r="E36" s="145"/>
      <c r="F36" s="145"/>
      <c r="G36" s="145"/>
      <c r="H36" s="145"/>
      <c r="I36" s="145"/>
      <c r="J36" s="145"/>
      <c r="K36" s="1404">
        <f>C36-I36-J36</f>
        <v>0</v>
      </c>
      <c r="L36" s="2173">
        <f t="shared" si="9"/>
        <v>0</v>
      </c>
      <c r="M36" s="1392"/>
      <c r="N36" s="1390"/>
      <c r="O36" s="1390"/>
      <c r="P36" s="2365" t="str">
        <f>IF(C31=0,"",IF(C36="","Skriv belopp eller 0 i kol. C",IF(K36&lt;0,"Negativt nyckeltal! Kontrollera",IF(SUM(D36+E36)&gt;C36,"Därav-kol. D+E &gt; kol. C",IF(I36&gt;H36,"Därav-kol. I &gt; kol. H","")))))</f>
        <v/>
      </c>
      <c r="Q36" s="2472" t="str">
        <f>"På minst en delv-ht inom v-het 513 redovisas varken detta år eller året innan lämnat några kostnader. Har kommunen inte denna/dessa verksamhet(er)? Lämna förklarande kommentar"</f>
        <v>På minst en delv-ht inom v-het 513 redovisas varken detta år eller året innan lämnat några kostnader. Har kommunen inte denna/dessa verksamhet(er)? Lämna förklarande kommentar</v>
      </c>
      <c r="R36" s="3082" t="str">
        <f>"För minst en delv-ht inom v-het 513 redovisades kostnader föregående år men inte i år. Har kommunen inte verksamheten(-erna)? Lämna förklarande kommentar"</f>
        <v>För minst en delv-ht inom v-het 513 redovisades kostnader föregående år men inte i år. Har kommunen inte verksamheten(-erna)? Lämna förklarande kommentar</v>
      </c>
      <c r="S36" s="309"/>
      <c r="T36" s="310"/>
      <c r="U36" s="310"/>
      <c r="V36" s="310"/>
      <c r="W36" s="310"/>
    </row>
    <row r="37" spans="1:23" ht="17.25" customHeight="1">
      <c r="A37" s="1369">
        <v>51399</v>
      </c>
      <c r="B37" s="1370" t="s">
        <v>715</v>
      </c>
      <c r="C37" s="2770">
        <f>SUM(C32:C36)</f>
        <v>0</v>
      </c>
      <c r="D37" s="2770">
        <f t="shared" ref="D37:J37" si="10">SUM(D32:D36)</f>
        <v>0</v>
      </c>
      <c r="E37" s="2770">
        <f t="shared" si="10"/>
        <v>0</v>
      </c>
      <c r="F37" s="2770">
        <f t="shared" si="10"/>
        <v>0</v>
      </c>
      <c r="G37" s="2770">
        <f t="shared" si="10"/>
        <v>0</v>
      </c>
      <c r="H37" s="2770">
        <f t="shared" si="10"/>
        <v>0</v>
      </c>
      <c r="I37" s="2770">
        <f t="shared" si="10"/>
        <v>0</v>
      </c>
      <c r="J37" s="2770">
        <f t="shared" si="10"/>
        <v>0</v>
      </c>
      <c r="K37" s="1392"/>
      <c r="L37" s="1393"/>
      <c r="M37" s="1393"/>
      <c r="N37" s="1393"/>
      <c r="O37" s="1393"/>
      <c r="P37" s="2366"/>
      <c r="Q37" s="2473"/>
      <c r="R37" s="3083"/>
      <c r="S37" s="311"/>
      <c r="T37" s="310"/>
      <c r="U37" s="310"/>
      <c r="V37" s="310"/>
      <c r="W37" s="310"/>
    </row>
    <row r="38" spans="1:23" ht="13.5" thickBot="1">
      <c r="A38" s="1371"/>
      <c r="B38" s="2093" t="s">
        <v>176</v>
      </c>
      <c r="C38" s="396">
        <f>C31-C37</f>
        <v>0</v>
      </c>
      <c r="D38" s="396">
        <f>D31-D37</f>
        <v>0</v>
      </c>
      <c r="E38" s="396">
        <f t="shared" ref="E38:J38" si="11">E31-E37</f>
        <v>0</v>
      </c>
      <c r="F38" s="396">
        <f t="shared" si="11"/>
        <v>0</v>
      </c>
      <c r="G38" s="396">
        <f t="shared" si="11"/>
        <v>0</v>
      </c>
      <c r="H38" s="396">
        <f t="shared" si="11"/>
        <v>0</v>
      </c>
      <c r="I38" s="399">
        <f>I31-I37</f>
        <v>0</v>
      </c>
      <c r="J38" s="396">
        <f t="shared" si="11"/>
        <v>0</v>
      </c>
      <c r="K38" s="1394"/>
      <c r="L38" s="2166"/>
      <c r="M38" s="1395"/>
      <c r="N38" s="1395"/>
      <c r="O38" s="1395"/>
      <c r="P38" s="1396" t="str">
        <f>IF(OR(C38&gt;5,C38&lt;-5),"Diff Bruttokostnad",IF(OR(D38&gt;5,E38&gt;5,D38&lt;-5,E38&lt;-5),"Diff Därav personalkostn. eller Därav köp av huvudv-het",IF(OR(F38&gt;5,F38&lt;-5),"Diff Taxor och avgifter",IF(OR(G38&gt;5,G38&lt;-5),"Diff Externa hyror",IF(OR(H38&gt;5,H38&lt;-5),"Diff Övriga externa intäkter",IF(OR(I38&gt;5,I38&lt;-5),"Diff Därav försäljning",IF(OR(J38&gt;5,J38&lt;-5),"Diff Interna intäkter","")))))))</f>
        <v/>
      </c>
      <c r="Q38" s="2469"/>
      <c r="R38" s="3084"/>
      <c r="S38" s="311"/>
      <c r="T38" s="310"/>
      <c r="U38" s="310"/>
      <c r="V38" s="310"/>
      <c r="W38" s="310"/>
    </row>
    <row r="39" spans="1:23" ht="12.75">
      <c r="A39" s="312"/>
      <c r="B39" s="372" t="s">
        <v>717</v>
      </c>
      <c r="C39" s="372"/>
      <c r="D39" s="372"/>
      <c r="E39" s="372"/>
      <c r="F39" s="372"/>
      <c r="G39" s="372"/>
      <c r="H39" s="372"/>
      <c r="I39" s="372"/>
      <c r="J39" s="2240"/>
      <c r="K39" s="2240"/>
      <c r="L39" s="2240"/>
      <c r="M39" s="2240"/>
      <c r="N39" s="2240"/>
      <c r="O39" s="2241"/>
      <c r="P39" s="2286"/>
      <c r="Q39" s="2240"/>
      <c r="R39" s="311"/>
      <c r="S39" s="310"/>
      <c r="T39" s="310"/>
      <c r="U39" s="310"/>
      <c r="V39" s="310"/>
    </row>
    <row r="40" spans="1:23" ht="12.75">
      <c r="B40" s="372" t="s">
        <v>716</v>
      </c>
      <c r="C40" s="373"/>
      <c r="D40" s="373"/>
      <c r="E40" s="373"/>
      <c r="F40" s="373"/>
      <c r="G40" s="374"/>
      <c r="H40" s="374"/>
      <c r="I40" s="374"/>
      <c r="J40" s="374"/>
      <c r="K40" s="312"/>
      <c r="L40" s="312"/>
      <c r="M40" s="312"/>
      <c r="N40" s="312"/>
    </row>
    <row r="41" spans="1:23" ht="12.75">
      <c r="B41" s="1410" t="s">
        <v>177</v>
      </c>
      <c r="C41" s="1411"/>
      <c r="D41" s="1411"/>
      <c r="E41" s="1412"/>
      <c r="F41" s="1413"/>
      <c r="G41" s="146">
        <f>'Verks int o kostn'!D21</f>
        <v>0</v>
      </c>
      <c r="H41" s="2491" t="str">
        <f>IF(C31=0,"",IF(AND(G41&lt;&gt;0,G41&lt;100),"Lågt belopp",IF(G41&gt;H34,"Ersättningen till FK ska ovan ingå på rad 5133 kol. H","")))</f>
        <v/>
      </c>
      <c r="I41" s="312"/>
      <c r="J41" s="312"/>
      <c r="K41" s="312"/>
      <c r="L41" s="312"/>
      <c r="M41" s="312"/>
      <c r="N41" s="312"/>
    </row>
    <row r="42" spans="1:23" ht="12.75">
      <c r="B42" s="1410" t="s">
        <v>178</v>
      </c>
      <c r="C42" s="1411"/>
      <c r="D42" s="1411"/>
      <c r="E42" s="1412"/>
      <c r="F42" s="1413"/>
      <c r="G42" s="146">
        <f>'Verks int o kostn'!I41</f>
        <v>0</v>
      </c>
      <c r="H42" s="2491" t="str">
        <f>IF(C31=0,"",IF(AND(G42&lt;&gt;0,G42&lt;100),"Lågt belopp",IF(G42&gt;C34,"Ersättningen till FK ska ovan ingå på rad 5133, kol C","")))</f>
        <v/>
      </c>
      <c r="I42" s="312"/>
      <c r="J42" s="312"/>
      <c r="K42" s="312"/>
      <c r="L42" s="312"/>
      <c r="M42" s="312"/>
      <c r="N42" s="312"/>
    </row>
    <row r="43" spans="1:23" ht="12.75">
      <c r="A43" s="548">
        <v>51398</v>
      </c>
      <c r="B43" s="1414" t="s">
        <v>205</v>
      </c>
      <c r="C43" s="1411"/>
      <c r="D43" s="1411"/>
      <c r="E43" s="1412"/>
      <c r="F43" s="1413"/>
      <c r="G43" s="145"/>
      <c r="H43" s="393" t="str">
        <f>IF(AND($G$43&gt;0,OR(MID(Information!$B$3,1,2)="23")),"",IF(AND($G$43=0,OR(MID(Information!$B$3,1,2)="23")),"Belopp saknas",IF(G43&gt;0,"Kontrollera belopp","")))</f>
        <v/>
      </c>
      <c r="I43" s="312"/>
      <c r="J43" s="312"/>
      <c r="K43" s="312"/>
      <c r="L43" s="312"/>
      <c r="M43" s="312"/>
      <c r="N43" s="312"/>
    </row>
    <row r="44" spans="1:23" ht="13.5" thickBot="1">
      <c r="E44" s="531" t="s">
        <v>970</v>
      </c>
      <c r="F44" s="531" t="s">
        <v>971</v>
      </c>
      <c r="G44" s="531" t="s">
        <v>972</v>
      </c>
      <c r="H44" s="531" t="s">
        <v>973</v>
      </c>
      <c r="I44" s="531" t="s">
        <v>974</v>
      </c>
      <c r="J44" s="531" t="s">
        <v>975</v>
      </c>
      <c r="K44" s="531" t="s">
        <v>976</v>
      </c>
      <c r="L44" s="531" t="s">
        <v>977</v>
      </c>
      <c r="M44" s="531" t="s">
        <v>978</v>
      </c>
    </row>
    <row r="45" spans="1:23" ht="14.25" customHeight="1">
      <c r="A45" s="3085" t="s">
        <v>1067</v>
      </c>
      <c r="B45" s="3086"/>
      <c r="C45" s="1611" t="s">
        <v>1040</v>
      </c>
      <c r="D45" s="1415" t="s">
        <v>137</v>
      </c>
      <c r="E45" s="1330" t="s">
        <v>211</v>
      </c>
      <c r="F45" s="1330" t="s">
        <v>546</v>
      </c>
      <c r="G45" s="1330" t="s">
        <v>212</v>
      </c>
      <c r="H45" s="1330" t="s">
        <v>134</v>
      </c>
      <c r="I45" s="1415" t="s">
        <v>1551</v>
      </c>
      <c r="J45" s="1330" t="s">
        <v>136</v>
      </c>
      <c r="K45" s="3089" t="s">
        <v>1079</v>
      </c>
      <c r="L45" s="1330" t="s">
        <v>135</v>
      </c>
      <c r="M45" s="1330" t="s">
        <v>162</v>
      </c>
      <c r="N45" s="1333"/>
      <c r="O45" s="1332"/>
      <c r="P45" s="1416"/>
      <c r="R45" s="319" t="s">
        <v>602</v>
      </c>
      <c r="S45" s="310"/>
      <c r="T45" s="310"/>
      <c r="U45" s="310"/>
    </row>
    <row r="46" spans="1:23" ht="12.75">
      <c r="A46" s="3087"/>
      <c r="B46" s="3088"/>
      <c r="C46" s="1690" t="s">
        <v>1060</v>
      </c>
      <c r="D46" s="1336"/>
      <c r="E46" s="1417" t="s">
        <v>138</v>
      </c>
      <c r="F46" s="1417" t="s">
        <v>210</v>
      </c>
      <c r="G46" s="1417" t="s">
        <v>139</v>
      </c>
      <c r="H46" s="1417"/>
      <c r="I46" s="2149"/>
      <c r="J46" s="1417" t="s">
        <v>141</v>
      </c>
      <c r="K46" s="3090"/>
      <c r="L46" s="1417" t="s">
        <v>140</v>
      </c>
      <c r="M46" s="1417"/>
      <c r="N46" s="1345"/>
      <c r="O46" s="1350"/>
      <c r="P46" s="1418"/>
      <c r="R46" s="3061"/>
      <c r="S46" s="3053"/>
      <c r="T46" s="3054"/>
      <c r="U46" s="310"/>
    </row>
    <row r="47" spans="1:23" ht="30" customHeight="1">
      <c r="A47" s="3087"/>
      <c r="B47" s="3088"/>
      <c r="C47" s="1938"/>
      <c r="D47" s="1616"/>
      <c r="E47" s="1939" t="s">
        <v>1029</v>
      </c>
      <c r="F47" s="1924" t="s">
        <v>1030</v>
      </c>
      <c r="G47" s="1924" t="s">
        <v>1031</v>
      </c>
      <c r="H47" s="1924" t="s">
        <v>1032</v>
      </c>
      <c r="I47" s="1924" t="s">
        <v>1033</v>
      </c>
      <c r="J47" s="1924" t="s">
        <v>1034</v>
      </c>
      <c r="K47" s="1924" t="s">
        <v>1035</v>
      </c>
      <c r="L47" s="1924" t="s">
        <v>1036</v>
      </c>
      <c r="M47" s="1924" t="s">
        <v>1037</v>
      </c>
      <c r="N47" s="1345"/>
      <c r="O47" s="1350"/>
      <c r="P47" s="1418"/>
      <c r="R47" s="3055"/>
      <c r="S47" s="3056"/>
      <c r="T47" s="3057"/>
      <c r="U47" s="310"/>
    </row>
    <row r="48" spans="1:23" ht="6.75" customHeight="1">
      <c r="A48" s="1865"/>
      <c r="B48" s="1866"/>
      <c r="C48" s="1940"/>
      <c r="D48" s="1941"/>
      <c r="E48" s="1942"/>
      <c r="F48" s="1942"/>
      <c r="G48" s="1942"/>
      <c r="H48" s="1942"/>
      <c r="I48" s="1943"/>
      <c r="J48" s="1942"/>
      <c r="K48" s="1943"/>
      <c r="L48" s="1942"/>
      <c r="M48" s="1417"/>
      <c r="N48" s="1345"/>
      <c r="O48" s="1350"/>
      <c r="P48" s="1418"/>
      <c r="R48" s="3058"/>
      <c r="S48" s="3059"/>
      <c r="T48" s="3060"/>
      <c r="U48" s="310"/>
    </row>
    <row r="49" spans="1:21" ht="12" customHeight="1">
      <c r="A49" s="1419">
        <v>510</v>
      </c>
      <c r="B49" s="1420" t="s">
        <v>578</v>
      </c>
      <c r="C49" s="532">
        <f>E12</f>
        <v>0</v>
      </c>
      <c r="D49" s="360">
        <f t="shared" ref="D49:D57" si="12">C49-SUM(E49:M49)</f>
        <v>0</v>
      </c>
      <c r="E49" s="532">
        <f>Motpart!D27</f>
        <v>0</v>
      </c>
      <c r="F49" s="532">
        <f>Motpart!E27</f>
        <v>0</v>
      </c>
      <c r="G49" s="532">
        <f>Motpart!F27</f>
        <v>0</v>
      </c>
      <c r="H49" s="532">
        <f>Motpart!G27</f>
        <v>0</v>
      </c>
      <c r="I49" s="532">
        <f>Motpart!H27</f>
        <v>0</v>
      </c>
      <c r="J49" s="532">
        <f>Motpart!I27</f>
        <v>0</v>
      </c>
      <c r="K49" s="2349"/>
      <c r="L49" s="532">
        <f>Motpart!K27</f>
        <v>0</v>
      </c>
      <c r="M49" s="536">
        <f>Motpart!L27</f>
        <v>0</v>
      </c>
      <c r="N49" s="2492" t="str">
        <f>IF(SUM(E50:E52)&gt;E49+2,ROUND(SUM(E50:E52)-E49,0)&amp; " tkr för mycket fördelat i kolumn Föreningar, stiftelser",IF(SUM(F50:F52)&gt;F49+2,ROUND(SUM(F50:F52)-F49,0)&amp; " tkr för mycket fördelat i kolumn Kommunägda företag",IF(SUM(G50:G52)&gt;G49+2,ROUND(SUM(G50:G52)-G49,0)&amp; " tkr för mycket fördelat i kolumn Privata företag",IF(SUM(H50:H52)&gt;H49+2,ROUND(SUM(H50:H52)-H49,0)&amp; " tkr för mycket fördelat i kolumn Kommuner",IF(SUM(I50:I52)&gt;I49+2,ROUND(SUM(I50:I52)-I49,0)&amp; " tkr för mycket fördelat i kolumn Regioner"," ")))))</f>
        <v xml:space="preserve"> </v>
      </c>
      <c r="O49" s="408"/>
      <c r="P49" s="412"/>
      <c r="R49" s="310"/>
      <c r="S49" s="310"/>
      <c r="T49" s="310"/>
      <c r="U49" s="310"/>
    </row>
    <row r="50" spans="1:21" ht="12.75">
      <c r="A50" s="1378">
        <v>5101</v>
      </c>
      <c r="B50" s="1421" t="s">
        <v>497</v>
      </c>
      <c r="C50" s="533">
        <f>E13</f>
        <v>0</v>
      </c>
      <c r="D50" s="148">
        <f t="shared" si="12"/>
        <v>0</v>
      </c>
      <c r="E50" s="145"/>
      <c r="F50" s="145"/>
      <c r="G50" s="145"/>
      <c r="H50" s="145"/>
      <c r="I50" s="145"/>
      <c r="J50" s="145"/>
      <c r="K50" s="2350"/>
      <c r="L50" s="145"/>
      <c r="M50" s="407"/>
      <c r="N50" s="2493" t="str">
        <f>IF(SUM(J50:J52)&gt;J49+2,ROUND(SUM(J50:J52)-J49,0)&amp;" tkr för mycket fördelat i kolumn Staten och staliga myndigheter",IF(SUM(L50:L52)&gt;L49+2,ROUND(SUM(L50:L52)-L49,0)&amp; " tkr för mycket fördelat i kolumn Kommunalförbund",IF(SUM(M50:M52)&gt;M49+2,ROUND(SUM(M50:M52)-M49,0)&amp; " tkr för mycket fördelat i kolumn Utlandet"," ")))</f>
        <v xml:space="preserve"> </v>
      </c>
      <c r="O50" s="409"/>
      <c r="P50" s="413"/>
      <c r="R50" s="310"/>
      <c r="S50" s="310"/>
      <c r="T50" s="310"/>
      <c r="U50" s="310"/>
    </row>
    <row r="51" spans="1:21" ht="12.75">
      <c r="A51" s="1378">
        <v>5103</v>
      </c>
      <c r="B51" s="1422" t="s">
        <v>496</v>
      </c>
      <c r="C51" s="533">
        <f>E14</f>
        <v>0</v>
      </c>
      <c r="D51" s="147">
        <f t="shared" si="12"/>
        <v>0</v>
      </c>
      <c r="E51" s="145"/>
      <c r="F51" s="145"/>
      <c r="G51" s="145"/>
      <c r="H51" s="145"/>
      <c r="I51" s="145"/>
      <c r="J51" s="145"/>
      <c r="K51" s="2350"/>
      <c r="L51" s="145"/>
      <c r="M51" s="387"/>
      <c r="N51" s="2494"/>
      <c r="O51" s="410"/>
      <c r="P51" s="413"/>
      <c r="R51" s="310"/>
      <c r="S51" s="310"/>
      <c r="T51" s="310"/>
      <c r="U51" s="310"/>
    </row>
    <row r="52" spans="1:21" ht="12.75">
      <c r="A52" s="1423">
        <v>5105</v>
      </c>
      <c r="B52" s="1359" t="s">
        <v>533</v>
      </c>
      <c r="C52" s="534">
        <f>E16</f>
        <v>0</v>
      </c>
      <c r="D52" s="149">
        <f t="shared" si="12"/>
        <v>0</v>
      </c>
      <c r="E52" s="386"/>
      <c r="F52" s="386"/>
      <c r="G52" s="386"/>
      <c r="H52" s="386"/>
      <c r="I52" s="386"/>
      <c r="J52" s="386"/>
      <c r="K52" s="2351"/>
      <c r="L52" s="386"/>
      <c r="M52" s="388"/>
      <c r="N52" s="2495"/>
      <c r="O52" s="623"/>
      <c r="P52" s="624"/>
    </row>
    <row r="53" spans="1:21" ht="12.75">
      <c r="A53" s="1424">
        <v>520</v>
      </c>
      <c r="B53" s="1353" t="s">
        <v>505</v>
      </c>
      <c r="C53" s="532">
        <f>E21</f>
        <v>0</v>
      </c>
      <c r="D53" s="148">
        <f t="shared" si="12"/>
        <v>0</v>
      </c>
      <c r="E53" s="532">
        <f>Motpart!D28</f>
        <v>0</v>
      </c>
      <c r="F53" s="532">
        <f>Motpart!E28</f>
        <v>0</v>
      </c>
      <c r="G53" s="532">
        <f>Motpart!F28</f>
        <v>0</v>
      </c>
      <c r="H53" s="532">
        <f>Motpart!G28</f>
        <v>0</v>
      </c>
      <c r="I53" s="532">
        <f>Motpart!H28</f>
        <v>0</v>
      </c>
      <c r="J53" s="532">
        <f>Motpart!I28</f>
        <v>0</v>
      </c>
      <c r="K53" s="2349"/>
      <c r="L53" s="532">
        <f>Motpart!K28</f>
        <v>0</v>
      </c>
      <c r="M53" s="532">
        <f>Motpart!L28</f>
        <v>0</v>
      </c>
      <c r="N53" s="2496" t="str">
        <f>IF(SUM(E54:E56)&gt;E53+2,ROUND(SUM(E54:E56)-E53,0)&amp; " tkr för mycket fördelat i kolumn Föreningar, stiftelser",IF(SUM(F54:F56)&gt;F53+2,ROUND(SUM(F54:F56)-F53,0)&amp; " tkr för mycket fördelat i kolumn Kommunägda företag",IF(SUM(G54:G56)&gt;G53+2,ROUND(SUM(G54:G56)-G53,0)&amp; " tkr för mycket fördelat i kolumn Privata företag",IF(SUM(H54:H56)&gt;H53+2,ROUND(SUM(H54:H56)-H53,0)&amp; " tkr för mycket fördelat i kolumn Kommuner",IF(SUM(I54:I56)&gt;I53+2,ROUND(SUM(I54:I56)-I53,0)&amp; " tkr för mycket fördelat i kolumn Landsting"," ")))))</f>
        <v xml:space="preserve"> </v>
      </c>
      <c r="O53" s="408"/>
      <c r="P53" s="412"/>
    </row>
    <row r="54" spans="1:21" ht="12.75">
      <c r="A54" s="1378">
        <v>5201</v>
      </c>
      <c r="B54" s="1421" t="s">
        <v>499</v>
      </c>
      <c r="C54" s="533">
        <f>E22</f>
        <v>0</v>
      </c>
      <c r="D54" s="147">
        <f t="shared" si="12"/>
        <v>0</v>
      </c>
      <c r="E54" s="145"/>
      <c r="F54" s="145"/>
      <c r="G54" s="145"/>
      <c r="H54" s="145"/>
      <c r="I54" s="145"/>
      <c r="J54" s="145"/>
      <c r="K54" s="2350"/>
      <c r="L54" s="145"/>
      <c r="M54" s="387"/>
      <c r="N54" s="2497" t="str">
        <f>IF(SUM(J54:J56)&gt;J53+2,ROUND(SUM(J54:J56)-J53,0)&amp;" tkr för mycket fördelat i kolumn Staten och staliga myndigheter",IF(SUM(L54:L56)&gt;L53+2,ROUND(SUM(L54:L56)-L53,0)&amp;" tkr för mycket fördelat i kolumn Kommunalförbund",IF(SUM(M54:M56)&gt;M53+2,ROUND(SUM(M54:M56)-M53,0)&amp;" tkr för mycket fördelat i kolumn Utlandet"," ")))</f>
        <v xml:space="preserve"> </v>
      </c>
      <c r="O54" s="410"/>
      <c r="P54" s="413"/>
    </row>
    <row r="55" spans="1:21" ht="12.75">
      <c r="A55" s="1378">
        <v>5203</v>
      </c>
      <c r="B55" s="1421" t="s">
        <v>496</v>
      </c>
      <c r="C55" s="533">
        <f>E24</f>
        <v>0</v>
      </c>
      <c r="D55" s="147">
        <f t="shared" si="12"/>
        <v>0</v>
      </c>
      <c r="E55" s="145"/>
      <c r="F55" s="145"/>
      <c r="G55" s="145"/>
      <c r="H55" s="145"/>
      <c r="I55" s="145"/>
      <c r="J55" s="145"/>
      <c r="K55" s="2350"/>
      <c r="L55" s="145"/>
      <c r="M55" s="387"/>
      <c r="N55" s="2494"/>
      <c r="O55" s="410"/>
      <c r="P55" s="413"/>
    </row>
    <row r="56" spans="1:21" ht="12.75">
      <c r="A56" s="1425">
        <v>5205</v>
      </c>
      <c r="B56" s="1348" t="s">
        <v>533</v>
      </c>
      <c r="C56" s="534">
        <f>E26</f>
        <v>0</v>
      </c>
      <c r="D56" s="359">
        <f t="shared" si="12"/>
        <v>0</v>
      </c>
      <c r="E56" s="145"/>
      <c r="F56" s="145"/>
      <c r="G56" s="145"/>
      <c r="H56" s="145"/>
      <c r="I56" s="145"/>
      <c r="J56" s="145"/>
      <c r="K56" s="2350"/>
      <c r="L56" s="145"/>
      <c r="M56" s="388"/>
      <c r="N56" s="2495"/>
      <c r="O56" s="623"/>
      <c r="P56" s="624"/>
    </row>
    <row r="57" spans="1:21" ht="12.75">
      <c r="A57" s="1426">
        <v>513</v>
      </c>
      <c r="B57" s="1427" t="s">
        <v>504</v>
      </c>
      <c r="C57" s="532">
        <f>E31</f>
        <v>0</v>
      </c>
      <c r="D57" s="360">
        <f t="shared" si="12"/>
        <v>0</v>
      </c>
      <c r="E57" s="532">
        <f>Motpart!D29</f>
        <v>0</v>
      </c>
      <c r="F57" s="532">
        <f>Motpart!E29</f>
        <v>0</v>
      </c>
      <c r="G57" s="532">
        <f>Motpart!F29</f>
        <v>0</v>
      </c>
      <c r="H57" s="532">
        <f>Motpart!G29</f>
        <v>0</v>
      </c>
      <c r="I57" s="532">
        <f>Motpart!H29</f>
        <v>0</v>
      </c>
      <c r="J57" s="532">
        <f>Motpart!I29</f>
        <v>0</v>
      </c>
      <c r="K57" s="2349"/>
      <c r="L57" s="532">
        <f>Motpart!K29</f>
        <v>0</v>
      </c>
      <c r="M57" s="532">
        <f>Motpart!L29</f>
        <v>0</v>
      </c>
      <c r="N57" s="2498" t="str">
        <f>IF(E58&gt;E57+1,ROUND(E58-E57,0)&amp; " tkr för mycket fördelat i kolumn Föreningar, stiftelser",IF(F58&gt;F57+1,ROUND(F58-F57,0)&amp; " tkr för mycket fördelat i kolumn Kommunägda företag",IF(G58&gt;G57+1,ROUND(G58-G57,0)&amp; " tkr för mycket fördelat i kolumn Privata företag",IF(H58&gt;H57+1,ROUND(H58-H57,0)&amp; " tkr för mycket fördelat i kolumn Kommuner",IF(I58&gt;I57+1,ROUND(I58-I57,0)&amp; " tkr för mycket fördelat i kolumn Landsting"," ")))))</f>
        <v xml:space="preserve"> </v>
      </c>
      <c r="O57" s="625"/>
      <c r="P57" s="412"/>
    </row>
    <row r="58" spans="1:21" ht="13.5" thickBot="1">
      <c r="A58" s="1371">
        <v>5131</v>
      </c>
      <c r="B58" s="1428" t="s">
        <v>209</v>
      </c>
      <c r="C58" s="535">
        <f>E32</f>
        <v>0</v>
      </c>
      <c r="D58" s="361">
        <f>C58-SUM(E58:M58)</f>
        <v>0</v>
      </c>
      <c r="E58" s="389"/>
      <c r="F58" s="389"/>
      <c r="G58" s="389"/>
      <c r="H58" s="389"/>
      <c r="I58" s="389"/>
      <c r="J58" s="389"/>
      <c r="K58" s="2352"/>
      <c r="L58" s="389"/>
      <c r="M58" s="390"/>
      <c r="N58" s="2499" t="str">
        <f>IF(J58&gt;J57+1,ROUND(J58-J57,0)&amp;" tkr för mycket fördelat i kolumn Staten och staliga myndigheter",IF(L58&gt;L57+1,ROUND(L58-L57,0)&amp;" tkr för mycket fördelat i kolumn Kommunalförbund",IF(M58&gt;M57+1,ROUND(M58-M57,0)&amp;" tkr för mycket fördelat i kolumn Utlandet"," ")))</f>
        <v xml:space="preserve"> </v>
      </c>
      <c r="O58" s="411"/>
      <c r="P58" s="414"/>
    </row>
    <row r="59" spans="1:21" ht="12.75">
      <c r="D59" s="415" t="str">
        <f>IF(OR(COUNTIF(D49:D58,"&lt;-5")&gt;0,(COUNTIF(D49:D58,"&gt;5")&gt;0)),"Rätta differenserna i kolumn D","")</f>
        <v/>
      </c>
      <c r="N59" s="391"/>
      <c r="O59" s="392"/>
    </row>
    <row r="60" spans="1:21" ht="12.75"/>
  </sheetData>
  <customSheetViews>
    <customSheetView guid="{97D6DB71-3F4C-4C5F-8C5B-51E3EBF78932}" showPageBreaks="1" showGridLines="0" fitToPage="1" hiddenRows="1" hiddenColumns="1" topLeftCell="A15">
      <selection activeCell="A44" sqref="A44:B48"/>
      <pageMargins left="0.31496062992125984" right="0.6692913385826772" top="0.74803149606299213" bottom="0.15748031496062992" header="0.31496062992125984" footer="0.31496062992125984"/>
      <pageSetup paperSize="9" scale="54" orientation="landscape" r:id="rId1"/>
      <headerFooter>
        <oddHeader>&amp;L&amp;8Statistiska Centralbyrån
Offentlig ekonomi&amp;R&amp;P</oddHeader>
      </headerFooter>
    </customSheetView>
    <customSheetView guid="{99FBDEB7-DD08-4F57-81F4-3C180403E153}" showGridLines="0" fitToPage="1" hiddenRows="1" hiddenColumns="1">
      <selection activeCell="A43" sqref="A43:B47"/>
      <pageMargins left="0.31496062992125984" right="0.6692913385826772" top="0.74803149606299213" bottom="0.15748031496062992" header="0.31496062992125984" footer="0.31496062992125984"/>
      <pageSetup paperSize="9" scale="56" orientation="landscape" r:id="rId2"/>
      <headerFooter>
        <oddHeader>&amp;L&amp;8Statistiska Centralbyrån
Offentlig ekonomi&amp;R&amp;P</oddHeader>
      </headerFooter>
    </customSheetView>
    <customSheetView guid="{27C9E95B-0E2B-454F-B637-1CECC9579A10}" showGridLines="0" fitToPage="1" hiddenRows="1" hiddenColumns="1" showRuler="0">
      <selection activeCell="J30" sqref="J30"/>
      <pageMargins left="0.31496062992125984" right="0.6692913385826772" top="0.74803149606299213" bottom="0.15748031496062992" header="0.31496062992125984" footer="0.31496062992125984"/>
      <pageSetup paperSize="9" scale="56" orientation="landscape" r:id="rId3"/>
      <headerFooter alignWithMargins="0">
        <oddHeader>&amp;L&amp;8Statistiska Centralbyrån
Offentlig ekonomi&amp;R&amp;P</oddHeader>
      </headerFooter>
    </customSheetView>
  </customSheetViews>
  <mergeCells count="21">
    <mergeCell ref="A45:B47"/>
    <mergeCell ref="K45:K46"/>
    <mergeCell ref="F6:F7"/>
    <mergeCell ref="G6:G7"/>
    <mergeCell ref="H6:H7"/>
    <mergeCell ref="H9:H11"/>
    <mergeCell ref="E6:E7"/>
    <mergeCell ref="I6:I7"/>
    <mergeCell ref="D6:D7"/>
    <mergeCell ref="D9:D10"/>
    <mergeCell ref="O4:O6"/>
    <mergeCell ref="T22:V25"/>
    <mergeCell ref="R46:T48"/>
    <mergeCell ref="Q6:R7"/>
    <mergeCell ref="T12:V15"/>
    <mergeCell ref="T32:V35"/>
    <mergeCell ref="P6:P8"/>
    <mergeCell ref="P9:P11"/>
    <mergeCell ref="R14:R19"/>
    <mergeCell ref="R23:R29"/>
    <mergeCell ref="R36:R38"/>
  </mergeCells>
  <phoneticPr fontId="95" type="noConversion"/>
  <conditionalFormatting sqref="E58:M58 G43 E50:M52 E54:M56 C24:J24 C13:F13 H13:J13 C22:F23 H22:J23 C26:J28 C25:F25 H25:J25 C14:J14 C16:J18 C15:F15 H15:J15">
    <cfRule type="cellIs" dxfId="36" priority="30" stopIfTrue="1" operator="lessThan">
      <formula>0</formula>
    </cfRule>
  </conditionalFormatting>
  <conditionalFormatting sqref="B20 B30 B38">
    <cfRule type="expression" dxfId="35" priority="93" stopIfTrue="1">
      <formula>OR(C20&gt;5,C20&lt;-5,E20&gt;5,E20&lt;-5,F20&gt;5,F20&lt;-5,G20&gt;5,G20&lt;-5,H20&gt;5,H20&lt;-5,I20&gt;5,I20&lt;-5,J20&gt;5,J20&lt;-5)</formula>
    </cfRule>
  </conditionalFormatting>
  <conditionalFormatting sqref="R14:R19">
    <cfRule type="expression" dxfId="34" priority="13">
      <formula>IF(C12=0,"",IF(C17&gt;1,"",IF(K17=0,N17&lt;&gt;0)))</formula>
    </cfRule>
    <cfRule type="expression" dxfId="33" priority="14">
      <formula>IF(C12=0,"",IF(C16&gt;1,"",IF(K16=0,N16&lt;&gt;0)))</formula>
    </cfRule>
    <cfRule type="expression" dxfId="32" priority="15">
      <formula>IF(C12=0,"",IF(C15&gt;1,"",IF(K15=0,N15&lt;&gt;0)))</formula>
    </cfRule>
    <cfRule type="expression" dxfId="31" priority="16">
      <formula>IF(C12=0,"",IF(C14&gt;1,"",IF(K14=0,N14&lt;&gt;0)))</formula>
    </cfRule>
    <cfRule type="expression" dxfId="30" priority="22">
      <formula>IF(C12=0,"",IF(C13&gt;1,"",IF(K13=0,N13&lt;&gt;0)))</formula>
    </cfRule>
  </conditionalFormatting>
  <conditionalFormatting sqref="R36:R38">
    <cfRule type="expression" dxfId="29" priority="9">
      <formula>IF(C31=0,"",IF(C35&gt;1,"",IF(K35=0,N35&lt;&gt;0)))</formula>
    </cfRule>
    <cfRule type="expression" dxfId="28" priority="10">
      <formula>IF(C31=0,"",IF(C34&gt;1,"",IF(K34=0,N34&lt;&gt;0)))</formula>
    </cfRule>
    <cfRule type="expression" dxfId="27" priority="11">
      <formula>IF(C31=0,"",IF(C33&gt;1,"",IF(K33=0,N33&lt;&gt;0)))</formula>
    </cfRule>
    <cfRule type="expression" dxfId="26" priority="12">
      <formula>IF(C31=0,"",IF(C32&gt;1,"",IF(K32=0,N32&lt;&gt;0)))</formula>
    </cfRule>
  </conditionalFormatting>
  <conditionalFormatting sqref="R23:R28">
    <cfRule type="expression" dxfId="25" priority="17">
      <formula>IF(C21=0,"",IF(C27&gt;1,"",IF(K27=0,N27&lt;&gt;0)))</formula>
    </cfRule>
    <cfRule type="expression" dxfId="24" priority="18">
      <formula>IF(C21=0,"",IF(C26&gt;1,"",IF(K26=0,N26&lt;&gt;0)))</formula>
    </cfRule>
    <cfRule type="expression" dxfId="23" priority="19">
      <formula>IF(C21=0,"",IF(C25&gt;1,"",IF(K25=0,N25&lt;&gt;0)))</formula>
    </cfRule>
    <cfRule type="expression" dxfId="22" priority="20">
      <formula>IF(C21=0,"",IF(C23&gt;1,"",IF(K23=0,N23&lt;&gt;0)))</formula>
    </cfRule>
    <cfRule type="expression" dxfId="21" priority="21">
      <formula>IF(C21=0,"",IF(C22&gt;1,"",IF(K22=0,N22&lt;&gt;0)))</formula>
    </cfRule>
  </conditionalFormatting>
  <conditionalFormatting sqref="R23:R29">
    <cfRule type="expression" dxfId="20" priority="8">
      <formula>IF(C21=0,"",IF(C24&gt;1,"",IF(K24=0,N24&lt;&gt;0)))</formula>
    </cfRule>
  </conditionalFormatting>
  <conditionalFormatting sqref="C32:J36">
    <cfRule type="cellIs" dxfId="19" priority="6" stopIfTrue="1" operator="lessThan">
      <formula>0</formula>
    </cfRule>
  </conditionalFormatting>
  <conditionalFormatting sqref="G13">
    <cfRule type="cellIs" dxfId="18" priority="5" stopIfTrue="1" operator="lessThan">
      <formula>0</formula>
    </cfRule>
  </conditionalFormatting>
  <conditionalFormatting sqref="G22:G23">
    <cfRule type="cellIs" dxfId="17" priority="3" stopIfTrue="1" operator="lessThan">
      <formula>0</formula>
    </cfRule>
  </conditionalFormatting>
  <conditionalFormatting sqref="G25">
    <cfRule type="cellIs" dxfId="16" priority="2" stopIfTrue="1" operator="lessThan">
      <formula>0</formula>
    </cfRule>
  </conditionalFormatting>
  <conditionalFormatting sqref="G15">
    <cfRule type="cellIs" dxfId="15" priority="1" stopIfTrue="1" operator="lessThan">
      <formula>0</formula>
    </cfRule>
  </conditionalFormatting>
  <dataValidations count="2">
    <dataValidation type="decimal" operator="lessThan" allowBlank="1" showInputMessage="1" showErrorMessage="1" error="Beloppen ska vara i 1000 tal kronor" sqref="E58:M58 J29:J31 C30:H31 I21 G43 E50:M56 D29:H29 C32:J37 I29:I30 C22:C29 D22:J28 C13:J20" xr:uid="{00000000-0002-0000-0900-000000000000}">
      <formula1>99999999</formula1>
    </dataValidation>
    <dataValidation type="decimal" operator="lessThan" allowBlank="1" showInputMessage="1" showErrorMessage="1" error="Beloppet ska vara i 1000 tal kr" sqref="I31" xr:uid="{00000000-0002-0000-0900-000001000000}">
      <formula1>99999999</formula1>
    </dataValidation>
  </dataValidations>
  <pageMargins left="0.43" right="0.17" top="0.43" bottom="0.15748031496062992" header="0.21" footer="0.31496062992125984"/>
  <pageSetup paperSize="9" scale="70" orientation="landscape" r:id="rId4"/>
  <headerFooter>
    <oddHeader>&amp;L&amp;8Statistiska Centralbyrån
Offentlig ekonomi&amp;R&amp;P</oddHeader>
  </headerFooter>
  <drawing r:id="rId5"/>
  <legacyDrawing r:id="rId6"/>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3">
    <tabColor rgb="FFFFFF00"/>
  </sheetPr>
  <dimension ref="A1:S38"/>
  <sheetViews>
    <sheetView showGridLines="0" zoomScaleNormal="100" workbookViewId="0">
      <pane xSplit="2" ySplit="11" topLeftCell="C12" activePane="bottomRight" state="frozen"/>
      <selection activeCell="F36" sqref="F36"/>
      <selection pane="topRight" activeCell="F36" sqref="F36"/>
      <selection pane="bottomLeft" activeCell="F36" sqref="F36"/>
      <selection pane="bottomRight" activeCell="L19" sqref="L19"/>
    </sheetView>
  </sheetViews>
  <sheetFormatPr defaultColWidth="0" defaultRowHeight="12.75" zeroHeight="1"/>
  <cols>
    <col min="1" max="1" width="5.5703125" style="321" customWidth="1"/>
    <col min="2" max="2" width="34.42578125" style="2221" customWidth="1"/>
    <col min="3" max="3" width="9.42578125" style="2221" customWidth="1"/>
    <col min="4" max="4" width="8.5703125" style="2221" customWidth="1"/>
    <col min="5" max="5" width="10.42578125" style="2221" customWidth="1"/>
    <col min="6" max="6" width="10.5703125" style="2221" customWidth="1"/>
    <col min="7" max="7" width="9.42578125" style="2221" customWidth="1"/>
    <col min="8" max="8" width="11.5703125" style="2221" customWidth="1"/>
    <col min="9" max="9" width="8.5703125" style="2221" customWidth="1"/>
    <col min="10" max="10" width="14.42578125" style="2221" customWidth="1"/>
    <col min="11" max="11" width="9.5703125" style="324" customWidth="1"/>
    <col min="12" max="12" width="23" style="324" customWidth="1"/>
    <col min="13" max="14" width="10.42578125" style="324" customWidth="1"/>
    <col min="15" max="19" width="9.42578125" style="324" customWidth="1"/>
    <col min="20" max="16384" width="0" style="324" hidden="1"/>
  </cols>
  <sheetData>
    <row r="1" spans="1:19" s="2185" customFormat="1" ht="21.75">
      <c r="A1" s="86" t="str">
        <f>"Specificering individ- och familjeomsorg "&amp;År&amp;", 1000 tal kronor"</f>
        <v>Specificering individ- och familjeomsorg 2023, 1000 tal kronor</v>
      </c>
      <c r="B1" s="87"/>
      <c r="C1" s="87"/>
      <c r="D1" s="87"/>
      <c r="E1" s="322"/>
      <c r="F1" s="322"/>
      <c r="G1" s="322"/>
      <c r="H1" s="322"/>
      <c r="I1" s="637">
        <f>Information!B3</f>
        <v>0</v>
      </c>
      <c r="J1" s="638">
        <f>Information!B2</f>
        <v>0</v>
      </c>
      <c r="K1" s="322"/>
      <c r="L1" s="322"/>
      <c r="M1" s="322"/>
      <c r="N1" s="322"/>
      <c r="O1" s="322"/>
      <c r="P1" s="322"/>
      <c r="Q1" s="322"/>
      <c r="R1" s="322"/>
      <c r="S1" s="322"/>
    </row>
    <row r="2" spans="1:19" s="323" customFormat="1" ht="12.75" customHeight="1">
      <c r="A2" s="1490"/>
      <c r="B2" s="2186"/>
      <c r="C2" s="80"/>
      <c r="D2" s="80"/>
      <c r="O2" s="79"/>
    </row>
    <row r="3" spans="1:19" s="2185" customFormat="1" ht="12.75" customHeight="1" thickBot="1">
      <c r="A3" s="284"/>
      <c r="B3" s="221"/>
      <c r="C3" s="221" t="s">
        <v>841</v>
      </c>
      <c r="D3" s="221"/>
      <c r="E3" s="221" t="s">
        <v>846</v>
      </c>
      <c r="F3" s="221" t="s">
        <v>842</v>
      </c>
      <c r="G3" s="221" t="s">
        <v>845</v>
      </c>
      <c r="H3" s="221" t="s">
        <v>844</v>
      </c>
      <c r="I3" s="221"/>
      <c r="J3" s="221"/>
      <c r="K3" s="221"/>
      <c r="L3" s="323"/>
      <c r="M3" s="323"/>
      <c r="N3" s="323"/>
      <c r="O3" s="323"/>
    </row>
    <row r="4" spans="1:19" s="325" customFormat="1" ht="18" customHeight="1">
      <c r="A4" s="793" t="s">
        <v>873</v>
      </c>
      <c r="B4" s="2187" t="s">
        <v>13</v>
      </c>
      <c r="C4" s="2183"/>
      <c r="D4" s="2391"/>
      <c r="E4" s="2391"/>
      <c r="F4" s="2182"/>
      <c r="G4" s="2183"/>
      <c r="H4" s="2188" t="s">
        <v>1318</v>
      </c>
      <c r="I4" s="1988" t="s">
        <v>1329</v>
      </c>
      <c r="J4" s="1989"/>
      <c r="K4" s="3111" t="str">
        <f>"Förändring kostnader för eget åtagande "&amp;År-1&amp;"-"&amp;År&amp;" procent"</f>
        <v>Förändring kostnader för eget åtagande 2022-2023 procent</v>
      </c>
      <c r="L4" s="2189" t="s">
        <v>40</v>
      </c>
      <c r="M4" s="1439"/>
      <c r="N4" s="1440"/>
      <c r="O4" s="2190"/>
      <c r="P4" s="199" t="s">
        <v>994</v>
      </c>
      <c r="Q4" s="323"/>
      <c r="R4" s="323"/>
    </row>
    <row r="5" spans="1:19" s="325" customFormat="1" ht="15" customHeight="1">
      <c r="A5" s="795" t="s">
        <v>876</v>
      </c>
      <c r="B5" s="1927"/>
      <c r="C5" s="1691" t="s">
        <v>41</v>
      </c>
      <c r="D5" s="1691"/>
      <c r="E5" s="1691"/>
      <c r="F5" s="2184"/>
      <c r="G5" s="2184"/>
      <c r="H5" s="2000" t="s">
        <v>1333</v>
      </c>
      <c r="I5" s="1990" t="s">
        <v>1326</v>
      </c>
      <c r="J5" s="1991"/>
      <c r="K5" s="3074"/>
      <c r="L5" s="1625" t="s">
        <v>1100</v>
      </c>
      <c r="M5" s="2191"/>
      <c r="N5" s="2192"/>
      <c r="O5" s="2193"/>
      <c r="P5" s="199" t="s">
        <v>627</v>
      </c>
      <c r="Q5" s="323"/>
      <c r="R5" s="323"/>
    </row>
    <row r="6" spans="1:19" s="325" customFormat="1" ht="24" customHeight="1">
      <c r="A6" s="1430"/>
      <c r="B6" s="2194"/>
      <c r="C6" s="1691" t="s">
        <v>43</v>
      </c>
      <c r="D6" s="3106" t="s">
        <v>1416</v>
      </c>
      <c r="E6" s="3106" t="s">
        <v>1424</v>
      </c>
      <c r="F6" s="3108" t="s">
        <v>157</v>
      </c>
      <c r="G6" s="3109" t="s">
        <v>1570</v>
      </c>
      <c r="H6" s="2001" t="s">
        <v>1332</v>
      </c>
      <c r="I6" s="2195"/>
      <c r="J6" s="2196"/>
      <c r="K6" s="3074"/>
      <c r="L6" s="3105" t="s">
        <v>1661</v>
      </c>
      <c r="M6" s="2160" t="str">
        <f>"Nämnare nyckeltal"</f>
        <v>Nämnare nyckeltal</v>
      </c>
      <c r="N6" s="2161"/>
      <c r="O6" s="2197"/>
      <c r="P6" s="199" t="s">
        <v>1051</v>
      </c>
      <c r="Q6" s="323"/>
      <c r="R6" s="323"/>
    </row>
    <row r="7" spans="1:19" s="325" customFormat="1" ht="27.75" customHeight="1">
      <c r="A7" s="1230"/>
      <c r="B7" s="2198"/>
      <c r="C7" s="1691"/>
      <c r="D7" s="3107"/>
      <c r="E7" s="3107"/>
      <c r="F7" s="3074"/>
      <c r="G7" s="3109"/>
      <c r="H7" s="1986" t="s">
        <v>1571</v>
      </c>
      <c r="I7" s="2003" t="s">
        <v>1331</v>
      </c>
      <c r="J7" s="2002" t="s">
        <v>1331</v>
      </c>
      <c r="K7" s="1985"/>
      <c r="L7" s="3051"/>
      <c r="M7" s="2160"/>
      <c r="N7" s="2161"/>
      <c r="O7" s="323"/>
      <c r="P7" s="199" t="s">
        <v>1052</v>
      </c>
      <c r="Q7" s="323"/>
      <c r="R7" s="323"/>
    </row>
    <row r="8" spans="1:19" s="325" customFormat="1" ht="12" customHeight="1">
      <c r="A8" s="1430"/>
      <c r="B8" s="2199"/>
      <c r="C8" s="2184"/>
      <c r="D8" s="3107"/>
      <c r="E8" s="3107"/>
      <c r="F8" s="3074"/>
      <c r="G8" s="3110"/>
      <c r="H8" s="2545" t="s">
        <v>1572</v>
      </c>
      <c r="I8" s="1349">
        <f>År</f>
        <v>2023</v>
      </c>
      <c r="J8" s="1349">
        <f>År-1</f>
        <v>2022</v>
      </c>
      <c r="K8" s="2200"/>
      <c r="L8" s="3051"/>
      <c r="M8" s="1443"/>
      <c r="N8" s="1444"/>
      <c r="O8" s="323"/>
      <c r="P8" s="323"/>
      <c r="Q8" s="323"/>
      <c r="R8" s="323"/>
    </row>
    <row r="9" spans="1:19" s="325" customFormat="1" ht="21" customHeight="1">
      <c r="A9" s="1430"/>
      <c r="B9" s="2199"/>
      <c r="C9" s="2184"/>
      <c r="D9" s="3109" t="s">
        <v>1625</v>
      </c>
      <c r="E9" s="2227" t="s">
        <v>1058</v>
      </c>
      <c r="F9" s="2184"/>
      <c r="G9" s="2678" t="s">
        <v>1569</v>
      </c>
      <c r="H9" s="1987" t="s">
        <v>1567</v>
      </c>
      <c r="I9" s="2201"/>
      <c r="J9" s="2201"/>
      <c r="K9" s="2201"/>
      <c r="L9" s="3051"/>
      <c r="M9" s="1443"/>
      <c r="N9" s="1444"/>
      <c r="O9" s="323"/>
      <c r="P9" s="323"/>
      <c r="Q9" s="323"/>
      <c r="R9" s="323"/>
    </row>
    <row r="10" spans="1:19" s="325" customFormat="1" ht="14.25" customHeight="1">
      <c r="A10" s="1430"/>
      <c r="B10" s="2199"/>
      <c r="C10" s="2184"/>
      <c r="D10" s="3103"/>
      <c r="E10" s="2184"/>
      <c r="F10" s="2184"/>
      <c r="G10" s="2184"/>
      <c r="H10" s="1640" t="s">
        <v>1574</v>
      </c>
      <c r="I10" s="1992"/>
      <c r="J10" s="1992"/>
      <c r="K10" s="2201"/>
      <c r="L10" s="3051"/>
      <c r="M10" s="1443"/>
      <c r="N10" s="1444"/>
      <c r="O10" s="323"/>
      <c r="P10" s="323"/>
      <c r="Q10" s="323"/>
      <c r="R10" s="323"/>
    </row>
    <row r="11" spans="1:19" s="325" customFormat="1" ht="13.5" customHeight="1">
      <c r="A11" s="1431"/>
      <c r="B11" s="2202"/>
      <c r="C11" s="1445"/>
      <c r="D11" s="3112"/>
      <c r="E11" s="1445"/>
      <c r="F11" s="1445"/>
      <c r="G11" s="1949"/>
      <c r="H11" s="2572" t="s">
        <v>1573</v>
      </c>
      <c r="I11" s="1446"/>
      <c r="J11" s="1446"/>
      <c r="K11" s="1446"/>
      <c r="L11" s="2222"/>
      <c r="M11" s="1447"/>
      <c r="N11" s="1448"/>
      <c r="O11" s="323"/>
      <c r="P11" s="323"/>
      <c r="Q11" s="323"/>
      <c r="R11" s="323"/>
    </row>
    <row r="12" spans="1:19" s="325" customFormat="1">
      <c r="A12" s="1432">
        <v>559</v>
      </c>
      <c r="B12" s="2203" t="s">
        <v>543</v>
      </c>
      <c r="C12" s="2204">
        <f>Drift!P79</f>
        <v>0</v>
      </c>
      <c r="D12" s="2547">
        <f>SUM(Drift!C79:D79)</f>
        <v>0</v>
      </c>
      <c r="E12" s="2204">
        <f>Drift!F79</f>
        <v>0</v>
      </c>
      <c r="F12" s="2204">
        <f>Drift!V79</f>
        <v>0</v>
      </c>
      <c r="G12" s="2205">
        <f>Motpart!Y31+Motpart!Z31</f>
        <v>0</v>
      </c>
      <c r="H12" s="1449">
        <f t="shared" ref="H12:H18" si="0">C12-F12-G12</f>
        <v>0</v>
      </c>
      <c r="I12" s="1450" t="str">
        <f>IF(C12&gt;0,H12*1000/M12,"")</f>
        <v/>
      </c>
      <c r="J12" s="1450"/>
      <c r="K12" s="1612" t="str">
        <f>IF(ISERROR((I12-J12)/J12),"",((I12-J12)/J12))</f>
        <v/>
      </c>
      <c r="L12" s="2367" t="str">
        <f>IF(SUM(D13+E13)&gt;C13,"Rad 552: därav-kol. D+E &gt; totalkol. C",IF(SUM(D14+E14)&gt;C14,"Rad 556: därav-kol. D+E &gt; totalkol.C",IF(SUM(D15+E15)&gt;C15,"Rad 5581: därav-kol. D+E &gt; totalkol.C",IF(SUM(D16+E16)&gt;C16,"Rad 5582: därav-kol. D+E &gt; totalkol.C",IF(SUM(D17+E17)&gt;C17,"Rad 5583: därav-kol. D+E &gt; totalkol.C","")))))</f>
        <v/>
      </c>
      <c r="M12" s="1451"/>
      <c r="N12" s="1452" t="s">
        <v>579</v>
      </c>
      <c r="O12" s="323"/>
      <c r="P12" s="2206" t="s">
        <v>603</v>
      </c>
      <c r="Q12" s="2207"/>
      <c r="R12" s="2207"/>
      <c r="S12" s="2207"/>
    </row>
    <row r="13" spans="1:19" s="325" customFormat="1">
      <c r="A13" s="1433">
        <v>552</v>
      </c>
      <c r="B13" s="1927" t="s">
        <v>491</v>
      </c>
      <c r="C13" s="58"/>
      <c r="D13" s="58"/>
      <c r="E13" s="2193">
        <f>Motpart!C32</f>
        <v>0</v>
      </c>
      <c r="F13" s="58"/>
      <c r="G13" s="2193">
        <f>Motpart!Y32+Motpart!Z32</f>
        <v>0</v>
      </c>
      <c r="H13" s="1453">
        <f t="shared" si="0"/>
        <v>0</v>
      </c>
      <c r="I13" s="1454" t="str">
        <f>IF(C13&gt;0,H13*1000/M12,"")</f>
        <v/>
      </c>
      <c r="J13" s="1454"/>
      <c r="K13" s="1613" t="str">
        <f t="shared" ref="K13:K18" si="1">IF(ISERROR((I13-J13)/J13),"",((I13-J13)/J13))</f>
        <v/>
      </c>
      <c r="L13" s="2501" t="str">
        <f>IF(C12=0,"",IF(C13="","Skriv belopp eller 0 i kol. C",IF(AND(C13=0,J13&lt;&gt;0),"se frågan till höger",IF(AND(I13&gt;0,I13&lt;1484),"",IF(AND(K13&gt;3%,I13&gt;1484),"Kommentera riksavvikelse",IF(AND(K13&lt;-3%,I13&lt;0),"kommentera riksavvikelse",""))))))</f>
        <v/>
      </c>
      <c r="M13" s="3122" t="str">
        <f>"För minst en delv-ht inom v-het 559 redovisades kostnader föregående år men inte i år. Har kommunen inte verksamheten(-erna)? Lämna förklarande kommentar"</f>
        <v>För minst en delv-ht inom v-het 559 redovisades kostnader föregående år men inte i år. Har kommunen inte verksamheten(-erna)? Lämna förklarande kommentar</v>
      </c>
      <c r="N13" s="3123"/>
      <c r="O13" s="323"/>
      <c r="P13" s="3113"/>
      <c r="Q13" s="3114"/>
      <c r="R13" s="3115"/>
      <c r="S13" s="2207"/>
    </row>
    <row r="14" spans="1:19" s="325" customFormat="1">
      <c r="A14" s="1433">
        <v>556</v>
      </c>
      <c r="B14" s="2208" t="s">
        <v>549</v>
      </c>
      <c r="C14" s="58"/>
      <c r="D14" s="58"/>
      <c r="E14" s="58"/>
      <c r="F14" s="58"/>
      <c r="G14" s="58"/>
      <c r="H14" s="1453">
        <f t="shared" si="0"/>
        <v>0</v>
      </c>
      <c r="I14" s="1454" t="str">
        <f>IF(C14&gt;0,H14*1000/M12,"")</f>
        <v/>
      </c>
      <c r="J14" s="1454"/>
      <c r="K14" s="1613" t="str">
        <f t="shared" si="1"/>
        <v/>
      </c>
      <c r="L14" s="2501" t="str">
        <f>IF(C12=0,"",IF(C14="","Skriv belopp eller 0 i kol. C",IF(AND(C14=0,J14&lt;&gt;0),"se frågan till höger",IF(AND(I14&gt;0,I14&lt;413),"",IF(AND(K14&gt;3%,I14&gt;413),"Kommentera riksavvikelse",IF(AND(K14&lt;-3%,I14&lt;0),"kommentera riksavvikelse",""))))))</f>
        <v/>
      </c>
      <c r="M14" s="3124"/>
      <c r="N14" s="3123"/>
      <c r="O14" s="323"/>
      <c r="P14" s="3116"/>
      <c r="Q14" s="3117"/>
      <c r="R14" s="3118"/>
      <c r="S14" s="2207"/>
    </row>
    <row r="15" spans="1:19" s="325" customFormat="1">
      <c r="A15" s="1433">
        <v>5581</v>
      </c>
      <c r="B15" s="2208" t="s">
        <v>172</v>
      </c>
      <c r="C15" s="58"/>
      <c r="D15" s="58"/>
      <c r="E15" s="58"/>
      <c r="F15" s="58"/>
      <c r="G15" s="58"/>
      <c r="H15" s="1453">
        <f t="shared" si="0"/>
        <v>0</v>
      </c>
      <c r="I15" s="1457" t="str">
        <f>IF(C15&gt;0,H15*1000/M12,"")</f>
        <v/>
      </c>
      <c r="J15" s="1457"/>
      <c r="K15" s="1613" t="str">
        <f t="shared" si="1"/>
        <v/>
      </c>
      <c r="L15" s="2502" t="str">
        <f>IF(C12=0,"",IF(C15="","Skriv belopp eller 0 i kol. C",IF(AND(C15=0,J15&lt;&gt;0),"se frågan till höger",IF(AND(I15&gt;0,I15&lt;1247),"",IF(AND(K15&gt;3%,I15&gt;1247),"Kommentera riksavvikelse",IF(AND(K15&lt;-3%,I15&lt;0),"kommentera riksavvikelse",""))))))</f>
        <v/>
      </c>
      <c r="M15" s="3124"/>
      <c r="N15" s="3123"/>
      <c r="O15" s="323"/>
      <c r="P15" s="3116"/>
      <c r="Q15" s="3117"/>
      <c r="R15" s="3118"/>
      <c r="S15" s="2207"/>
    </row>
    <row r="16" spans="1:19" s="325" customFormat="1">
      <c r="A16" s="1433">
        <v>5582</v>
      </c>
      <c r="B16" s="2208" t="s">
        <v>171</v>
      </c>
      <c r="C16" s="58"/>
      <c r="D16" s="58"/>
      <c r="E16" s="58"/>
      <c r="F16" s="58"/>
      <c r="G16" s="58"/>
      <c r="H16" s="1453">
        <f t="shared" si="0"/>
        <v>0</v>
      </c>
      <c r="I16" s="1454" t="str">
        <f>IF(C16&gt;0,H16*1000/M12,"")</f>
        <v/>
      </c>
      <c r="J16" s="1454"/>
      <c r="K16" s="1613" t="str">
        <f t="shared" si="1"/>
        <v/>
      </c>
      <c r="L16" s="2502" t="str">
        <f>IF(C12=0,"",IF(C16="","Skriv belopp eller 0 i kol. C",IF(AND(C16=0,J16&lt;&gt;0),"se frågan till höger",IF(AND(I16&gt;0,I16&lt;966),"",IF(AND(K16&gt;3%,I16&gt;966),"Kommentera riksavvikelse",IF(AND(K16&lt;-3%,I16&lt;0),"kommentera riksavvikelse",""))))))</f>
        <v/>
      </c>
      <c r="M16" s="3124"/>
      <c r="N16" s="3123"/>
      <c r="O16" s="323"/>
      <c r="P16" s="3119"/>
      <c r="Q16" s="3120"/>
      <c r="R16" s="3121"/>
      <c r="S16" s="2207"/>
    </row>
    <row r="17" spans="1:19" s="325" customFormat="1">
      <c r="A17" s="1433">
        <v>5583</v>
      </c>
      <c r="B17" s="2208" t="s">
        <v>173</v>
      </c>
      <c r="C17" s="58"/>
      <c r="D17" s="58"/>
      <c r="E17" s="58"/>
      <c r="F17" s="58"/>
      <c r="G17" s="58"/>
      <c r="H17" s="1453">
        <f t="shared" si="0"/>
        <v>0</v>
      </c>
      <c r="I17" s="1454" t="str">
        <f>IF(C17&gt;0,H17*1000/M12,"")</f>
        <v/>
      </c>
      <c r="J17" s="1457"/>
      <c r="K17" s="1613" t="str">
        <f t="shared" si="1"/>
        <v/>
      </c>
      <c r="L17" s="2503" t="str">
        <f>IF(C12=0,"",IF(C17="","Skriv belopp eller 0 i kol. C",IF(AND(C17=0,J17&lt;&gt;0),"se frågan till höger",IF(AND(I17&gt;0,I17&lt;692),"",IF(AND(K17&gt;3%,I17&gt;692),"Kommentera riksavvikelse",IF(AND(K17&lt;-3%,I17&lt;0),"kommentera riksavvikelse",""))))))</f>
        <v/>
      </c>
      <c r="M17" s="3124"/>
      <c r="N17" s="3123"/>
      <c r="O17" s="323"/>
      <c r="P17" s="2207"/>
      <c r="Q17" s="2207"/>
      <c r="R17" s="2207"/>
      <c r="S17" s="2207"/>
    </row>
    <row r="18" spans="1:19" s="325" customFormat="1">
      <c r="A18" s="1434">
        <v>558</v>
      </c>
      <c r="B18" s="2209" t="s">
        <v>213</v>
      </c>
      <c r="C18" s="400">
        <f>SUM(C15:C17)</f>
        <v>0</v>
      </c>
      <c r="D18" s="400">
        <f>SUM(D15:D17)</f>
        <v>0</v>
      </c>
      <c r="E18" s="400">
        <f>SUM(E15:E17)</f>
        <v>0</v>
      </c>
      <c r="F18" s="400">
        <f>SUM(F15:F17)</f>
        <v>0</v>
      </c>
      <c r="G18" s="400">
        <f>SUM(G15:G17)</f>
        <v>0</v>
      </c>
      <c r="H18" s="1453">
        <f t="shared" si="0"/>
        <v>0</v>
      </c>
      <c r="I18" s="1454" t="str">
        <f>IF(C18&gt;0,H18*1000/M12,"")</f>
        <v/>
      </c>
      <c r="J18" s="1454"/>
      <c r="K18" s="1613" t="str">
        <f t="shared" si="1"/>
        <v/>
      </c>
      <c r="L18" s="1455" t="str">
        <f>IF(C12=0,"",IF(AND(I18&gt;0,I18&lt;1773),"",IF(AND(K18&gt;3%,I18&gt;1773),"Kommentera riksavvikelse",IF(AND(K18&lt;-3%,I18&lt;0),"kommentera riksavvikelse",""))))</f>
        <v/>
      </c>
      <c r="M18" s="3124"/>
      <c r="N18" s="3123"/>
      <c r="O18" s="323"/>
      <c r="P18" s="2207"/>
      <c r="Q18" s="2207"/>
      <c r="R18" s="2207"/>
      <c r="S18" s="2207"/>
    </row>
    <row r="19" spans="1:19" s="191" customFormat="1">
      <c r="A19" s="1434">
        <v>55999</v>
      </c>
      <c r="B19" s="2209" t="s">
        <v>218</v>
      </c>
      <c r="C19" s="400">
        <f>C13+C14+C15+C16+C17</f>
        <v>0</v>
      </c>
      <c r="D19" s="400">
        <f>D13+D14+D15+D16+D17</f>
        <v>0</v>
      </c>
      <c r="E19" s="400">
        <f>E13+E14+E15+E16+E17</f>
        <v>0</v>
      </c>
      <c r="F19" s="400">
        <f>F13+F14+F15+F16+F17</f>
        <v>0</v>
      </c>
      <c r="G19" s="400">
        <f>G13+G14+G15+G16+G17</f>
        <v>0</v>
      </c>
      <c r="H19" s="1458"/>
      <c r="I19" s="1459"/>
      <c r="J19" s="1459"/>
      <c r="K19" s="1459"/>
      <c r="L19" s="1460"/>
      <c r="M19" s="3125"/>
      <c r="N19" s="3123"/>
      <c r="O19" s="324"/>
      <c r="P19" s="2207"/>
      <c r="Q19" s="2207"/>
      <c r="R19" s="2207"/>
      <c r="S19" s="2207"/>
    </row>
    <row r="20" spans="1:19" s="191" customFormat="1" ht="13.5" thickBot="1">
      <c r="A20" s="1435"/>
      <c r="B20" s="2210" t="s">
        <v>580</v>
      </c>
      <c r="C20" s="401">
        <f>C12-C19</f>
        <v>0</v>
      </c>
      <c r="D20" s="401">
        <f>D12-D19</f>
        <v>0</v>
      </c>
      <c r="E20" s="401">
        <f>E12-E19</f>
        <v>0</v>
      </c>
      <c r="F20" s="401">
        <f>F12-F19</f>
        <v>0</v>
      </c>
      <c r="G20" s="401">
        <f>G12-G19</f>
        <v>0</v>
      </c>
      <c r="H20" s="1461"/>
      <c r="I20" s="1462"/>
      <c r="J20" s="1462"/>
      <c r="K20" s="1462"/>
      <c r="L20" s="1463" t="str">
        <f>IF(OR(C20&gt;10,C20&lt;-10),"Diff Bruttokostnad",IF(OR(D20&gt;10,D20&lt;-10),"Diff Därav personalkostnader",IF(OR(E20&gt;10,E20&lt;-10),"Diff Därav köp av huvudverksamhet",IF(OR(F20&gt;10,F20&lt;-10),"Diff Interna intäkter",IF(OR(G20&gt;10,G20&lt;-10),"Diff Försäljning av verksamhet","")))))</f>
        <v/>
      </c>
      <c r="M20" s="1464"/>
      <c r="N20" s="1456"/>
      <c r="O20" s="324"/>
      <c r="P20" s="2207"/>
      <c r="Q20" s="2207"/>
      <c r="R20" s="2207"/>
      <c r="S20" s="2207"/>
    </row>
    <row r="21" spans="1:19" s="325" customFormat="1">
      <c r="A21" s="1436">
        <v>569</v>
      </c>
      <c r="B21" s="2211" t="s">
        <v>544</v>
      </c>
      <c r="C21" s="2212">
        <f>Drift!P80</f>
        <v>0</v>
      </c>
      <c r="D21" s="2548">
        <f>SUM(Drift!C80:D80)</f>
        <v>0</v>
      </c>
      <c r="E21" s="2212">
        <f>Drift!F80</f>
        <v>0</v>
      </c>
      <c r="F21" s="2212">
        <f>Drift!V80</f>
        <v>0</v>
      </c>
      <c r="G21" s="2213">
        <f>Motpart!Y33+Motpart!Z33</f>
        <v>0</v>
      </c>
      <c r="H21" s="1465">
        <f t="shared" ref="H21:H26" si="2">C21-F21-G21</f>
        <v>0</v>
      </c>
      <c r="I21" s="1454" t="str">
        <f>IF(C21&gt;0,H21*1000/M21,"")</f>
        <v/>
      </c>
      <c r="J21" s="1454"/>
      <c r="K21" s="1614" t="str">
        <f t="shared" ref="K21:K26" si="3">IF(ISERROR((I21-J21)/J21),"",((I21-J21)/J21))</f>
        <v/>
      </c>
      <c r="L21" s="1466" t="str">
        <f>IF(SUM(D22+E22)&gt;C22,"Rad 554: därav-kol. D+E &gt; totalkol.C",IF(SUM(D23+E23)&gt;C23,"Rad 557: därav-kol.D+E &gt; totalkol.C",IF(SUM(D24+E24)&gt;C24,"Rad 5681: därav-kol.D+E &gt; totalkol.C",IF(SUM(D25+E25)&gt;C25,"Rad 5682: därav-kol.D+E &gt; totalkol.C",""))))</f>
        <v/>
      </c>
      <c r="M21" s="1467"/>
      <c r="N21" s="1468" t="s">
        <v>583</v>
      </c>
      <c r="O21" s="323"/>
      <c r="P21" s="2206" t="s">
        <v>604</v>
      </c>
      <c r="Q21" s="2207"/>
      <c r="R21" s="2207"/>
      <c r="S21" s="2207"/>
    </row>
    <row r="22" spans="1:19" s="325" customFormat="1" ht="12.6" customHeight="1">
      <c r="A22" s="1433">
        <v>554</v>
      </c>
      <c r="B22" s="2214" t="s">
        <v>214</v>
      </c>
      <c r="C22" s="58"/>
      <c r="D22" s="58"/>
      <c r="E22" s="2193">
        <f>Motpart!C34</f>
        <v>0</v>
      </c>
      <c r="F22" s="58"/>
      <c r="G22" s="2193">
        <f>Motpart!Y34+Motpart!Z34</f>
        <v>0</v>
      </c>
      <c r="H22" s="1465">
        <f t="shared" si="2"/>
        <v>0</v>
      </c>
      <c r="I22" s="1454" t="str">
        <f>IF(C22&gt;0,H22*1000/M21,"")</f>
        <v/>
      </c>
      <c r="J22" s="1454"/>
      <c r="K22" s="1613" t="str">
        <f t="shared" si="3"/>
        <v/>
      </c>
      <c r="L22" s="1455" t="str">
        <f>IF(C21=0,"",IF(C22="","Skriv belopp eller 0 i kol. C",IF(AND(C22=0,J22&lt;&gt;0),"se frågan till höger",IF(AND(I22&gt;0,I22&lt;6668),"",IF(AND(K22&gt;3%,I22&gt;6668),"Kommentera riksavvikelse",IF(AND(K22&lt;-3%,I22&lt;88),"kommentera riksavvikelse",""))))))</f>
        <v/>
      </c>
      <c r="M22" s="3122" t="str">
        <f>"För minst en delv-ht inom v-het 569 redovisades kostnader föregående år men inte i år. Har kommunen inte verksamheten(-erna)? Lämna förklarande kommentar"</f>
        <v>För minst en delv-ht inom v-het 569 redovisades kostnader föregående år men inte i år. Har kommunen inte verksamheten(-erna)? Lämna förklarande kommentar</v>
      </c>
      <c r="N22" s="3123"/>
      <c r="O22" s="323"/>
      <c r="P22" s="3061"/>
      <c r="Q22" s="3053"/>
      <c r="R22" s="3054"/>
      <c r="S22" s="2207"/>
    </row>
    <row r="23" spans="1:19" s="325" customFormat="1">
      <c r="A23" s="1433">
        <v>557</v>
      </c>
      <c r="B23" s="2214" t="s">
        <v>179</v>
      </c>
      <c r="C23" s="58"/>
      <c r="D23" s="58"/>
      <c r="E23" s="58"/>
      <c r="F23" s="58"/>
      <c r="G23" s="58"/>
      <c r="H23" s="1465">
        <f t="shared" si="2"/>
        <v>0</v>
      </c>
      <c r="I23" s="1454" t="str">
        <f>IF(C23&gt;0,H23*1000/M21,"")</f>
        <v/>
      </c>
      <c r="J23" s="1454"/>
      <c r="K23" s="1613" t="str">
        <f t="shared" si="3"/>
        <v/>
      </c>
      <c r="L23" s="1455" t="str">
        <f>IF(C21=0,"",IF(C23="","Skriv belopp eller 0 i kol. C",IF(AND(C23=0,J23&lt;&gt;0),"se frågan till höger",IF(AND(I23&gt;0,I23&lt;8421),"",IF(AND(K23&gt;3%,I23&gt;8421),"Kommentera riksavvikelse",IF(AND(K23&lt;-3%,I23&lt;286),"kommentera riksavvikelse",""))))))</f>
        <v/>
      </c>
      <c r="M23" s="3124"/>
      <c r="N23" s="3123"/>
      <c r="O23" s="323"/>
      <c r="P23" s="3055"/>
      <c r="Q23" s="3104"/>
      <c r="R23" s="3057"/>
      <c r="S23" s="2207"/>
    </row>
    <row r="24" spans="1:19" s="325" customFormat="1">
      <c r="A24" s="1433">
        <v>5681</v>
      </c>
      <c r="B24" s="2214" t="s">
        <v>171</v>
      </c>
      <c r="C24" s="58"/>
      <c r="D24" s="58"/>
      <c r="E24" s="58"/>
      <c r="F24" s="58"/>
      <c r="G24" s="58"/>
      <c r="H24" s="1465">
        <f t="shared" si="2"/>
        <v>0</v>
      </c>
      <c r="I24" s="1454" t="str">
        <f>IF(C24&gt;0,H24*1000/M21,"")</f>
        <v/>
      </c>
      <c r="J24" s="1454"/>
      <c r="K24" s="1613" t="str">
        <f t="shared" si="3"/>
        <v/>
      </c>
      <c r="L24" s="1455" t="str">
        <f>IF(C21=0,"",IF(C24="","Skriv belopp eller 0 i kol. C",IF(AND(C24=0,J24&lt;&gt;0),"se frågan till höger",IF(AND(I24&gt;0,I24&lt;3258),"",IF(AND(K24&gt;3%,I24&gt;3258),"Kommentera riksavvikelse",IF(AND(K24&lt;-3%,I24&lt;0),"kommentera riksavvikelse",""))))))</f>
        <v/>
      </c>
      <c r="M24" s="3124"/>
      <c r="N24" s="3123"/>
      <c r="O24" s="323"/>
      <c r="P24" s="3055"/>
      <c r="Q24" s="3104"/>
      <c r="R24" s="3057"/>
      <c r="S24" s="2207"/>
    </row>
    <row r="25" spans="1:19" s="325" customFormat="1">
      <c r="A25" s="1433">
        <v>5682</v>
      </c>
      <c r="B25" s="2214" t="s">
        <v>173</v>
      </c>
      <c r="C25" s="58"/>
      <c r="D25" s="58"/>
      <c r="E25" s="58"/>
      <c r="F25" s="58"/>
      <c r="G25" s="59"/>
      <c r="H25" s="1465">
        <f t="shared" si="2"/>
        <v>0</v>
      </c>
      <c r="I25" s="1454" t="str">
        <f>IF(C25&gt;0,H25*1000/M21,"")</f>
        <v/>
      </c>
      <c r="J25" s="1454"/>
      <c r="K25" s="1613" t="str">
        <f t="shared" si="3"/>
        <v/>
      </c>
      <c r="L25" s="1466" t="str">
        <f>IF(C21=0,"",IF(C25="","Skriv belopp eller 0 i kol. C",IF(AND(C25=0,J25&lt;&gt;0),"se frågan till höger",IF(AND(I25&gt;0,I25&lt;3031),"",IF(AND(K25&gt;3%,I25&gt;3031),"Kommentera riksavvikelse",IF(AND(K25&lt;-3%,I25&lt;0),"kommentera riksavvikelse",""))))))</f>
        <v/>
      </c>
      <c r="M25" s="3124"/>
      <c r="N25" s="3123"/>
      <c r="O25" s="323"/>
      <c r="P25" s="3058"/>
      <c r="Q25" s="3059"/>
      <c r="R25" s="3060"/>
      <c r="S25" s="2207"/>
    </row>
    <row r="26" spans="1:19" s="325" customFormat="1">
      <c r="A26" s="1434">
        <v>568</v>
      </c>
      <c r="B26" s="2215" t="s">
        <v>220</v>
      </c>
      <c r="C26" s="400">
        <f>SUM(C24:C25)</f>
        <v>0</v>
      </c>
      <c r="D26" s="400">
        <f>SUM(D24:D25)</f>
        <v>0</v>
      </c>
      <c r="E26" s="400">
        <f>SUM(E24:E25)</f>
        <v>0</v>
      </c>
      <c r="F26" s="400">
        <f>SUM(F24:F25)</f>
        <v>0</v>
      </c>
      <c r="G26" s="400">
        <f>SUM(G24:G25)</f>
        <v>0</v>
      </c>
      <c r="H26" s="1465">
        <f t="shared" si="2"/>
        <v>0</v>
      </c>
      <c r="I26" s="1454" t="str">
        <f>IF(C26&gt;0,H26*1000/M21,"")</f>
        <v/>
      </c>
      <c r="J26" s="1454"/>
      <c r="K26" s="1613" t="str">
        <f t="shared" si="3"/>
        <v/>
      </c>
      <c r="L26" s="1455" t="str">
        <f>IF(C21=0,"",IF(AND(I26&gt;239,I26&lt;4034),"",IF(AND(K26&gt;3%,I26&gt;4034),"Kommentera riksavvikelse",IF(AND(K26&lt;-3%,I26&lt;239),"kommentera riksavvikelse",""))))</f>
        <v/>
      </c>
      <c r="M26" s="3124"/>
      <c r="N26" s="3123"/>
      <c r="O26" s="323"/>
      <c r="P26" s="2207"/>
      <c r="Q26" s="2207"/>
      <c r="R26" s="2207"/>
      <c r="S26" s="2207"/>
    </row>
    <row r="27" spans="1:19" s="325" customFormat="1">
      <c r="A27" s="1434">
        <v>56999</v>
      </c>
      <c r="B27" s="2209" t="s">
        <v>180</v>
      </c>
      <c r="C27" s="400">
        <f>SUM(C22+C23+C24+C25)</f>
        <v>0</v>
      </c>
      <c r="D27" s="400">
        <f>SUM(D22+D23+D24+D25)</f>
        <v>0</v>
      </c>
      <c r="E27" s="400">
        <f>SUM(E22+E23+E24+E25)</f>
        <v>0</v>
      </c>
      <c r="F27" s="400">
        <f>SUM(F22+F23+F24+F25)</f>
        <v>0</v>
      </c>
      <c r="G27" s="400">
        <f>SUM(G22+G23+G24+G25)</f>
        <v>0</v>
      </c>
      <c r="H27" s="1458"/>
      <c r="I27" s="1459"/>
      <c r="J27" s="1459"/>
      <c r="K27" s="1459"/>
      <c r="L27" s="1460"/>
      <c r="M27" s="3124"/>
      <c r="N27" s="3123"/>
      <c r="O27" s="323"/>
      <c r="P27" s="2207"/>
      <c r="Q27" s="2207"/>
      <c r="R27" s="2207"/>
      <c r="S27" s="2207"/>
    </row>
    <row r="28" spans="1:19" s="325" customFormat="1" ht="13.5" thickBot="1">
      <c r="A28" s="1435"/>
      <c r="B28" s="2216" t="s">
        <v>581</v>
      </c>
      <c r="C28" s="401">
        <f>C21-C27</f>
        <v>0</v>
      </c>
      <c r="D28" s="401">
        <f>D21-D27</f>
        <v>0</v>
      </c>
      <c r="E28" s="401">
        <f>E21-E27</f>
        <v>0</v>
      </c>
      <c r="F28" s="401">
        <f>F21-F27</f>
        <v>0</v>
      </c>
      <c r="G28" s="401">
        <f>G21-G27</f>
        <v>0</v>
      </c>
      <c r="H28" s="1461"/>
      <c r="I28" s="1462"/>
      <c r="J28" s="1462"/>
      <c r="K28" s="1462"/>
      <c r="L28" s="1469" t="str">
        <f>IF(OR(C28&gt;10,C28&lt;-10),"Diff Bruttokostnad",IF(OR(D28&gt;10,D28&lt;-10),"Diff därav personalkostnader",IF(OR(E28&gt;10,E28&lt;-10),"Diff Därav köp av huvudverksamhet",IF(OR(F28&gt;10,F28&lt;-10),"Diff Interna intäkter",IF(OR(G28&gt;10,G28&lt;-10),"Diff Försäljning av verksamhet","")))))</f>
        <v/>
      </c>
      <c r="M28" s="3126"/>
      <c r="N28" s="3127"/>
      <c r="O28" s="323"/>
      <c r="P28" s="2207"/>
      <c r="Q28" s="2207"/>
      <c r="R28" s="2207"/>
      <c r="S28" s="2207"/>
    </row>
    <row r="29" spans="1:19" s="325" customFormat="1">
      <c r="A29" s="1433">
        <v>571</v>
      </c>
      <c r="B29" s="2214" t="s">
        <v>181</v>
      </c>
      <c r="C29" s="2212">
        <f>Drift!P81</f>
        <v>0</v>
      </c>
      <c r="D29" s="2548">
        <f>SUM(Drift!C81:D81)</f>
        <v>0</v>
      </c>
      <c r="E29" s="2212">
        <f>Drift!F81</f>
        <v>0</v>
      </c>
      <c r="F29" s="2212">
        <f>Drift!V81</f>
        <v>0</v>
      </c>
      <c r="G29" s="58"/>
      <c r="H29" s="1465">
        <f t="shared" ref="H29:H34" si="4">C29-F29-G29</f>
        <v>0</v>
      </c>
      <c r="I29" s="1454" t="str">
        <f>IF(C29&gt;0,H29*1000/M12,"")</f>
        <v/>
      </c>
      <c r="J29" s="1454"/>
      <c r="K29" s="1614" t="str">
        <f t="shared" ref="K29:K34" si="5">IF(ISERROR((I29-J29)/J29),"",((I29-J29)/J29))</f>
        <v/>
      </c>
      <c r="L29" s="1466" t="str">
        <f>IF(C29=0,"Belopp saknas",IF(G29&gt;Drift!T81,"Förs.av vhet kan inte vara större än ext. Int. i Driften för rad 571",""))</f>
        <v>Belopp saknas</v>
      </c>
      <c r="M29" s="1470"/>
      <c r="N29" s="2742"/>
      <c r="O29" s="323"/>
      <c r="P29" s="2206" t="s">
        <v>605</v>
      </c>
      <c r="Q29" s="2207"/>
      <c r="R29" s="2207"/>
      <c r="S29" s="2207"/>
    </row>
    <row r="30" spans="1:19" s="325" customFormat="1">
      <c r="A30" s="1433">
        <v>575</v>
      </c>
      <c r="B30" s="2214" t="s">
        <v>114</v>
      </c>
      <c r="C30" s="2193">
        <f>Drift!P82</f>
        <v>0</v>
      </c>
      <c r="D30" s="2549">
        <f>SUM(Drift!C82:D82)</f>
        <v>0</v>
      </c>
      <c r="E30" s="2193">
        <f>Drift!F82</f>
        <v>0</v>
      </c>
      <c r="F30" s="2193">
        <f>Drift!V82</f>
        <v>0</v>
      </c>
      <c r="G30" s="58"/>
      <c r="H30" s="1465">
        <f t="shared" si="4"/>
        <v>0</v>
      </c>
      <c r="I30" s="1454" t="str">
        <f>IF(C30&gt;0,H30*1000/M30,"")</f>
        <v/>
      </c>
      <c r="J30" s="1454"/>
      <c r="K30" s="1613" t="str">
        <f t="shared" si="5"/>
        <v/>
      </c>
      <c r="L30" s="1455" t="str">
        <f>IF(C30=0,"Belopp saknas",IF(G30&gt;Drift!T82,"Förs.av vhet kan inte vara större än ext.int.i Driften för rad 575",IF(AND(I30&gt;366,I30&lt;2242),"",IF(AND(K30&gt;3%,I30&gt;2242),"Kommentera riksavvikelse",IF(AND(K30&lt;-3%,I30&lt;366),"kommentera riksavvikelse","")))))</f>
        <v>Belopp saknas</v>
      </c>
      <c r="M30" s="1471"/>
      <c r="N30" s="1472" t="s">
        <v>584</v>
      </c>
      <c r="O30" s="323"/>
      <c r="P30" s="2919"/>
      <c r="Q30" s="3053"/>
      <c r="R30" s="3054"/>
      <c r="S30" s="2207"/>
    </row>
    <row r="31" spans="1:19" s="325" customFormat="1" ht="13.5" thickBot="1">
      <c r="A31" s="1437">
        <v>580</v>
      </c>
      <c r="B31" s="2217" t="s">
        <v>185</v>
      </c>
      <c r="C31" s="89">
        <f>C12+C21+C29+C30</f>
        <v>0</v>
      </c>
      <c r="D31" s="89">
        <f>D12+D21+D29+D30</f>
        <v>0</v>
      </c>
      <c r="E31" s="89">
        <f>E12+E21+E29+E30</f>
        <v>0</v>
      </c>
      <c r="F31" s="89">
        <f>F12+F21+F29+F30</f>
        <v>0</v>
      </c>
      <c r="G31" s="89">
        <f>G12+G21+G29+G30</f>
        <v>0</v>
      </c>
      <c r="H31" s="1473">
        <f t="shared" si="4"/>
        <v>0</v>
      </c>
      <c r="I31" s="1474" t="str">
        <f>IF(C31&gt;0,H31*1000/M30,"")</f>
        <v/>
      </c>
      <c r="J31" s="1474"/>
      <c r="K31" s="1615" t="str">
        <f t="shared" si="5"/>
        <v/>
      </c>
      <c r="L31" s="1475"/>
      <c r="M31" s="1476"/>
      <c r="N31" s="1477"/>
      <c r="O31" s="323"/>
      <c r="P31" s="3058"/>
      <c r="Q31" s="3059"/>
      <c r="R31" s="3060"/>
      <c r="S31" s="2207"/>
    </row>
    <row r="32" spans="1:19" s="325" customFormat="1">
      <c r="A32" s="1434">
        <v>585</v>
      </c>
      <c r="B32" s="2215" t="s">
        <v>545</v>
      </c>
      <c r="C32" s="2193">
        <f>Drift!P84</f>
        <v>0</v>
      </c>
      <c r="D32" s="2549">
        <f>SUM(Drift!C84:D84)</f>
        <v>0</v>
      </c>
      <c r="E32" s="2193">
        <f>Drift!F84</f>
        <v>0</v>
      </c>
      <c r="F32" s="2193">
        <f>Drift!V84</f>
        <v>0</v>
      </c>
      <c r="G32" s="400">
        <f>SUM(G33:G34)</f>
        <v>0</v>
      </c>
      <c r="H32" s="1465">
        <f t="shared" si="4"/>
        <v>0</v>
      </c>
      <c r="I32" s="1454" t="str">
        <f>IF(C32&gt;0,H32*1000/M32,"")</f>
        <v/>
      </c>
      <c r="J32" s="1454"/>
      <c r="K32" s="1614" t="str">
        <f t="shared" si="5"/>
        <v/>
      </c>
      <c r="L32" s="1455" t="str">
        <f>IF(C32=0,"Belopp saknas",IF(G32&gt;Drift!T84,"Förs.av vhet kan inte vara större än ext. Int. i Driften för rad 585",IF(AND(I32&gt;57,I32&lt;1082),"",IF(AND(K32&gt;3%,I32&gt;1082),"Kommentera riksavvikelse",IF(AND(K32&lt;-3%,I32&lt;57),"kommentera riksavvikelse","")))))</f>
        <v>Belopp saknas</v>
      </c>
      <c r="M32" s="1467"/>
      <c r="N32" s="1478" t="s">
        <v>585</v>
      </c>
      <c r="O32" s="323"/>
      <c r="P32" s="2206" t="s">
        <v>606</v>
      </c>
      <c r="Q32" s="2207"/>
      <c r="R32" s="2207"/>
      <c r="S32" s="2207"/>
    </row>
    <row r="33" spans="1:19" s="325" customFormat="1">
      <c r="A33" s="1433">
        <v>5851</v>
      </c>
      <c r="B33" s="2214" t="s">
        <v>182</v>
      </c>
      <c r="C33" s="58"/>
      <c r="D33" s="58"/>
      <c r="E33" s="58"/>
      <c r="F33" s="58"/>
      <c r="G33" s="58"/>
      <c r="H33" s="1465">
        <f t="shared" si="4"/>
        <v>0</v>
      </c>
      <c r="I33" s="1454" t="str">
        <f>IF(C33&gt;0,H33*1000/M33,"")</f>
        <v/>
      </c>
      <c r="J33" s="1454"/>
      <c r="K33" s="1613" t="str">
        <f t="shared" si="5"/>
        <v/>
      </c>
      <c r="L33" s="1455" t="str">
        <f>IF(C32=0,"",IF(C33="","Skriv belopp eller 0 i kol. C",IF(AND(I33&gt;0,I33&lt;701),"",IF(AND(K33&gt;3%,I33&gt;701),"Kommentera riksavvikelse",IF(AND(K33&lt;-3%,I33&lt;0),"kommentera riksavvikelse","")))))</f>
        <v/>
      </c>
      <c r="M33" s="1467">
        <f>M32</f>
        <v>0</v>
      </c>
      <c r="N33" s="1478" t="s">
        <v>585</v>
      </c>
      <c r="O33" s="323"/>
      <c r="P33" s="3061"/>
      <c r="Q33" s="3053"/>
      <c r="R33" s="3054"/>
      <c r="S33" s="2207"/>
    </row>
    <row r="34" spans="1:19" s="325" customFormat="1">
      <c r="A34" s="1433">
        <v>5855</v>
      </c>
      <c r="B34" s="2214" t="s">
        <v>183</v>
      </c>
      <c r="C34" s="58"/>
      <c r="D34" s="58"/>
      <c r="E34" s="58"/>
      <c r="F34" s="58"/>
      <c r="G34" s="58"/>
      <c r="H34" s="1465">
        <f t="shared" si="4"/>
        <v>0</v>
      </c>
      <c r="I34" s="1454" t="str">
        <f>IF(C34&gt;0,H34*1000/M34,"")</f>
        <v/>
      </c>
      <c r="J34" s="1454"/>
      <c r="K34" s="1613" t="str">
        <f t="shared" si="5"/>
        <v/>
      </c>
      <c r="L34" s="1455" t="str">
        <f>IF(C32=0,"",IF(C34="","Skriv belopp elle 0 i kol. C",IF(AND(I34&gt;0,I34&lt;220),"",IF(AND(K34&gt;3%,I34&gt;220),"Kommentera riksavvikelse",IF(AND(K34&lt;-3%,I34&lt;0),"kommentera riksavvikelse","")))))</f>
        <v/>
      </c>
      <c r="M34" s="1467"/>
      <c r="N34" s="1478" t="s">
        <v>586</v>
      </c>
      <c r="O34" s="323"/>
      <c r="P34" s="3055"/>
      <c r="Q34" s="3104"/>
      <c r="R34" s="3057"/>
      <c r="S34" s="2207"/>
    </row>
    <row r="35" spans="1:19" s="325" customFormat="1" ht="15" customHeight="1">
      <c r="A35" s="1438">
        <v>58599</v>
      </c>
      <c r="B35" s="2218" t="s">
        <v>582</v>
      </c>
      <c r="C35" s="400">
        <f>SUM(C33:C34)</f>
        <v>0</v>
      </c>
      <c r="D35" s="400">
        <f>SUM(D33:D34)</f>
        <v>0</v>
      </c>
      <c r="E35" s="400">
        <f>SUM(E33:E34)</f>
        <v>0</v>
      </c>
      <c r="F35" s="400">
        <f>SUM(F33:F34)</f>
        <v>0</v>
      </c>
      <c r="G35" s="400">
        <f>SUM(G33:G34)</f>
        <v>0</v>
      </c>
      <c r="H35" s="1479"/>
      <c r="I35" s="1480"/>
      <c r="J35" s="1480"/>
      <c r="K35" s="1613"/>
      <c r="L35" s="2368" t="str">
        <f>IF(SUM(D33+E33)&gt;C33,"Kol.D+E därav &gt; total, rad 5851",IF(SUM(D34+E34)&gt;C34,"Kol.D+E därav &gt; total, rad 5855",""))</f>
        <v/>
      </c>
      <c r="M35" s="2437"/>
      <c r="N35" s="2438"/>
      <c r="O35" s="323"/>
      <c r="P35" s="3055"/>
      <c r="Q35" s="3104"/>
      <c r="R35" s="3057"/>
      <c r="S35" s="191"/>
    </row>
    <row r="36" spans="1:19" s="325" customFormat="1" ht="15" customHeight="1" thickBot="1">
      <c r="A36" s="1280"/>
      <c r="B36" s="2216" t="s">
        <v>184</v>
      </c>
      <c r="C36" s="401">
        <f>C32-C35</f>
        <v>0</v>
      </c>
      <c r="D36" s="401">
        <f>D32-D35</f>
        <v>0</v>
      </c>
      <c r="E36" s="401">
        <f>E32-E35</f>
        <v>0</v>
      </c>
      <c r="F36" s="401">
        <f>F32-F35</f>
        <v>0</v>
      </c>
      <c r="G36" s="401">
        <f>G32-G35</f>
        <v>0</v>
      </c>
      <c r="H36" s="1481"/>
      <c r="I36" s="1482"/>
      <c r="J36" s="1482"/>
      <c r="K36" s="1615"/>
      <c r="L36" s="1483" t="str">
        <f>IF(OR(C36&gt;10,C36&lt;-10),"Diff Bruttokostnad",IF(OR(D36&gt;10,D36&lt;-10),"Diff Därav personalkostnader",IF(OR(E36&gt;10,E36&lt;-10),"Diff Därav köp av huvudverksamhet",IF(OR(F36&gt;10,F36&lt;-10),"Diff Interna intäkter",""))))</f>
        <v/>
      </c>
      <c r="M36" s="2439"/>
      <c r="N36" s="2440"/>
      <c r="O36" s="323"/>
      <c r="P36" s="3058"/>
      <c r="Q36" s="3059"/>
      <c r="R36" s="3060"/>
      <c r="S36" s="191"/>
    </row>
    <row r="37" spans="1:19" s="325" customFormat="1" ht="16.5" customHeight="1">
      <c r="A37" s="2219"/>
      <c r="B37" s="2219"/>
      <c r="C37" s="81"/>
      <c r="D37" s="81"/>
      <c r="E37" s="81"/>
      <c r="F37" s="1565"/>
      <c r="G37" s="2500" t="str">
        <f>IF(ABS(SUM(G29:G30,G32)-(SUM(Motpart!Y35:Z35)))&gt;20,ROUND(SUM(G29:G30,G32)-SUM(Motpart!Y35:Z35),0)&amp; " tkr differens försäljning av verksamhet rad 571+575+585 mot belopp i Motpartsfliken rad 580 kol Y+Z","")</f>
        <v/>
      </c>
      <c r="H37" s="323"/>
      <c r="I37" s="2220"/>
      <c r="J37" s="2220"/>
      <c r="K37" s="2220"/>
      <c r="L37" s="323"/>
      <c r="M37" s="323"/>
      <c r="N37" s="323"/>
      <c r="O37" s="323"/>
    </row>
    <row r="38" spans="1:19" ht="20.25" customHeight="1">
      <c r="A38" s="1525"/>
      <c r="D38" s="81"/>
      <c r="E38" s="81"/>
    </row>
  </sheetData>
  <customSheetViews>
    <customSheetView guid="{97D6DB71-3F4C-4C5F-8C5B-51E3EBF78932}" showPageBreaks="1" showGridLines="0" hiddenRows="1" hiddenColumns="1">
      <selection activeCell="H34" sqref="H34"/>
      <pageMargins left="0.31496062992125984" right="0.31496062992125984" top="0.74803149606299213" bottom="0.74803149606299213" header="0.31496062992125984" footer="0.31496062992125984"/>
      <pageSetup paperSize="9" scale="85" orientation="landscape" r:id="rId1"/>
      <headerFooter>
        <oddHeader>&amp;L&amp;8Statistiska Centralbyrån
Offentlig ekonomi&amp;R&amp;P</oddHeader>
      </headerFooter>
    </customSheetView>
    <customSheetView guid="{99FBDEB7-DD08-4F57-81F4-3C180403E153}" showGridLines="0" hiddenRows="1" hiddenColumns="1">
      <selection activeCell="H34" sqref="H34"/>
      <pageMargins left="0.31496062992125984" right="0.31496062992125984" top="0.74803149606299213" bottom="0.74803149606299213" header="0.31496062992125984" footer="0.31496062992125984"/>
      <pageSetup paperSize="9" scale="85" orientation="landscape" r:id="rId2"/>
      <headerFooter>
        <oddHeader>&amp;L&amp;8Statistiska Centralbyrån
Offentlig ekonomi&amp;R&amp;P</oddHeader>
      </headerFooter>
    </customSheetView>
    <customSheetView guid="{27C9E95B-0E2B-454F-B637-1CECC9579A10}" showGridLines="0" hiddenRows="1" hiddenColumns="1" showRuler="0">
      <selection activeCell="E12" sqref="E12"/>
      <pageMargins left="0.31496062992125984" right="0.31496062992125984" top="0.74803149606299213" bottom="0.74803149606299213" header="0.31496062992125984" footer="0.31496062992125984"/>
      <pageSetup paperSize="9" scale="85" orientation="landscape" r:id="rId3"/>
      <headerFooter alignWithMargins="0">
        <oddHeader>&amp;L&amp;8Statistiska Centralbyrån
Offentlig ekonomi&amp;R&amp;P</oddHeader>
      </headerFooter>
    </customSheetView>
  </customSheetViews>
  <mergeCells count="13">
    <mergeCell ref="P33:R36"/>
    <mergeCell ref="L6:L10"/>
    <mergeCell ref="D6:D8"/>
    <mergeCell ref="E6:E8"/>
    <mergeCell ref="F6:F8"/>
    <mergeCell ref="G6:G8"/>
    <mergeCell ref="K4:K6"/>
    <mergeCell ref="D9:D11"/>
    <mergeCell ref="P13:R16"/>
    <mergeCell ref="P22:R25"/>
    <mergeCell ref="P30:R31"/>
    <mergeCell ref="M13:N19"/>
    <mergeCell ref="M22:N28"/>
  </mergeCells>
  <phoneticPr fontId="95" type="noConversion"/>
  <conditionalFormatting sqref="G29:G30 C14:G17 C23:G25 C33:G34 C13:D13 F13 C22:D22 F22">
    <cfRule type="cellIs" dxfId="14" priority="34" stopIfTrue="1" operator="lessThan">
      <formula>-500</formula>
    </cfRule>
    <cfRule type="cellIs" dxfId="13" priority="35" stopIfTrue="1" operator="lessThan">
      <formula>0</formula>
    </cfRule>
  </conditionalFormatting>
  <conditionalFormatting sqref="B20 B28 B36">
    <cfRule type="expression" dxfId="12" priority="118" stopIfTrue="1">
      <formula>OR(G20&gt;10,G20&lt;-10)</formula>
    </cfRule>
    <cfRule type="expression" dxfId="11" priority="119" stopIfTrue="1">
      <formula>OR(F20&gt;10,F20&lt;-10)</formula>
    </cfRule>
    <cfRule type="expression" dxfId="10" priority="120" stopIfTrue="1">
      <formula>OR(C20&gt;10,C20&lt;-10)</formula>
    </cfRule>
  </conditionalFormatting>
  <conditionalFormatting sqref="M13:N19">
    <cfRule type="expression" dxfId="9" priority="7">
      <formula>IF(C12=0,"",IF(C17&gt;1,"",IF(H17=0,J17&lt;&gt;0)))</formula>
    </cfRule>
    <cfRule type="expression" dxfId="8" priority="8">
      <formula>IF(C12=0,"",IF(C16&gt;1,"",IF(H16=0,J16&lt;&gt;0)))</formula>
    </cfRule>
    <cfRule type="expression" dxfId="7" priority="9">
      <formula>IF(C12=0,"",IF(C15&gt;1,"",IF(H15=0,J15&lt;&gt;0)))</formula>
    </cfRule>
    <cfRule type="expression" dxfId="6" priority="10">
      <formula>IF(C12=0,"",IF(C14&gt;1,"",IF(H14=0,J14&lt;&gt;0)))</formula>
    </cfRule>
    <cfRule type="expression" dxfId="5" priority="11">
      <formula>IF(C12=0,"",IF(C13&gt;1,"",IF(H13=0,J13&lt;&gt;0)))</formula>
    </cfRule>
  </conditionalFormatting>
  <conditionalFormatting sqref="M22:N28">
    <cfRule type="expression" dxfId="4" priority="1">
      <formula>IF(C21=0,"",IF(C26&gt;1,"",IF(H26=0,J26&lt;&gt;0)))</formula>
    </cfRule>
    <cfRule type="expression" dxfId="3" priority="2">
      <formula>IF(C21=0,"",IF(C25&gt;1,"",IF(H25=0,J25&lt;&gt;0)))</formula>
    </cfRule>
    <cfRule type="expression" dxfId="2" priority="3">
      <formula>IF(C21=0,"",IF(C24&gt;1,"",IF(H24=0,J24&lt;&gt;0)))</formula>
    </cfRule>
    <cfRule type="expression" dxfId="1" priority="4">
      <formula>IF(C21=0,"",IF(C23&gt;1,"",IF(H23=0,J23&lt;&gt;0)))</formula>
    </cfRule>
    <cfRule type="expression" dxfId="0" priority="5">
      <formula>IF(C21=0,"",IF(C22&gt;1,"",IF(H22=0,J22&lt;&gt;0)))</formula>
    </cfRule>
  </conditionalFormatting>
  <dataValidations count="1">
    <dataValidation type="decimal" operator="lessThan" allowBlank="1" showInputMessage="1" showErrorMessage="1" error="Beloppet ska vara i 1000 tal kronor" sqref="G14:G17 G23:G25 G29:G30 C33:G34 E14:E17 C13:D17 F13:F17 C22:D25 F22:F25 E23:E25" xr:uid="{00000000-0002-0000-0A00-000000000000}">
      <formula1>99999999</formula1>
    </dataValidation>
  </dataValidations>
  <pageMargins left="0.31496062992125984" right="0.31496062992125984" top="0.74803149606299213" bottom="0.74803149606299213" header="0.31496062992125984" footer="0.31496062992125984"/>
  <pageSetup paperSize="9" scale="79" orientation="landscape" r:id="rId4"/>
  <headerFooter>
    <oddHeader>&amp;L&amp;8Statistiska Centralbyrån
Offentlig ekonomi&amp;R&amp;P</oddHeader>
  </headerFooter>
  <ignoredErrors>
    <ignoredError sqref="G32 F35:G35 C35" unlockedFormula="1"/>
    <ignoredError sqref="I31" formula="1"/>
  </ignoredErrors>
  <drawing r:id="rId5"/>
  <legacy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4">
    <tabColor rgb="FFFFFF00"/>
  </sheetPr>
  <dimension ref="A1:G461"/>
  <sheetViews>
    <sheetView showGridLines="0" topLeftCell="A73" zoomScaleNormal="100" workbookViewId="0">
      <selection activeCell="E8" sqref="E8"/>
    </sheetView>
  </sheetViews>
  <sheetFormatPr defaultColWidth="0" defaultRowHeight="12.75" zeroHeight="1"/>
  <cols>
    <col min="1" max="1" width="34.5703125" customWidth="1"/>
    <col min="2" max="2" width="11.42578125" customWidth="1"/>
    <col min="3" max="3" width="12.42578125" customWidth="1"/>
    <col min="4" max="4" width="12.5703125" customWidth="1"/>
    <col min="5" max="5" width="17.5703125" customWidth="1"/>
    <col min="6" max="6" width="27.5703125" style="656" customWidth="1"/>
    <col min="7" max="7" width="20.5703125" hidden="1" customWidth="1"/>
  </cols>
  <sheetData>
    <row r="1" spans="1:7" ht="27.75" customHeight="1">
      <c r="A1" s="3128" t="s">
        <v>1537</v>
      </c>
      <c r="B1" s="3129"/>
      <c r="C1" s="3129"/>
      <c r="D1" s="3129"/>
      <c r="E1" s="3129"/>
      <c r="F1" s="3129"/>
    </row>
    <row r="2" spans="1:7" ht="35.25" customHeight="1">
      <c r="A2" s="2450" t="s">
        <v>1000</v>
      </c>
      <c r="B2" s="1520"/>
      <c r="C2" s="1520"/>
      <c r="D2" s="1520"/>
      <c r="E2" s="1520"/>
      <c r="F2" s="1520"/>
      <c r="G2" s="4"/>
    </row>
    <row r="3" spans="1:7">
      <c r="A3" s="336" t="s">
        <v>1646</v>
      </c>
      <c r="B3" s="337"/>
      <c r="C3" s="338"/>
      <c r="D3" s="339"/>
      <c r="E3" s="340"/>
      <c r="F3" s="658"/>
      <c r="G3" s="404"/>
    </row>
    <row r="4" spans="1:7">
      <c r="A4" s="340" t="s">
        <v>566</v>
      </c>
      <c r="B4" s="339"/>
      <c r="C4" s="338"/>
      <c r="D4" s="339"/>
      <c r="E4" s="340" t="s">
        <v>572</v>
      </c>
      <c r="F4" s="658"/>
      <c r="G4" s="404"/>
    </row>
    <row r="5" spans="1:7">
      <c r="A5" s="342" t="s">
        <v>386</v>
      </c>
      <c r="B5" s="344">
        <f>Drift!C113</f>
        <v>0</v>
      </c>
      <c r="C5" s="376" t="s">
        <v>569</v>
      </c>
      <c r="D5" s="2401">
        <f>'Verks int o kostn'!D45</f>
        <v>0</v>
      </c>
      <c r="E5" s="342" t="s">
        <v>567</v>
      </c>
      <c r="F5" s="659"/>
      <c r="G5" s="404"/>
    </row>
    <row r="6" spans="1:7">
      <c r="A6" s="342" t="s">
        <v>1634</v>
      </c>
      <c r="B6" s="344">
        <f>Drift!P118</f>
        <v>0</v>
      </c>
      <c r="C6" s="376"/>
      <c r="D6" s="2401">
        <f>'Verks int o kostn'!D46</f>
        <v>0</v>
      </c>
      <c r="E6" s="342" t="s">
        <v>1635</v>
      </c>
      <c r="F6" s="659"/>
      <c r="G6" s="404"/>
    </row>
    <row r="7" spans="1:7">
      <c r="A7" s="342" t="s">
        <v>1636</v>
      </c>
      <c r="B7" s="344">
        <f>Drift!P119</f>
        <v>0</v>
      </c>
      <c r="C7" s="376"/>
      <c r="D7" s="2401">
        <f>'Verks int o kostn'!D47</f>
        <v>0</v>
      </c>
      <c r="E7" s="342" t="s">
        <v>1632</v>
      </c>
      <c r="F7" s="659"/>
      <c r="G7" s="404"/>
    </row>
    <row r="8" spans="1:7">
      <c r="A8" s="342"/>
      <c r="B8" s="344"/>
      <c r="C8" s="376"/>
      <c r="D8" s="2401">
        <f>'Verks int o kostn'!D48</f>
        <v>0</v>
      </c>
      <c r="E8" s="342" t="s">
        <v>1637</v>
      </c>
      <c r="F8" s="659"/>
      <c r="G8" s="404"/>
    </row>
    <row r="9" spans="1:7">
      <c r="A9" s="342"/>
      <c r="B9" s="344"/>
      <c r="C9" s="376"/>
      <c r="D9" s="2401">
        <f>'Verks int o kostn'!D49</f>
        <v>5</v>
      </c>
      <c r="E9" s="342" t="s">
        <v>1638</v>
      </c>
      <c r="F9" s="659"/>
      <c r="G9" s="404"/>
    </row>
    <row r="10" spans="1:7">
      <c r="A10" s="342"/>
      <c r="B10" s="344"/>
      <c r="C10" s="376"/>
      <c r="D10" s="2401">
        <f>'Verks int o kostn'!D50</f>
        <v>0</v>
      </c>
      <c r="E10" s="342" t="s">
        <v>1639</v>
      </c>
      <c r="F10" s="659"/>
      <c r="G10" s="404"/>
    </row>
    <row r="11" spans="1:7">
      <c r="A11" s="342"/>
      <c r="B11" s="344"/>
      <c r="C11" s="376"/>
      <c r="D11" s="2401">
        <f>'Verks int o kostn'!D51</f>
        <v>0</v>
      </c>
      <c r="E11" s="342" t="s">
        <v>1641</v>
      </c>
      <c r="F11" s="659"/>
      <c r="G11" s="404"/>
    </row>
    <row r="12" spans="1:7">
      <c r="A12" s="342"/>
      <c r="B12" s="344"/>
      <c r="C12" s="376"/>
      <c r="D12" s="2401">
        <f>'Verks int o kostn'!D52</f>
        <v>0</v>
      </c>
      <c r="E12" s="342" t="s">
        <v>1640</v>
      </c>
      <c r="F12" s="659"/>
      <c r="G12" s="404"/>
    </row>
    <row r="13" spans="1:7">
      <c r="A13" s="665"/>
      <c r="B13" s="2609">
        <f>SUM(B5:B7)</f>
        <v>0</v>
      </c>
      <c r="C13" s="345"/>
      <c r="D13" s="2609">
        <f>SUM(D5:D12)</f>
        <v>5</v>
      </c>
      <c r="E13" s="346" t="str">
        <f>IF((F14&lt;&gt;"Kontrollera differensen"),"","Differens:")</f>
        <v>Differens:</v>
      </c>
      <c r="G13" s="404"/>
    </row>
    <row r="14" spans="1:7">
      <c r="A14" s="343" t="s">
        <v>625</v>
      </c>
      <c r="B14" s="344"/>
      <c r="C14" s="345"/>
      <c r="D14" s="344"/>
      <c r="E14" s="346">
        <f>IF((F14&lt;&gt;"Kontrollera differensen"),"",(B13-D13))</f>
        <v>-5</v>
      </c>
      <c r="F14" s="660" t="str">
        <f>IF(AND(B13=0,D13=0),"",IF(OR(B13=0,D13=0),"Kontrollera differensen",IF(OR(AND(ABS((B13-D13)/D13)&gt;5%),ABS(B13-D13)&gt;100),"Kontrollera differensen","")))</f>
        <v>Kontrollera differensen</v>
      </c>
      <c r="G14" s="404"/>
    </row>
    <row r="15" spans="1:7">
      <c r="A15" s="3130"/>
      <c r="B15" s="3131"/>
      <c r="C15" s="3131"/>
      <c r="D15" s="3131"/>
      <c r="E15" s="3132"/>
      <c r="F15" s="661"/>
      <c r="G15" s="404"/>
    </row>
    <row r="16" spans="1:7">
      <c r="A16" s="3055"/>
      <c r="B16" s="3104"/>
      <c r="C16" s="3104"/>
      <c r="D16" s="3104"/>
      <c r="E16" s="3057"/>
      <c r="F16" s="661"/>
      <c r="G16" s="404"/>
    </row>
    <row r="17" spans="1:7">
      <c r="A17" s="3133"/>
      <c r="B17" s="3134"/>
      <c r="C17" s="3134"/>
      <c r="D17" s="3134"/>
      <c r="E17" s="3135"/>
      <c r="F17" s="661"/>
      <c r="G17" s="404"/>
    </row>
    <row r="18" spans="1:7">
      <c r="A18" s="362" t="s">
        <v>1633</v>
      </c>
      <c r="B18" s="363"/>
      <c r="C18" s="364"/>
      <c r="D18" s="365"/>
      <c r="E18" s="366"/>
      <c r="F18" s="661"/>
      <c r="G18" s="404"/>
    </row>
    <row r="19" spans="1:7">
      <c r="A19" s="340" t="s">
        <v>566</v>
      </c>
      <c r="B19" s="339"/>
      <c r="C19" s="338"/>
      <c r="D19" s="339"/>
      <c r="E19" s="340" t="s">
        <v>573</v>
      </c>
      <c r="F19" s="661"/>
      <c r="G19" s="404"/>
    </row>
    <row r="20" spans="1:7">
      <c r="A20" s="342" t="s">
        <v>387</v>
      </c>
      <c r="B20" s="344">
        <f>Drift!E113</f>
        <v>0</v>
      </c>
      <c r="C20" s="349"/>
      <c r="D20" s="344">
        <f>'Verks int o kostn'!D58</f>
        <v>0</v>
      </c>
      <c r="E20" s="342" t="s">
        <v>574</v>
      </c>
      <c r="F20" s="661"/>
      <c r="G20" s="404"/>
    </row>
    <row r="21" spans="1:7" ht="15" customHeight="1">
      <c r="A21" s="342"/>
      <c r="B21" s="348"/>
      <c r="C21" s="349"/>
      <c r="D21" s="350">
        <f>'Verks int o kostn'!D59</f>
        <v>0</v>
      </c>
      <c r="E21" s="1711" t="s">
        <v>1096</v>
      </c>
      <c r="F21" s="659"/>
      <c r="G21" s="341"/>
    </row>
    <row r="22" spans="1:7" ht="15" customHeight="1">
      <c r="A22" s="342"/>
      <c r="B22" s="348"/>
      <c r="C22" s="349"/>
      <c r="D22" s="403"/>
      <c r="E22" s="1711"/>
      <c r="F22" s="659"/>
      <c r="G22" s="341"/>
    </row>
    <row r="23" spans="1:7" ht="15" customHeight="1">
      <c r="A23" s="343"/>
      <c r="B23" s="378"/>
      <c r="C23" s="345" t="s">
        <v>569</v>
      </c>
      <c r="D23" s="2092">
        <f>-'Verks int o kostn'!I58</f>
        <v>0</v>
      </c>
      <c r="E23" s="1711" t="s">
        <v>1347</v>
      </c>
      <c r="G23" s="347">
        <v>11</v>
      </c>
    </row>
    <row r="24" spans="1:7">
      <c r="A24" s="343"/>
      <c r="B24" s="402">
        <f>SUM(B20:B22)</f>
        <v>0</v>
      </c>
      <c r="C24" s="345"/>
      <c r="D24" s="358">
        <f>SUM(D20:D23)</f>
        <v>0</v>
      </c>
      <c r="E24" s="346" t="str">
        <f>IF((F25&lt;&gt;"Kontrollera differensen"),"","Differens:")</f>
        <v/>
      </c>
      <c r="G24" s="347">
        <v>21</v>
      </c>
    </row>
    <row r="25" spans="1:7">
      <c r="A25" s="343" t="s">
        <v>625</v>
      </c>
      <c r="B25" s="344"/>
      <c r="C25" s="345"/>
      <c r="D25" s="344"/>
      <c r="E25" s="346" t="str">
        <f>IF((F25&lt;&gt;"Kontrollera differensen"),"",(B24-D24))</f>
        <v/>
      </c>
      <c r="F25" s="660" t="str">
        <f>IF(AND(B24=0,D24=0),"",IF(OR(B24=0,D24=0),"Kontrollera differensen",IF(OR(AND(ABS((B24-D24)/D24)&gt;5%),ABS(B24-D24)&gt;100),"Kontrollera differensen","")))</f>
        <v/>
      </c>
      <c r="G25" s="347"/>
    </row>
    <row r="26" spans="1:7">
      <c r="A26" s="3130"/>
      <c r="B26" s="3131"/>
      <c r="C26" s="3131"/>
      <c r="D26" s="3131"/>
      <c r="E26" s="3132"/>
      <c r="F26" s="659"/>
      <c r="G26" s="347"/>
    </row>
    <row r="27" spans="1:7">
      <c r="A27" s="3055"/>
      <c r="B27" s="3104"/>
      <c r="C27" s="3104"/>
      <c r="D27" s="3104"/>
      <c r="E27" s="3057"/>
      <c r="F27" s="659"/>
      <c r="G27" s="347"/>
    </row>
    <row r="28" spans="1:7">
      <c r="A28" s="3133"/>
      <c r="B28" s="3134"/>
      <c r="C28" s="3134"/>
      <c r="D28" s="3134"/>
      <c r="E28" s="3135"/>
      <c r="F28" s="659"/>
      <c r="G28" s="347"/>
    </row>
    <row r="29" spans="1:7">
      <c r="A29" s="377" t="s">
        <v>416</v>
      </c>
      <c r="B29" s="363"/>
      <c r="C29" s="364"/>
      <c r="D29" s="365"/>
      <c r="E29" s="366"/>
      <c r="F29" s="657"/>
      <c r="G29" s="367"/>
    </row>
    <row r="30" spans="1:7">
      <c r="A30" s="340" t="s">
        <v>566</v>
      </c>
      <c r="B30" s="339"/>
      <c r="C30" s="338"/>
      <c r="D30" s="339"/>
      <c r="E30" s="340" t="s">
        <v>573</v>
      </c>
      <c r="F30" s="658"/>
      <c r="G30" s="341"/>
    </row>
    <row r="31" spans="1:7">
      <c r="A31" s="342" t="s">
        <v>1041</v>
      </c>
      <c r="B31" s="344">
        <f>Drift!F113</f>
        <v>0</v>
      </c>
      <c r="C31" s="345" t="s">
        <v>569</v>
      </c>
      <c r="D31" s="358">
        <f>'Verks int o kostn'!D60</f>
        <v>0</v>
      </c>
      <c r="E31" s="342" t="s">
        <v>1042</v>
      </c>
      <c r="F31" s="659"/>
      <c r="G31" s="341"/>
    </row>
    <row r="32" spans="1:7">
      <c r="A32" s="343"/>
      <c r="B32" s="4"/>
      <c r="C32" s="4"/>
      <c r="D32" s="4"/>
      <c r="E32" s="346" t="str">
        <f>IF((F33&lt;&gt;"Kontrollera differensen"),"","Differens:")</f>
        <v/>
      </c>
      <c r="G32" s="347">
        <v>11</v>
      </c>
    </row>
    <row r="33" spans="1:7">
      <c r="A33" s="343" t="s">
        <v>625</v>
      </c>
      <c r="B33" s="344"/>
      <c r="C33" s="345"/>
      <c r="D33" s="344"/>
      <c r="E33" s="346" t="str">
        <f>IF((F33&lt;&gt;"Kontrollera differensen"),"",(B31-D31))</f>
        <v/>
      </c>
      <c r="F33" s="660" t="str">
        <f>IF(AND(B31=0,D31=0),"",IF(OR(B31=0,D31=0),"Kontrollera differensen",IF(OR(AND(ABS((B31-D31)/D31)&gt;5%),ABS(B31-D31)&gt;100),"Kontrollera differensen","")))</f>
        <v/>
      </c>
      <c r="G33" s="347">
        <v>21</v>
      </c>
    </row>
    <row r="34" spans="1:7">
      <c r="A34" s="3130"/>
      <c r="B34" s="3131"/>
      <c r="C34" s="3131"/>
      <c r="D34" s="3131"/>
      <c r="E34" s="3132"/>
      <c r="F34" s="659"/>
      <c r="G34" s="347"/>
    </row>
    <row r="35" spans="1:7">
      <c r="A35" s="3055"/>
      <c r="B35" s="3104"/>
      <c r="C35" s="3104"/>
      <c r="D35" s="3104"/>
      <c r="E35" s="3057"/>
      <c r="F35" s="659"/>
      <c r="G35" s="347"/>
    </row>
    <row r="36" spans="1:7">
      <c r="A36" s="3133"/>
      <c r="B36" s="3134"/>
      <c r="C36" s="3134"/>
      <c r="D36" s="3134"/>
      <c r="E36" s="3135"/>
      <c r="G36" s="4"/>
    </row>
    <row r="37" spans="1:7" ht="18.75" customHeight="1">
      <c r="A37" s="362" t="s">
        <v>1485</v>
      </c>
      <c r="B37" s="363"/>
      <c r="C37" s="364"/>
      <c r="D37" s="365"/>
      <c r="E37" s="366"/>
      <c r="F37" s="657"/>
      <c r="G37" s="367"/>
    </row>
    <row r="38" spans="1:7">
      <c r="A38" s="340" t="s">
        <v>566</v>
      </c>
      <c r="B38" s="339"/>
      <c r="C38" s="338"/>
      <c r="D38" s="339"/>
      <c r="E38" s="340" t="s">
        <v>575</v>
      </c>
      <c r="F38" s="658"/>
      <c r="G38" s="341"/>
    </row>
    <row r="39" spans="1:7">
      <c r="A39" s="342" t="s">
        <v>388</v>
      </c>
      <c r="B39" s="344">
        <f>Drift!G113</f>
        <v>0</v>
      </c>
      <c r="C39" s="349"/>
      <c r="D39" s="344">
        <f>'Verks int o kostn'!D71</f>
        <v>0</v>
      </c>
      <c r="E39" s="342" t="s">
        <v>576</v>
      </c>
      <c r="F39" s="658"/>
      <c r="G39" s="341"/>
    </row>
    <row r="40" spans="1:7">
      <c r="A40" s="342"/>
      <c r="B40" s="348"/>
      <c r="C40" s="349"/>
      <c r="D40" s="344">
        <f>-'Verks int o kostn'!D67</f>
        <v>0</v>
      </c>
      <c r="E40" s="342" t="s">
        <v>379</v>
      </c>
      <c r="F40" s="658"/>
      <c r="G40" s="341"/>
    </row>
    <row r="41" spans="1:7">
      <c r="B41" s="344"/>
      <c r="C41" s="351"/>
      <c r="D41" s="1712">
        <f>-'Verks int o kostn'!D59</f>
        <v>0</v>
      </c>
      <c r="E41" s="1711" t="s">
        <v>1097</v>
      </c>
      <c r="F41" s="660"/>
      <c r="G41" s="341"/>
    </row>
    <row r="42" spans="1:7" ht="3" customHeight="1">
      <c r="A42" s="342"/>
      <c r="B42" s="348"/>
      <c r="C42" s="351"/>
      <c r="D42" s="1712"/>
      <c r="E42" s="1711"/>
      <c r="F42" s="660"/>
      <c r="G42" s="341"/>
    </row>
    <row r="43" spans="1:7">
      <c r="A43" s="342"/>
      <c r="B43" s="348"/>
      <c r="C43" s="351"/>
      <c r="D43" s="1712">
        <f>-'Verks int o kostn'!D60</f>
        <v>0</v>
      </c>
      <c r="E43" s="1711" t="s">
        <v>1043</v>
      </c>
      <c r="F43" s="660"/>
      <c r="G43" s="341"/>
    </row>
    <row r="44" spans="1:7" ht="6.75" customHeight="1">
      <c r="A44" s="342"/>
      <c r="B44" s="348"/>
      <c r="C44" s="351"/>
      <c r="D44" s="1712"/>
      <c r="E44" s="1711"/>
      <c r="F44" s="660"/>
      <c r="G44" s="341"/>
    </row>
    <row r="45" spans="1:7">
      <c r="A45" s="2393"/>
      <c r="B45" s="2394"/>
      <c r="C45" s="2395"/>
      <c r="D45" s="1712">
        <f>-'Verks int o kostn'!I71</f>
        <v>0</v>
      </c>
      <c r="E45" s="1711" t="s">
        <v>1490</v>
      </c>
      <c r="F45" s="660"/>
      <c r="G45" s="341"/>
    </row>
    <row r="46" spans="1:7">
      <c r="A46" s="2396"/>
      <c r="B46" s="2394"/>
      <c r="C46" s="2395"/>
      <c r="D46" s="1712">
        <f>-'Verks int o kostn'!I72</f>
        <v>0</v>
      </c>
      <c r="E46" s="1711" t="s">
        <v>381</v>
      </c>
      <c r="F46" s="660"/>
      <c r="G46" s="341"/>
    </row>
    <row r="47" spans="1:7" ht="12" customHeight="1">
      <c r="A47" s="2396"/>
      <c r="B47" s="2397"/>
      <c r="C47" s="2395"/>
      <c r="D47" s="1712">
        <f>'Verks int o kostn'!D73</f>
        <v>0</v>
      </c>
      <c r="E47" s="1711" t="s">
        <v>1652</v>
      </c>
      <c r="F47" s="660"/>
      <c r="G47" s="341"/>
    </row>
    <row r="48" spans="1:7">
      <c r="A48" s="343"/>
      <c r="B48" s="379"/>
      <c r="C48" s="405"/>
      <c r="D48" s="1713"/>
      <c r="E48" s="662"/>
      <c r="F48" s="662"/>
      <c r="G48" s="347">
        <v>22</v>
      </c>
    </row>
    <row r="49" spans="1:7">
      <c r="A49" s="343"/>
      <c r="B49" s="344">
        <f>SUM(B39:B41)</f>
        <v>0</v>
      </c>
      <c r="C49" s="345" t="s">
        <v>569</v>
      </c>
      <c r="D49" s="344">
        <f>SUM(D39:D47)</f>
        <v>0</v>
      </c>
      <c r="E49" s="346" t="str">
        <f>IF((F50&lt;&gt;"Kontrollera differensen"),"","Differens:")</f>
        <v/>
      </c>
      <c r="G49" s="347"/>
    </row>
    <row r="50" spans="1:7">
      <c r="A50" s="343" t="s">
        <v>625</v>
      </c>
      <c r="B50" s="344"/>
      <c r="C50" s="345"/>
      <c r="D50" s="344"/>
      <c r="E50" s="346" t="str">
        <f>IF((F50&lt;&gt;"Kontrollera differensen"),"",(B49-D49))</f>
        <v/>
      </c>
      <c r="F50" s="660" t="str">
        <f>IF(AND(B49=0,D49=0),"",IF(OR(B49=0,D49=0),"Kontrollera differensen",IF(OR(AND(ABS((B49-D49)/D49)&gt;5%),ABS(B49-D49)&gt;100),"Kontrollera differensen","")))</f>
        <v/>
      </c>
      <c r="G50" s="347"/>
    </row>
    <row r="51" spans="1:7">
      <c r="A51" s="3130"/>
      <c r="B51" s="3131"/>
      <c r="C51" s="3131"/>
      <c r="D51" s="3131"/>
      <c r="E51" s="3132"/>
      <c r="F51" s="2353"/>
      <c r="G51" s="347"/>
    </row>
    <row r="52" spans="1:7">
      <c r="A52" s="3055"/>
      <c r="B52" s="3104"/>
      <c r="C52" s="3104"/>
      <c r="D52" s="3104"/>
      <c r="E52" s="3057"/>
      <c r="F52" s="2353"/>
      <c r="G52" s="347"/>
    </row>
    <row r="53" spans="1:7">
      <c r="A53" s="3133"/>
      <c r="B53" s="3134"/>
      <c r="C53" s="3134"/>
      <c r="D53" s="3134"/>
      <c r="E53" s="3135"/>
      <c r="F53" s="2353"/>
      <c r="G53" s="347"/>
    </row>
    <row r="54" spans="1:7">
      <c r="A54" s="377" t="s">
        <v>417</v>
      </c>
      <c r="B54" s="363"/>
      <c r="C54" s="364"/>
      <c r="D54" s="365"/>
      <c r="E54" s="366"/>
      <c r="F54" s="657"/>
      <c r="G54" s="367"/>
    </row>
    <row r="55" spans="1:7">
      <c r="A55" s="340" t="s">
        <v>566</v>
      </c>
      <c r="B55" s="339"/>
      <c r="C55" s="338"/>
      <c r="D55" s="339"/>
      <c r="E55" s="340" t="s">
        <v>573</v>
      </c>
      <c r="F55" s="660"/>
      <c r="G55" s="341"/>
    </row>
    <row r="56" spans="1:7">
      <c r="A56" s="342" t="s">
        <v>1045</v>
      </c>
      <c r="B56" s="344">
        <f>Drift!H113</f>
        <v>0</v>
      </c>
      <c r="C56" s="345" t="s">
        <v>569</v>
      </c>
      <c r="D56" s="344">
        <f>'Verks int o kostn'!D44</f>
        <v>0</v>
      </c>
      <c r="E56" s="342" t="s">
        <v>1044</v>
      </c>
      <c r="F56" s="659"/>
      <c r="G56" s="341"/>
    </row>
    <row r="57" spans="1:7">
      <c r="A57" s="343"/>
      <c r="B57" s="4"/>
      <c r="C57" s="4"/>
      <c r="D57" s="4"/>
      <c r="E57" s="346" t="str">
        <f>IF((F58&lt;&gt;"Kontrollera differensen"),"","Differens:")</f>
        <v/>
      </c>
      <c r="G57" s="347">
        <v>36</v>
      </c>
    </row>
    <row r="58" spans="1:7">
      <c r="A58" s="343" t="s">
        <v>625</v>
      </c>
      <c r="B58" s="4"/>
      <c r="C58" s="4"/>
      <c r="D58" s="4"/>
      <c r="E58" s="346" t="str">
        <f>IF((F58&lt;&gt;"Kontrollera differensen"),"",(B56-D56))</f>
        <v/>
      </c>
      <c r="F58" s="660" t="str">
        <f>IF(AND(B56=0,D56=0),"",IF(OR(B56=0,D56=0),"Kontrollera differensen",IF(OR(AND(ABS((B56-D56)/D56)&gt;5%),ABS(B56-D56)&gt;100),"Kontrollera differensen","")))</f>
        <v/>
      </c>
      <c r="G58" s="4"/>
    </row>
    <row r="59" spans="1:7">
      <c r="A59" s="3130"/>
      <c r="B59" s="3131"/>
      <c r="C59" s="3131"/>
      <c r="D59" s="3131"/>
      <c r="E59" s="3132"/>
      <c r="G59" s="4"/>
    </row>
    <row r="60" spans="1:7">
      <c r="A60" s="3055"/>
      <c r="B60" s="3104"/>
      <c r="C60" s="3104"/>
      <c r="D60" s="3104"/>
      <c r="E60" s="3057"/>
      <c r="G60" s="4"/>
    </row>
    <row r="61" spans="1:7">
      <c r="A61" s="3133"/>
      <c r="B61" s="3134"/>
      <c r="C61" s="3134"/>
      <c r="D61" s="3134"/>
      <c r="E61" s="3135"/>
      <c r="G61" s="4"/>
    </row>
    <row r="62" spans="1:7">
      <c r="A62" s="362" t="s">
        <v>418</v>
      </c>
      <c r="B62" s="363"/>
      <c r="C62" s="364"/>
      <c r="D62" s="365"/>
      <c r="E62" s="366"/>
      <c r="F62" s="657"/>
      <c r="G62" s="367"/>
    </row>
    <row r="63" spans="1:7">
      <c r="A63" s="340" t="s">
        <v>566</v>
      </c>
      <c r="B63" s="339"/>
      <c r="C63" s="338"/>
      <c r="D63" s="339"/>
      <c r="E63" s="340" t="s">
        <v>573</v>
      </c>
      <c r="F63" s="660"/>
      <c r="G63" s="341"/>
    </row>
    <row r="64" spans="1:7">
      <c r="A64" s="342" t="s">
        <v>389</v>
      </c>
      <c r="B64" s="344">
        <f>Drift!I113</f>
        <v>0</v>
      </c>
      <c r="C64" s="345" t="s">
        <v>569</v>
      </c>
      <c r="D64" s="344">
        <f>'Verks int o kostn'!D67</f>
        <v>0</v>
      </c>
      <c r="E64" s="342" t="s">
        <v>568</v>
      </c>
      <c r="F64" s="659"/>
      <c r="G64" s="341"/>
    </row>
    <row r="65" spans="1:7">
      <c r="A65" s="343"/>
      <c r="B65" s="4"/>
      <c r="C65" s="4"/>
      <c r="D65" s="4"/>
      <c r="E65" s="346" t="str">
        <f>IF((F66&lt;&gt;"Kontrollera differensen"),"","Differens:")</f>
        <v/>
      </c>
      <c r="G65" s="347">
        <v>36</v>
      </c>
    </row>
    <row r="66" spans="1:7">
      <c r="A66" s="343" t="s">
        <v>625</v>
      </c>
      <c r="B66" s="4"/>
      <c r="C66" s="4"/>
      <c r="D66" s="4"/>
      <c r="E66" s="346" t="str">
        <f>IF((F66&lt;&gt;"Kontrollera differensen"),"",(B64-D64))</f>
        <v/>
      </c>
      <c r="F66" s="660" t="str">
        <f>IF(AND(B64=0,D64=0),"",IF(OR(B64=0,D64=0),"Kontrollera differensen",IF(OR(AND(ABS((B64-D64)/D64)&gt;5%),ABS(B64-D64)&gt;100),"Kontrollera differensen","")))</f>
        <v/>
      </c>
      <c r="G66" s="347"/>
    </row>
    <row r="67" spans="1:7">
      <c r="A67" s="3130"/>
      <c r="B67" s="3131"/>
      <c r="C67" s="3131"/>
      <c r="D67" s="3131"/>
      <c r="E67" s="3132"/>
      <c r="F67" s="660"/>
      <c r="G67" s="347"/>
    </row>
    <row r="68" spans="1:7">
      <c r="A68" s="3055"/>
      <c r="B68" s="3104"/>
      <c r="C68" s="3104"/>
      <c r="D68" s="3104"/>
      <c r="E68" s="3057"/>
      <c r="G68" s="4"/>
    </row>
    <row r="69" spans="1:7">
      <c r="A69" s="3133"/>
      <c r="B69" s="3134"/>
      <c r="C69" s="3134"/>
      <c r="D69" s="3134"/>
      <c r="E69" s="3135"/>
      <c r="G69" s="4"/>
    </row>
    <row r="70" spans="1:7">
      <c r="A70" s="362" t="s">
        <v>419</v>
      </c>
      <c r="B70" s="363"/>
      <c r="C70" s="364"/>
      <c r="D70" s="365"/>
      <c r="E70" s="366"/>
      <c r="F70" s="657"/>
      <c r="G70" s="367"/>
    </row>
    <row r="71" spans="1:7">
      <c r="A71" s="340" t="s">
        <v>566</v>
      </c>
      <c r="B71" s="339"/>
      <c r="C71" s="338"/>
      <c r="D71" s="339"/>
      <c r="E71" s="340" t="s">
        <v>577</v>
      </c>
      <c r="F71" s="658"/>
      <c r="G71" s="341"/>
    </row>
    <row r="72" spans="1:7" ht="14.25" customHeight="1">
      <c r="A72" s="342" t="s">
        <v>390</v>
      </c>
      <c r="B72" s="344">
        <f>Drift!R113</f>
        <v>0</v>
      </c>
      <c r="C72" s="349" t="s">
        <v>569</v>
      </c>
      <c r="D72" s="344">
        <f>'Verks int o kostn'!D12</f>
        <v>0</v>
      </c>
      <c r="E72" s="342" t="s">
        <v>570</v>
      </c>
      <c r="F72" s="658"/>
      <c r="G72" s="341"/>
    </row>
    <row r="73" spans="1:7" ht="14.25" customHeight="1">
      <c r="A73" s="342"/>
      <c r="B73" s="344"/>
      <c r="C73" s="349"/>
      <c r="D73" s="344"/>
      <c r="E73" s="346" t="str">
        <f>IF((F74&lt;&gt;"Kontrollera differensen"),"","Differens:")</f>
        <v/>
      </c>
      <c r="G73" s="341"/>
    </row>
    <row r="74" spans="1:7" ht="14.25" customHeight="1">
      <c r="A74" s="343" t="s">
        <v>625</v>
      </c>
      <c r="B74" s="344"/>
      <c r="C74" s="349"/>
      <c r="D74" s="344"/>
      <c r="E74" s="346" t="str">
        <f>IF((F74&lt;&gt;"Kontrollera differensen"),"",(B72-D72))</f>
        <v/>
      </c>
      <c r="F74" s="660" t="str">
        <f>IF(AND(B72=0,D72=0),"",IF(OR(B72=0,D72=0),"Kontrollera differensen",IF(OR(AND(ABS((B72-D72)/D72)&gt;5%),ABS(B72-D72)&gt;100),"Kontrollera differensen","")))</f>
        <v/>
      </c>
      <c r="G74" s="341"/>
    </row>
    <row r="75" spans="1:7" ht="14.25" customHeight="1">
      <c r="A75" s="3136"/>
      <c r="B75" s="3131"/>
      <c r="C75" s="3131"/>
      <c r="D75" s="3131"/>
      <c r="E75" s="3132"/>
      <c r="F75" s="658"/>
      <c r="G75" s="341"/>
    </row>
    <row r="76" spans="1:7" ht="14.25" customHeight="1">
      <c r="A76" s="3055"/>
      <c r="B76" s="3104"/>
      <c r="C76" s="3104"/>
      <c r="D76" s="3104"/>
      <c r="E76" s="3057"/>
      <c r="F76" s="658"/>
      <c r="G76" s="341"/>
    </row>
    <row r="77" spans="1:7">
      <c r="A77" s="3133"/>
      <c r="B77" s="3134"/>
      <c r="C77" s="3134"/>
      <c r="D77" s="3134"/>
      <c r="E77" s="3135"/>
      <c r="F77" s="660"/>
      <c r="G77" s="4"/>
    </row>
    <row r="78" spans="1:7">
      <c r="A78" s="362" t="s">
        <v>393</v>
      </c>
      <c r="B78" s="363"/>
      <c r="C78" s="364"/>
      <c r="D78" s="365"/>
      <c r="E78" s="366"/>
      <c r="F78" s="657"/>
      <c r="G78" s="367"/>
    </row>
    <row r="79" spans="1:7">
      <c r="A79" s="340" t="s">
        <v>566</v>
      </c>
      <c r="B79" s="339"/>
      <c r="C79" s="338"/>
      <c r="D79" s="339"/>
      <c r="E79" s="340" t="s">
        <v>577</v>
      </c>
      <c r="F79" s="658"/>
      <c r="G79" s="4"/>
    </row>
    <row r="80" spans="1:7">
      <c r="A80" s="342" t="s">
        <v>391</v>
      </c>
      <c r="B80" s="344">
        <f>Drift!S113</f>
        <v>0</v>
      </c>
      <c r="C80" s="345" t="s">
        <v>569</v>
      </c>
      <c r="D80" s="344">
        <f>'Verks int o kostn'!D13</f>
        <v>0</v>
      </c>
      <c r="E80" s="342" t="s">
        <v>571</v>
      </c>
      <c r="F80" s="659"/>
      <c r="G80" s="4"/>
    </row>
    <row r="81" spans="1:7">
      <c r="A81" s="343"/>
      <c r="B81" s="4"/>
      <c r="C81" s="4"/>
      <c r="D81" s="4"/>
      <c r="E81" s="346" t="str">
        <f>IF((F82&lt;&gt;"Kontrollera differensen"),"","Differens:")</f>
        <v/>
      </c>
      <c r="G81" s="4"/>
    </row>
    <row r="82" spans="1:7">
      <c r="A82" s="343" t="s">
        <v>625</v>
      </c>
      <c r="B82" s="344"/>
      <c r="C82" s="345"/>
      <c r="D82" s="344"/>
      <c r="E82" s="346" t="str">
        <f>IF((F82&lt;&gt;"Kontrollera differensen"),"",(B80-D80))</f>
        <v/>
      </c>
      <c r="F82" s="660" t="str">
        <f>IF(AND(B80=0,D80=0),"",IF(OR(B80=0,D80=0),"Kontrollera differensen",IF(OR(AND(ABS((B80-D80)/D80)&gt;5%),ABS(B80-D80)&gt;100),"Kontrollera differensen","")))</f>
        <v/>
      </c>
      <c r="G82" s="4"/>
    </row>
    <row r="83" spans="1:7">
      <c r="A83" s="3130"/>
      <c r="B83" s="3131"/>
      <c r="C83" s="3131"/>
      <c r="D83" s="3131"/>
      <c r="E83" s="3132"/>
      <c r="F83" s="663"/>
      <c r="G83" s="4"/>
    </row>
    <row r="84" spans="1:7">
      <c r="A84" s="3055"/>
      <c r="B84" s="3104"/>
      <c r="C84" s="3104"/>
      <c r="D84" s="3104"/>
      <c r="E84" s="3057"/>
      <c r="F84" s="663"/>
      <c r="G84" s="4"/>
    </row>
    <row r="85" spans="1:7">
      <c r="A85" s="3133"/>
      <c r="B85" s="3134"/>
      <c r="C85" s="3134"/>
      <c r="D85" s="3134"/>
      <c r="E85" s="3135"/>
      <c r="F85" s="663"/>
      <c r="G85" s="4"/>
    </row>
    <row r="86" spans="1:7">
      <c r="A86" s="377" t="s">
        <v>394</v>
      </c>
      <c r="B86" s="2369"/>
      <c r="C86" s="2370"/>
      <c r="D86" s="2371"/>
      <c r="E86" s="664"/>
      <c r="F86" s="657"/>
      <c r="G86" s="367"/>
    </row>
    <row r="87" spans="1:7">
      <c r="A87" s="340" t="s">
        <v>566</v>
      </c>
      <c r="B87" s="339"/>
      <c r="C87" s="338"/>
      <c r="D87" s="339"/>
      <c r="E87" s="340" t="s">
        <v>577</v>
      </c>
      <c r="F87" s="658"/>
      <c r="G87" s="4"/>
    </row>
    <row r="88" spans="1:7">
      <c r="A88" s="342" t="s">
        <v>392</v>
      </c>
      <c r="B88" s="344">
        <f>Drift!T113</f>
        <v>0</v>
      </c>
      <c r="C88" s="353"/>
      <c r="D88" s="354">
        <f>'Verks int o kostn'!D8</f>
        <v>0</v>
      </c>
      <c r="E88" s="342" t="s">
        <v>1596</v>
      </c>
      <c r="F88" s="659"/>
      <c r="G88" s="4"/>
    </row>
    <row r="89" spans="1:7">
      <c r="A89" s="343"/>
      <c r="C89" s="4"/>
      <c r="D89" s="344">
        <f>'Verks int o kostn'!D14</f>
        <v>0</v>
      </c>
      <c r="E89" s="355" t="s">
        <v>382</v>
      </c>
      <c r="F89" s="2557"/>
      <c r="G89" s="4"/>
    </row>
    <row r="90" spans="1:7">
      <c r="A90" s="343"/>
      <c r="B90" s="344"/>
      <c r="C90" s="345"/>
      <c r="D90" s="344">
        <f>'Verks int o kostn'!D15</f>
        <v>0</v>
      </c>
      <c r="E90" s="355" t="s">
        <v>383</v>
      </c>
      <c r="F90" s="2558"/>
      <c r="G90" s="4"/>
    </row>
    <row r="91" spans="1:7">
      <c r="A91" s="343"/>
      <c r="B91" s="344"/>
      <c r="C91" s="345"/>
      <c r="D91" s="344">
        <f>'Verks int o kostn'!D26</f>
        <v>0</v>
      </c>
      <c r="E91" s="355" t="s">
        <v>384</v>
      </c>
      <c r="F91" s="2558"/>
      <c r="G91" s="4"/>
    </row>
    <row r="92" spans="1:7" ht="2.25" customHeight="1">
      <c r="A92" s="343"/>
      <c r="B92" s="344"/>
      <c r="C92" s="345"/>
      <c r="D92" s="1873"/>
      <c r="E92" s="1874"/>
      <c r="F92" s="2558"/>
      <c r="G92" s="4"/>
    </row>
    <row r="93" spans="1:7">
      <c r="A93" s="343"/>
      <c r="B93" s="4"/>
      <c r="C93" s="4"/>
      <c r="D93" s="344">
        <f>'Verks int o kostn'!D31</f>
        <v>0</v>
      </c>
      <c r="E93" s="355" t="s">
        <v>1653</v>
      </c>
      <c r="F93" s="2558"/>
      <c r="G93" s="4"/>
    </row>
    <row r="94" spans="1:7">
      <c r="A94" s="343"/>
      <c r="B94" s="356">
        <f>SUM(B88:B92)</f>
        <v>0</v>
      </c>
      <c r="C94" s="345" t="s">
        <v>569</v>
      </c>
      <c r="D94" s="356">
        <f>SUM(D88:D93)</f>
        <v>0</v>
      </c>
      <c r="E94" s="346" t="str">
        <f>IF((F95&lt;&gt;"Kontrollera differensen"),"","Differens:")</f>
        <v/>
      </c>
      <c r="F94" s="2558"/>
      <c r="G94" s="4"/>
    </row>
    <row r="95" spans="1:7">
      <c r="A95" s="343" t="s">
        <v>625</v>
      </c>
      <c r="B95" s="352"/>
      <c r="C95" s="345"/>
      <c r="D95" s="352"/>
      <c r="E95" s="346" t="str">
        <f>IF((F95&lt;&gt;"Kontrollera differensen"),"",(B94-D94))</f>
        <v/>
      </c>
      <c r="F95" s="660" t="str">
        <f>IF(AND(B94=0,D94=0),"",IF(OR(B94=0,D94=0),"Kontrollera differensen",IF(OR(AND(ABS((B94-D94)/D94)&gt;5%),ABS(B94-D94)&gt;100),"Kontrollera differensen","")))</f>
        <v/>
      </c>
      <c r="G95" s="4"/>
    </row>
    <row r="96" spans="1:7">
      <c r="A96" s="3130"/>
      <c r="B96" s="3131"/>
      <c r="C96" s="3131"/>
      <c r="D96" s="3131"/>
      <c r="E96" s="3132"/>
      <c r="F96" s="660"/>
      <c r="G96" s="4"/>
    </row>
    <row r="97" spans="1:7">
      <c r="A97" s="3133"/>
      <c r="B97" s="3134"/>
      <c r="C97" s="3134"/>
      <c r="D97" s="3134"/>
      <c r="E97" s="3135"/>
      <c r="F97" s="660"/>
      <c r="G97" s="4"/>
    </row>
    <row r="98" spans="1:7">
      <c r="A98" s="2664" t="s">
        <v>1655</v>
      </c>
      <c r="B98" s="2663"/>
      <c r="C98" s="2663"/>
      <c r="D98" s="2663"/>
      <c r="E98" s="2662"/>
      <c r="F98" s="660"/>
      <c r="G98" s="4"/>
    </row>
    <row r="99" spans="1:7">
      <c r="A99" s="2633" t="s">
        <v>1576</v>
      </c>
      <c r="B99" s="2634"/>
      <c r="C99" s="2635"/>
      <c r="D99" s="2634"/>
      <c r="E99" s="2633" t="s">
        <v>376</v>
      </c>
      <c r="F99" s="658"/>
      <c r="G99" s="4"/>
    </row>
    <row r="100" spans="1:7">
      <c r="A100" s="1711" t="s">
        <v>1599</v>
      </c>
      <c r="B100" s="2636">
        <f>Drift!P120</f>
        <v>0</v>
      </c>
      <c r="C100" s="2637" t="s">
        <v>569</v>
      </c>
      <c r="D100" s="2636">
        <f>'Verks int o kostn'!I71</f>
        <v>0</v>
      </c>
      <c r="E100" s="1711" t="s">
        <v>1578</v>
      </c>
      <c r="F100" s="658"/>
      <c r="G100" s="4"/>
    </row>
    <row r="101" spans="1:7">
      <c r="A101" s="1711"/>
      <c r="B101" s="2636"/>
      <c r="C101" s="2637"/>
      <c r="D101" s="2636">
        <f>'Verks int o kostn'!I72</f>
        <v>0</v>
      </c>
      <c r="E101" s="1711" t="s">
        <v>1577</v>
      </c>
      <c r="F101" s="658"/>
      <c r="G101" s="4"/>
    </row>
    <row r="102" spans="1:7">
      <c r="A102" s="656"/>
      <c r="B102" s="2638">
        <f>SUM(B100:B101)</f>
        <v>0</v>
      </c>
      <c r="C102" s="2637" t="s">
        <v>569</v>
      </c>
      <c r="D102" s="2638">
        <f>SUM(D100:D101)</f>
        <v>0</v>
      </c>
      <c r="E102" s="660" t="str">
        <f>IF((F103&lt;&gt;"Kontrollera differensen"),"","Differens:")</f>
        <v/>
      </c>
      <c r="G102" s="4"/>
    </row>
    <row r="103" spans="1:7">
      <c r="A103" s="659" t="s">
        <v>625</v>
      </c>
      <c r="B103" s="2636"/>
      <c r="C103" s="2637"/>
      <c r="D103" s="2636"/>
      <c r="E103" s="660" t="str">
        <f>IF((F103&lt;&gt;"Kontrollera differensen"),"",(B102-D102))</f>
        <v/>
      </c>
      <c r="F103" s="660" t="str">
        <f>IF(AND(B102=0,D102=0),"",IF(OR(B102=0,D102=0),"Kontrollera differensen",IF(OR(AND(ABS((B102-D102)/D102)&gt;5%),ABS(B102-D102)&gt;100),"Kontrollera differensen","")))</f>
        <v/>
      </c>
      <c r="G103" s="4"/>
    </row>
    <row r="104" spans="1:7">
      <c r="A104" s="3130"/>
      <c r="B104" s="3137"/>
      <c r="C104" s="3137"/>
      <c r="D104" s="3137"/>
      <c r="E104" s="3138"/>
      <c r="F104" s="658"/>
      <c r="G104" s="4"/>
    </row>
    <row r="105" spans="1:7">
      <c r="A105" s="3139"/>
      <c r="B105" s="2990"/>
      <c r="C105" s="2990"/>
      <c r="D105" s="2990"/>
      <c r="E105" s="3140"/>
      <c r="F105" s="658"/>
      <c r="G105" s="4"/>
    </row>
    <row r="106" spans="1:7">
      <c r="A106" s="3141"/>
      <c r="B106" s="3142"/>
      <c r="C106" s="3142"/>
      <c r="D106" s="3142"/>
      <c r="E106" s="3143"/>
      <c r="G106" s="4"/>
    </row>
    <row r="107" spans="1:7">
      <c r="A107" s="377" t="s">
        <v>1656</v>
      </c>
      <c r="B107" s="2369"/>
      <c r="C107" s="2370"/>
      <c r="D107" s="2371"/>
      <c r="E107" s="664"/>
      <c r="F107" s="657"/>
      <c r="G107" s="367"/>
    </row>
    <row r="108" spans="1:7">
      <c r="A108" s="2633" t="s">
        <v>1576</v>
      </c>
      <c r="B108" s="2634"/>
      <c r="C108" s="2635"/>
      <c r="D108" s="2634"/>
      <c r="E108" s="2633" t="s">
        <v>573</v>
      </c>
      <c r="F108" s="658"/>
      <c r="G108" s="341"/>
    </row>
    <row r="109" spans="1:7">
      <c r="A109" s="1711" t="s">
        <v>1600</v>
      </c>
      <c r="B109" s="2636">
        <f>Drift!P121</f>
        <v>0</v>
      </c>
      <c r="C109" s="2637" t="s">
        <v>569</v>
      </c>
      <c r="D109" s="2636">
        <f>'Verks int o kostn'!D72</f>
        <v>0</v>
      </c>
      <c r="E109" s="1711" t="s">
        <v>1579</v>
      </c>
      <c r="F109" s="658"/>
      <c r="G109" s="341"/>
    </row>
    <row r="110" spans="1:7">
      <c r="A110" s="1711"/>
      <c r="B110" s="2636"/>
      <c r="C110" s="2637"/>
      <c r="D110" s="2636">
        <f>'Verks int o kostn'!D74</f>
        <v>0</v>
      </c>
      <c r="E110" s="1711" t="s">
        <v>1601</v>
      </c>
      <c r="F110" s="658"/>
      <c r="G110" s="341"/>
    </row>
    <row r="111" spans="1:7">
      <c r="A111" s="1711"/>
      <c r="B111" s="2638">
        <f>SUM(B109)</f>
        <v>0</v>
      </c>
      <c r="C111" s="662"/>
      <c r="D111" s="2638">
        <f>SUM(D109:D110)</f>
        <v>0</v>
      </c>
      <c r="E111" s="660" t="str">
        <f>IF((F112&lt;&gt;"Kontrollera differensen"),"","Differens:")</f>
        <v/>
      </c>
      <c r="G111" s="341"/>
    </row>
    <row r="112" spans="1:7">
      <c r="A112" s="659" t="s">
        <v>625</v>
      </c>
      <c r="B112" s="2636"/>
      <c r="C112" s="2637"/>
      <c r="D112" s="2636"/>
      <c r="E112" s="660" t="str">
        <f>IF((F112&lt;&gt;"Kontrollera differensen"),"",(B111-D111))</f>
        <v/>
      </c>
      <c r="F112" s="660" t="str">
        <f>IF(AND(B111=0,D111=0),"",IF(OR(B111=0,D111=0),"Kontrollera differensen",IF(OR(AND(ABS((B111-D111)/D111)&gt;5%),ABS(B111-D111)&gt;10),"Kontrollera differensen","")))</f>
        <v/>
      </c>
      <c r="G112" s="341"/>
    </row>
    <row r="113" spans="1:7">
      <c r="A113" s="3130"/>
      <c r="B113" s="3131"/>
      <c r="C113" s="3131"/>
      <c r="D113" s="3131"/>
      <c r="E113" s="3132"/>
      <c r="F113" s="660"/>
      <c r="G113" s="341"/>
    </row>
    <row r="114" spans="1:7">
      <c r="A114" s="3055"/>
      <c r="B114" s="3104"/>
      <c r="C114" s="3104"/>
      <c r="D114" s="3104"/>
      <c r="E114" s="3057"/>
      <c r="F114" s="660"/>
      <c r="G114" s="341"/>
    </row>
    <row r="115" spans="1:7">
      <c r="A115" s="3133"/>
      <c r="B115" s="3134"/>
      <c r="C115" s="3134"/>
      <c r="D115" s="3134"/>
      <c r="E115" s="3135"/>
      <c r="F115" s="660"/>
      <c r="G115" s="341"/>
    </row>
    <row r="116" spans="1:7">
      <c r="A116" s="377" t="s">
        <v>1657</v>
      </c>
      <c r="B116" s="2369"/>
      <c r="C116" s="2370"/>
      <c r="D116" s="2371"/>
      <c r="E116" s="664"/>
      <c r="F116" s="657"/>
      <c r="G116" s="347"/>
    </row>
    <row r="117" spans="1:7">
      <c r="A117" s="2633" t="s">
        <v>1576</v>
      </c>
      <c r="B117" s="2634"/>
      <c r="C117" s="2635"/>
      <c r="D117" s="2634"/>
      <c r="E117" s="2633" t="s">
        <v>573</v>
      </c>
      <c r="F117" s="658"/>
      <c r="G117" s="347"/>
    </row>
    <row r="118" spans="1:7">
      <c r="A118" s="1711" t="s">
        <v>1602</v>
      </c>
      <c r="B118" s="2636">
        <f>Drift!P122</f>
        <v>0</v>
      </c>
      <c r="C118" s="2637" t="s">
        <v>569</v>
      </c>
      <c r="D118" s="2636">
        <f>'Verks int o kostn'!I58</f>
        <v>0</v>
      </c>
      <c r="E118" s="1711" t="s">
        <v>1603</v>
      </c>
      <c r="F118" s="658"/>
      <c r="G118" s="347"/>
    </row>
    <row r="119" spans="1:7">
      <c r="A119" s="1711"/>
      <c r="B119" s="2636"/>
      <c r="C119" s="2637"/>
      <c r="D119" s="2636"/>
      <c r="E119" s="660" t="str">
        <f>IF((F120&lt;&gt;"Kontrollera differensen"),"","Differens:")</f>
        <v/>
      </c>
      <c r="F119" s="658"/>
      <c r="G119" s="347"/>
    </row>
    <row r="120" spans="1:7">
      <c r="A120" s="1711" t="s">
        <v>625</v>
      </c>
      <c r="B120" s="662"/>
      <c r="C120" s="662"/>
      <c r="D120" s="1712"/>
      <c r="E120" s="660" t="str">
        <f>IF((F120&lt;&gt;"Kontrollera differensen"),"",(B118-D118))</f>
        <v/>
      </c>
      <c r="F120" s="660" t="str">
        <f>IF(AND(B118=0,D118=0),"",IF(OR(B118=0,D118=0),"Kontrollera differensen",IF(OR(AND(ABS((B118-D118)/D118)&gt;5%),ABS(B118-D118)&gt;100),"Kontrollera differensen","")))</f>
        <v/>
      </c>
      <c r="G120" s="347"/>
    </row>
    <row r="121" spans="1:7">
      <c r="A121" s="3130"/>
      <c r="B121" s="3131"/>
      <c r="C121" s="3131"/>
      <c r="D121" s="3131"/>
      <c r="E121" s="3132"/>
      <c r="G121" s="347"/>
    </row>
    <row r="122" spans="1:7">
      <c r="A122" s="3055"/>
      <c r="B122" s="3104"/>
      <c r="C122" s="3104"/>
      <c r="D122" s="3104"/>
      <c r="E122" s="3057"/>
      <c r="G122" s="347"/>
    </row>
    <row r="123" spans="1:7">
      <c r="A123" s="3133"/>
      <c r="B123" s="3134"/>
      <c r="C123" s="3134"/>
      <c r="D123" s="3134"/>
      <c r="E123" s="3135"/>
      <c r="G123" s="347"/>
    </row>
    <row r="124" spans="1:7">
      <c r="A124" s="377" t="s">
        <v>1658</v>
      </c>
      <c r="B124" s="2369"/>
      <c r="C124" s="2370"/>
      <c r="D124" s="2371"/>
      <c r="E124" s="664"/>
      <c r="F124" s="657"/>
      <c r="G124" s="347"/>
    </row>
    <row r="125" spans="1:7">
      <c r="A125" s="2633" t="s">
        <v>1576</v>
      </c>
      <c r="B125" s="2634"/>
      <c r="C125" s="2635"/>
      <c r="D125" s="2634"/>
      <c r="E125" s="2633" t="s">
        <v>375</v>
      </c>
      <c r="F125" s="658"/>
      <c r="G125" s="347"/>
    </row>
    <row r="126" spans="1:7">
      <c r="A126" s="1711" t="s">
        <v>1604</v>
      </c>
      <c r="B126" s="2636">
        <f>Drift!W117</f>
        <v>0</v>
      </c>
      <c r="C126" s="2637" t="s">
        <v>569</v>
      </c>
      <c r="D126" s="2636">
        <f>'Verks int o kostn'!D32</f>
        <v>0</v>
      </c>
      <c r="E126" s="1711" t="s">
        <v>1605</v>
      </c>
      <c r="F126" s="658"/>
      <c r="G126" s="347"/>
    </row>
    <row r="127" spans="1:7">
      <c r="A127" s="1711"/>
      <c r="B127" s="2636"/>
      <c r="C127" s="2637"/>
      <c r="D127" s="2636"/>
      <c r="E127" s="660" t="str">
        <f>IF((F128&lt;&gt;"Kontrollera differensen"),"","Differens:")</f>
        <v/>
      </c>
      <c r="F127" s="658"/>
      <c r="G127" s="347"/>
    </row>
    <row r="128" spans="1:7">
      <c r="A128" s="1711" t="s">
        <v>625</v>
      </c>
      <c r="B128" s="662"/>
      <c r="C128" s="662"/>
      <c r="D128" s="1712"/>
      <c r="E128" s="660" t="str">
        <f>IF((F128&lt;&gt;"Kontrollera differensen"),"",(B126-D126))</f>
        <v/>
      </c>
      <c r="F128" s="660" t="str">
        <f>IF(AND(B126=0,D126=0),"",IF(OR(B126=0,D126=0),"Kontrollera differensen",IF(OR(AND(ABS((B126-D126)/D126)&gt;5%),ABS(B126-D126)&gt;100),"Kontrollera differensen","")))</f>
        <v/>
      </c>
      <c r="G128" s="347"/>
    </row>
    <row r="129" spans="1:7">
      <c r="A129" s="3130"/>
      <c r="B129" s="3131"/>
      <c r="C129" s="3131"/>
      <c r="D129" s="3131"/>
      <c r="E129" s="3132"/>
      <c r="G129" s="347"/>
    </row>
    <row r="130" spans="1:7">
      <c r="A130" s="3055"/>
      <c r="B130" s="3104"/>
      <c r="C130" s="3104"/>
      <c r="D130" s="3104"/>
      <c r="E130" s="3057"/>
      <c r="G130" s="347"/>
    </row>
    <row r="131" spans="1:7">
      <c r="A131" s="3133"/>
      <c r="B131" s="3134"/>
      <c r="C131" s="3134"/>
      <c r="D131" s="3134"/>
      <c r="E131" s="3135"/>
      <c r="G131" s="347"/>
    </row>
    <row r="132" spans="1:7">
      <c r="A132" s="377" t="s">
        <v>1597</v>
      </c>
      <c r="B132" s="2369"/>
      <c r="C132" s="2370"/>
      <c r="D132" s="2371"/>
      <c r="E132" s="664"/>
      <c r="F132" s="657"/>
      <c r="G132" s="347"/>
    </row>
    <row r="133" spans="1:7">
      <c r="A133" s="2633" t="s">
        <v>1576</v>
      </c>
      <c r="B133" s="2634"/>
      <c r="C133" s="2635"/>
      <c r="D133" s="2634"/>
      <c r="E133" s="2633" t="s">
        <v>375</v>
      </c>
      <c r="F133" s="658"/>
      <c r="G133" s="347"/>
    </row>
    <row r="134" spans="1:7">
      <c r="A134" s="1711" t="s">
        <v>1606</v>
      </c>
      <c r="B134" s="2636">
        <f>Drift!W118</f>
        <v>0</v>
      </c>
      <c r="C134" s="2637" t="s">
        <v>569</v>
      </c>
      <c r="D134" s="2636">
        <f>'Verks int o kostn'!D33</f>
        <v>0</v>
      </c>
      <c r="E134" s="1711" t="s">
        <v>1607</v>
      </c>
      <c r="F134" s="658"/>
      <c r="G134" s="347"/>
    </row>
    <row r="135" spans="1:7">
      <c r="A135" s="1711"/>
      <c r="B135" s="2636"/>
      <c r="C135" s="2637"/>
      <c r="D135" s="2636"/>
      <c r="E135" s="660" t="str">
        <f>IF((F136&lt;&gt;"Kontrollera differensen"),"","Differens:")</f>
        <v/>
      </c>
      <c r="F135" s="658"/>
      <c r="G135" s="347"/>
    </row>
    <row r="136" spans="1:7">
      <c r="A136" s="1711" t="s">
        <v>625</v>
      </c>
      <c r="B136" s="662"/>
      <c r="C136" s="662"/>
      <c r="D136" s="1712"/>
      <c r="E136" s="660" t="str">
        <f>IF((F136&lt;&gt;"Kontrollera differensen"),"",(B134-D134))</f>
        <v/>
      </c>
      <c r="F136" s="660" t="str">
        <f>IF(AND(B134=0,D134=0),"",IF(OR(B134=0,D134=0),"Kontrollera differensen",IF(OR(AND(ABS((B134-D134)/D134)&gt;5%),ABS(B134-D134)&gt;100),"Kontrollera differensen","")))</f>
        <v/>
      </c>
      <c r="G136" s="347"/>
    </row>
    <row r="137" spans="1:7">
      <c r="A137" s="3130"/>
      <c r="B137" s="3131"/>
      <c r="C137" s="3131"/>
      <c r="D137" s="3131"/>
      <c r="E137" s="3132"/>
      <c r="G137" s="347"/>
    </row>
    <row r="138" spans="1:7">
      <c r="A138" s="3055"/>
      <c r="B138" s="3104"/>
      <c r="C138" s="3104"/>
      <c r="D138" s="3104"/>
      <c r="E138" s="3057"/>
      <c r="G138" s="347"/>
    </row>
    <row r="139" spans="1:7">
      <c r="A139" s="3133"/>
      <c r="B139" s="3134"/>
      <c r="C139" s="3134"/>
      <c r="D139" s="3134"/>
      <c r="E139" s="3135"/>
      <c r="G139" s="347"/>
    </row>
    <row r="140" spans="1:7">
      <c r="A140" s="377" t="s">
        <v>1580</v>
      </c>
      <c r="B140" s="2369"/>
      <c r="C140" s="2370"/>
      <c r="D140" s="2371"/>
      <c r="E140" s="664"/>
      <c r="F140" s="657"/>
      <c r="G140" s="367"/>
    </row>
    <row r="141" spans="1:7">
      <c r="A141" s="2639" t="s">
        <v>420</v>
      </c>
      <c r="B141" s="2634"/>
      <c r="C141" s="2635"/>
      <c r="D141" s="2634"/>
      <c r="E141" s="2633" t="s">
        <v>385</v>
      </c>
      <c r="F141" s="658"/>
      <c r="G141" s="341"/>
    </row>
    <row r="142" spans="1:7">
      <c r="A142" s="2640" t="s">
        <v>1590</v>
      </c>
      <c r="B142" s="2636">
        <f>Motpart!Y40</f>
        <v>0</v>
      </c>
      <c r="C142" s="2641"/>
      <c r="D142" s="2636">
        <f>'Verks int o kostn'!I27</f>
        <v>0</v>
      </c>
      <c r="E142" s="1711" t="s">
        <v>1582</v>
      </c>
      <c r="F142" s="658"/>
      <c r="G142" s="341"/>
    </row>
    <row r="143" spans="1:7">
      <c r="A143" s="2640"/>
      <c r="B143" s="2636"/>
      <c r="C143" s="2641"/>
      <c r="D143" s="2636">
        <f>'Verks int o kostn'!I29</f>
        <v>0</v>
      </c>
      <c r="E143" s="1711" t="s">
        <v>1583</v>
      </c>
      <c r="F143" s="658"/>
      <c r="G143" s="341"/>
    </row>
    <row r="144" spans="1:7">
      <c r="A144" s="2640"/>
      <c r="B144" s="2642">
        <f>SUM(B142:B143)</f>
        <v>0</v>
      </c>
      <c r="C144" s="2643" t="s">
        <v>569</v>
      </c>
      <c r="D144" s="2642">
        <f>SUM(D142:D143)</f>
        <v>0</v>
      </c>
      <c r="E144" s="660" t="str">
        <f>IF((F145&lt;&gt;"Kontrollera differensen"),"","Differens:")</f>
        <v/>
      </c>
      <c r="G144" s="341"/>
    </row>
    <row r="145" spans="1:7">
      <c r="A145" s="659" t="s">
        <v>625</v>
      </c>
      <c r="B145" s="1712"/>
      <c r="C145" s="2643"/>
      <c r="D145" s="1712"/>
      <c r="E145" s="660" t="str">
        <f>IF((F145&lt;&gt;"Kontrollera differensen"),"",(B144-D144))</f>
        <v/>
      </c>
      <c r="F145" s="660" t="str">
        <f>IF(AND(B144=0,D144=0),"",IF(OR(B144=0,D144=0),"Kontrollera differensen",IF(OR(AND(ABS((B144-D144)/D144)&gt;5%),ABS(B144-D144)&gt;10),"Kontrollera differensen","")))</f>
        <v/>
      </c>
      <c r="G145" s="341"/>
    </row>
    <row r="146" spans="1:7">
      <c r="A146" s="3144"/>
      <c r="B146" s="3131"/>
      <c r="C146" s="3131"/>
      <c r="D146" s="3131"/>
      <c r="E146" s="3132"/>
      <c r="F146" s="660"/>
      <c r="G146" s="341"/>
    </row>
    <row r="147" spans="1:7">
      <c r="A147" s="3055"/>
      <c r="B147" s="3104"/>
      <c r="C147" s="3104"/>
      <c r="D147" s="3104"/>
      <c r="E147" s="3057"/>
      <c r="F147" s="660"/>
      <c r="G147" s="341"/>
    </row>
    <row r="148" spans="1:7">
      <c r="A148" s="3133"/>
      <c r="B148" s="3134"/>
      <c r="C148" s="3134"/>
      <c r="D148" s="3134"/>
      <c r="E148" s="3135"/>
      <c r="G148" s="4"/>
    </row>
    <row r="149" spans="1:7">
      <c r="A149" s="377" t="s">
        <v>1581</v>
      </c>
      <c r="B149" s="2369"/>
      <c r="C149" s="2370"/>
      <c r="D149" s="2371"/>
      <c r="E149" s="664"/>
      <c r="F149" s="657"/>
      <c r="G149" s="367"/>
    </row>
    <row r="150" spans="1:7">
      <c r="A150" s="2639" t="s">
        <v>420</v>
      </c>
      <c r="B150" s="2634"/>
      <c r="C150" s="2635"/>
      <c r="D150" s="2634"/>
      <c r="E150" s="2633" t="s">
        <v>385</v>
      </c>
      <c r="F150" s="658"/>
      <c r="G150" s="341"/>
    </row>
    <row r="151" spans="1:7">
      <c r="A151" s="2640" t="s">
        <v>1584</v>
      </c>
      <c r="B151" s="2636">
        <f>Motpart!Z40</f>
        <v>0</v>
      </c>
      <c r="C151" s="2641"/>
      <c r="D151" s="2636">
        <f>'Verks int o kostn'!I28</f>
        <v>0</v>
      </c>
      <c r="E151" s="1711" t="s">
        <v>1585</v>
      </c>
      <c r="F151" s="658"/>
      <c r="G151" s="341"/>
    </row>
    <row r="152" spans="1:7">
      <c r="A152" s="2640"/>
      <c r="B152" s="1712"/>
      <c r="C152" s="2643"/>
      <c r="D152" s="1712"/>
      <c r="E152" s="660" t="str">
        <f>IF((F153&lt;&gt;"Kontrollera differensen"),"","Differens:")</f>
        <v/>
      </c>
      <c r="G152" s="341"/>
    </row>
    <row r="153" spans="1:7">
      <c r="A153" s="659" t="s">
        <v>625</v>
      </c>
      <c r="B153" s="1712"/>
      <c r="C153" s="2643"/>
      <c r="D153" s="1712"/>
      <c r="E153" s="660" t="str">
        <f>IF((F153&lt;&gt;"Kontrollera differensen"),"",(B151-D151))</f>
        <v/>
      </c>
      <c r="F153" s="660" t="str">
        <f>IF(AND(B151=0,D151=0),"",IF(OR(B151=0,D151=0),"Kontrollera differensen",IF(OR(AND(ABS((B151-D151)/D151)&gt;5%),ABS(B151-D151)&gt;10),"Kontrollera differensen","")))</f>
        <v/>
      </c>
      <c r="G153" s="341"/>
    </row>
    <row r="154" spans="1:7">
      <c r="A154" s="3144"/>
      <c r="B154" s="3131"/>
      <c r="C154" s="3131"/>
      <c r="D154" s="3131"/>
      <c r="E154" s="3132"/>
      <c r="F154" s="660"/>
      <c r="G154" s="341"/>
    </row>
    <row r="155" spans="1:7">
      <c r="A155" s="3055"/>
      <c r="B155" s="3104"/>
      <c r="C155" s="3104"/>
      <c r="D155" s="3104"/>
      <c r="E155" s="3057"/>
      <c r="F155" s="660"/>
      <c r="G155" s="341"/>
    </row>
    <row r="156" spans="1:7">
      <c r="A156" s="3133"/>
      <c r="B156" s="3134"/>
      <c r="C156" s="3134"/>
      <c r="D156" s="3134"/>
      <c r="E156" s="3135"/>
      <c r="G156" s="341"/>
    </row>
    <row r="157" spans="1:7">
      <c r="A157" s="377" t="s">
        <v>1659</v>
      </c>
      <c r="B157" s="2369"/>
      <c r="C157" s="2370"/>
      <c r="D157" s="2371"/>
      <c r="E157" s="664"/>
      <c r="F157" s="657"/>
      <c r="G157" s="341"/>
    </row>
    <row r="158" spans="1:7">
      <c r="A158" s="2639" t="s">
        <v>420</v>
      </c>
      <c r="B158" s="2634"/>
      <c r="C158" s="2635"/>
      <c r="D158" s="2634"/>
      <c r="E158" s="2633" t="s">
        <v>385</v>
      </c>
      <c r="F158" s="658"/>
      <c r="G158" s="4"/>
    </row>
    <row r="159" spans="1:7">
      <c r="A159" s="2640" t="s">
        <v>395</v>
      </c>
      <c r="B159" s="2636">
        <f>Motpart!AA40</f>
        <v>0</v>
      </c>
      <c r="C159" s="2641"/>
      <c r="D159" s="2636">
        <f>'Verks int o kostn'!D17</f>
        <v>0</v>
      </c>
      <c r="E159" s="1711" t="s">
        <v>1593</v>
      </c>
      <c r="F159" s="658"/>
      <c r="G159" s="367"/>
    </row>
    <row r="160" spans="1:7">
      <c r="A160" s="2640"/>
      <c r="B160" s="2636"/>
      <c r="C160" s="2641"/>
      <c r="D160" s="2636">
        <f>'Verks int o kostn'!D18</f>
        <v>0</v>
      </c>
      <c r="E160" s="1711" t="s">
        <v>1594</v>
      </c>
      <c r="F160" s="658"/>
      <c r="G160" s="341"/>
    </row>
    <row r="161" spans="1:7">
      <c r="A161" s="2640"/>
      <c r="B161" s="2642">
        <f>SUM(B159:B160)</f>
        <v>0</v>
      </c>
      <c r="C161" s="2643" t="s">
        <v>569</v>
      </c>
      <c r="D161" s="2642">
        <f>SUM(D159:D160)</f>
        <v>0</v>
      </c>
      <c r="E161" s="660" t="str">
        <f>IF((F162&lt;&gt;"Kontrollera differensen"),"","Differens:")</f>
        <v/>
      </c>
      <c r="G161" s="341"/>
    </row>
    <row r="162" spans="1:7">
      <c r="A162" s="659" t="s">
        <v>625</v>
      </c>
      <c r="B162" s="1712"/>
      <c r="C162" s="2643"/>
      <c r="D162" s="1712"/>
      <c r="E162" s="660" t="str">
        <f>IF((F162&lt;&gt;"Kontrollera differensen"),"",(B161-D161))</f>
        <v/>
      </c>
      <c r="F162" s="660" t="str">
        <f>IF(AND(B161=0,D161=0),"",IF(OR(B161=0,D161=0),"Kontrollera differensen",IF(OR(AND(ABS((B161-D161)/D161)&gt;5%),ABS(B161-D161)&gt;10),"Kontrollera differensen","")))</f>
        <v/>
      </c>
      <c r="G162" s="341"/>
    </row>
    <row r="163" spans="1:7">
      <c r="A163" s="3144"/>
      <c r="B163" s="3131"/>
      <c r="C163" s="3131"/>
      <c r="D163" s="3131"/>
      <c r="E163" s="3132"/>
      <c r="F163" s="660"/>
      <c r="G163" s="341"/>
    </row>
    <row r="164" spans="1:7">
      <c r="A164" s="3055"/>
      <c r="B164" s="3104"/>
      <c r="C164" s="3104"/>
      <c r="D164" s="3104"/>
      <c r="E164" s="3057"/>
      <c r="F164" s="660"/>
      <c r="G164" s="341"/>
    </row>
    <row r="165" spans="1:7">
      <c r="A165" s="3133"/>
      <c r="B165" s="3134"/>
      <c r="C165" s="3134"/>
      <c r="D165" s="3134"/>
      <c r="E165" s="3135"/>
      <c r="G165" s="341"/>
    </row>
    <row r="166" spans="1:7" s="2551" customFormat="1">
      <c r="A166" s="377" t="s">
        <v>1588</v>
      </c>
      <c r="B166" s="2369"/>
      <c r="C166" s="2370"/>
      <c r="D166" s="2371"/>
      <c r="E166" s="664"/>
      <c r="F166" s="657"/>
      <c r="G166" s="2555"/>
    </row>
    <row r="167" spans="1:7" s="2551" customFormat="1">
      <c r="A167" s="2639" t="s">
        <v>420</v>
      </c>
      <c r="B167" s="2634"/>
      <c r="C167" s="2635"/>
      <c r="D167" s="2634"/>
      <c r="E167" s="2633" t="s">
        <v>385</v>
      </c>
      <c r="F167" s="658"/>
      <c r="G167" s="2555"/>
    </row>
    <row r="168" spans="1:7" s="2551" customFormat="1">
      <c r="A168" s="2640" t="s">
        <v>1586</v>
      </c>
      <c r="B168" s="1712">
        <f>Motpart!AB40</f>
        <v>0</v>
      </c>
      <c r="C168" s="2644"/>
      <c r="D168" s="1712">
        <f>'Verks int o kostn'!D23</f>
        <v>0</v>
      </c>
      <c r="E168" s="1711" t="s">
        <v>1587</v>
      </c>
      <c r="F168" s="658"/>
    </row>
    <row r="169" spans="1:7" s="2551" customFormat="1">
      <c r="A169" s="2640"/>
      <c r="B169" s="1712"/>
      <c r="C169" s="2643"/>
      <c r="D169" s="1712"/>
      <c r="E169" s="660" t="str">
        <f>IF((F170&lt;&gt;"Kontrollera differensen"),"","Differens:")</f>
        <v/>
      </c>
      <c r="F169" s="656"/>
      <c r="G169" s="2556"/>
    </row>
    <row r="170" spans="1:7" s="2551" customFormat="1">
      <c r="A170" s="659" t="s">
        <v>625</v>
      </c>
      <c r="B170" s="1712"/>
      <c r="C170" s="2643"/>
      <c r="D170" s="1712"/>
      <c r="E170" s="660" t="str">
        <f>IF((F170&lt;&gt;"Kontrollera differensen"),"",(B168-D168))</f>
        <v/>
      </c>
      <c r="F170" s="660" t="str">
        <f>IF(AND(B168=0,D168=0),"",IF(OR(B168=0,D168=0),"Kontrollera differensen",IF(OR(AND(ABS((B168-D168)/D168)&gt;5%),ABS(B168-D168)&gt;10),"Kontrollera differensen","")))</f>
        <v/>
      </c>
      <c r="G170" s="2555"/>
    </row>
    <row r="171" spans="1:7" s="2551" customFormat="1">
      <c r="A171" s="3144"/>
      <c r="B171" s="3131"/>
      <c r="C171" s="3131"/>
      <c r="D171" s="3131"/>
      <c r="E171" s="3132"/>
      <c r="F171" s="1714"/>
      <c r="G171" s="2555"/>
    </row>
    <row r="172" spans="1:7" s="2551" customFormat="1">
      <c r="A172" s="3055"/>
      <c r="B172" s="3104"/>
      <c r="C172" s="3104"/>
      <c r="D172" s="3104"/>
      <c r="E172" s="3057"/>
      <c r="F172" s="1715"/>
      <c r="G172" s="2555"/>
    </row>
    <row r="173" spans="1:7" s="2551" customFormat="1">
      <c r="A173" s="3133"/>
      <c r="B173" s="3134"/>
      <c r="C173" s="3134"/>
      <c r="D173" s="3134"/>
      <c r="E173" s="3135"/>
      <c r="F173" s="1716"/>
      <c r="G173" s="2555"/>
    </row>
    <row r="174" spans="1:7">
      <c r="A174" s="377" t="s">
        <v>1589</v>
      </c>
      <c r="B174" s="2369"/>
      <c r="C174" s="2370"/>
      <c r="D174" s="2371"/>
      <c r="E174" s="664"/>
      <c r="F174" s="657"/>
      <c r="G174" s="341"/>
    </row>
    <row r="175" spans="1:7">
      <c r="A175" s="2639" t="s">
        <v>420</v>
      </c>
      <c r="B175" s="2634"/>
      <c r="C175" s="2635"/>
      <c r="D175" s="2634"/>
      <c r="E175" s="2633" t="s">
        <v>385</v>
      </c>
      <c r="F175" s="658"/>
      <c r="G175" s="341"/>
    </row>
    <row r="176" spans="1:7" ht="14.25" customHeight="1">
      <c r="A176" s="357" t="s">
        <v>396</v>
      </c>
      <c r="B176" s="344">
        <f>Motpart!AC40</f>
        <v>0</v>
      </c>
      <c r="C176" s="353"/>
      <c r="D176" s="344">
        <f>'Verks int o kostn'!D14</f>
        <v>0</v>
      </c>
      <c r="E176" s="342" t="s">
        <v>397</v>
      </c>
      <c r="F176" s="658"/>
      <c r="G176" s="341"/>
    </row>
    <row r="177" spans="1:7">
      <c r="A177" s="357"/>
      <c r="C177" s="353"/>
      <c r="D177" s="344">
        <f>'Verks int o kostn'!D19</f>
        <v>0</v>
      </c>
      <c r="E177" s="342" t="s">
        <v>1595</v>
      </c>
      <c r="F177" s="658"/>
      <c r="G177" s="341"/>
    </row>
    <row r="178" spans="1:7">
      <c r="A178" s="357"/>
      <c r="C178" s="353"/>
      <c r="D178" s="344">
        <f>'Verks int o kostn'!D20</f>
        <v>0</v>
      </c>
      <c r="E178" s="342" t="s">
        <v>1742</v>
      </c>
      <c r="F178" s="658"/>
      <c r="G178" s="341"/>
    </row>
    <row r="179" spans="1:7">
      <c r="A179" s="357"/>
      <c r="B179" s="344"/>
      <c r="C179" s="353"/>
      <c r="D179" s="344">
        <f>'Verks int o kostn'!D21</f>
        <v>0</v>
      </c>
      <c r="E179" s="342" t="s">
        <v>1591</v>
      </c>
      <c r="F179" s="658"/>
      <c r="G179" s="341"/>
    </row>
    <row r="180" spans="1:7">
      <c r="A180" s="357"/>
      <c r="B180" s="344"/>
      <c r="C180" s="353"/>
      <c r="D180" s="344">
        <f>'Verks int o kostn'!D22</f>
        <v>0</v>
      </c>
      <c r="E180" s="342" t="s">
        <v>1592</v>
      </c>
      <c r="F180" s="658"/>
      <c r="G180" s="341"/>
    </row>
    <row r="181" spans="1:7">
      <c r="A181" s="357"/>
      <c r="B181" s="344"/>
      <c r="C181" s="353"/>
      <c r="D181" s="344">
        <f>SUM('Verks int o kostn'!D24+'Verks int o kostn'!D25)</f>
        <v>0</v>
      </c>
      <c r="E181" s="342" t="s">
        <v>1654</v>
      </c>
      <c r="F181" s="658"/>
      <c r="G181" s="341"/>
    </row>
    <row r="182" spans="1:7">
      <c r="A182" s="357"/>
      <c r="B182" s="356">
        <f>SUM(B176:B180)</f>
        <v>0</v>
      </c>
      <c r="C182" s="349" t="s">
        <v>569</v>
      </c>
      <c r="D182" s="356">
        <f>SUM(D176:D181)</f>
        <v>0</v>
      </c>
      <c r="E182" s="346" t="str">
        <f>IF((F183&lt;&gt;"Kontrollera differensen"),"","Differens:")</f>
        <v/>
      </c>
      <c r="G182" s="341"/>
    </row>
    <row r="183" spans="1:7" s="656" customFormat="1">
      <c r="A183" s="343" t="s">
        <v>625</v>
      </c>
      <c r="B183" s="352"/>
      <c r="C183" s="349"/>
      <c r="D183" s="352"/>
      <c r="E183" s="346" t="str">
        <f>IF((F183&lt;&gt;"Kontrollera differensen"),"",(B182-D182))</f>
        <v/>
      </c>
      <c r="F183" s="660" t="str">
        <f>IF(AND(B182=0,D182=0),"",IF(OR(B182=0,D182=0),"Kontrollera differensen",IF(OR(AND(ABS((B182-D182)/D182)&gt;5%),ABS(B182-D182)&gt;10),"Kontrollera differensen","")))</f>
        <v/>
      </c>
      <c r="G183" s="2372"/>
    </row>
    <row r="184" spans="1:7">
      <c r="A184" s="3144"/>
      <c r="B184" s="3131"/>
      <c r="C184" s="3131"/>
      <c r="D184" s="3131"/>
      <c r="E184" s="3132"/>
      <c r="F184" s="1714"/>
      <c r="G184" s="341"/>
    </row>
    <row r="185" spans="1:7">
      <c r="A185" s="3055"/>
      <c r="B185" s="3104"/>
      <c r="C185" s="3104"/>
      <c r="D185" s="3104"/>
      <c r="E185" s="3057"/>
      <c r="F185" s="1715"/>
      <c r="G185" s="341"/>
    </row>
    <row r="186" spans="1:7">
      <c r="A186" s="3133"/>
      <c r="B186" s="3134"/>
      <c r="C186" s="3134"/>
      <c r="D186" s="3134"/>
      <c r="E186" s="3135"/>
      <c r="F186" s="1716"/>
      <c r="G186" s="341"/>
    </row>
    <row r="187" spans="1:7">
      <c r="A187" s="2552"/>
      <c r="B187" s="2552"/>
      <c r="C187" s="2552"/>
      <c r="D187" s="2552"/>
      <c r="E187" s="2552"/>
      <c r="F187" s="2554"/>
      <c r="G187" s="341"/>
    </row>
    <row r="188" spans="1:7">
      <c r="A188" s="2552"/>
      <c r="B188" s="2552"/>
      <c r="C188" s="2552"/>
      <c r="D188" s="2552"/>
      <c r="E188" s="2552"/>
      <c r="F188" s="2554"/>
      <c r="G188" s="341"/>
    </row>
    <row r="189" spans="1:7">
      <c r="A189" s="2552"/>
      <c r="B189" s="2552"/>
      <c r="C189" s="2552"/>
      <c r="D189" s="2552"/>
      <c r="E189" s="2552"/>
      <c r="F189" s="2554"/>
      <c r="G189" s="341"/>
    </row>
    <row r="190" spans="1:7">
      <c r="A190" s="2552"/>
      <c r="B190" s="2552"/>
      <c r="C190" s="2552"/>
      <c r="D190" s="2552"/>
      <c r="E190" s="2552"/>
      <c r="F190" s="2554"/>
      <c r="G190" s="341"/>
    </row>
    <row r="191" spans="1:7">
      <c r="A191" s="2552"/>
      <c r="B191" s="2552"/>
      <c r="C191" s="2552"/>
      <c r="D191" s="2552"/>
      <c r="E191" s="2552"/>
      <c r="F191" s="2554"/>
      <c r="G191" s="341"/>
    </row>
    <row r="192" spans="1:7">
      <c r="A192" s="2552"/>
      <c r="B192" s="2552"/>
      <c r="C192" s="2552"/>
      <c r="D192" s="2552"/>
      <c r="E192" s="2552"/>
      <c r="F192" s="2554"/>
      <c r="G192" s="341"/>
    </row>
    <row r="193" spans="1:7">
      <c r="A193" s="2552"/>
      <c r="B193" s="2552"/>
      <c r="C193" s="2552"/>
      <c r="D193" s="2552"/>
      <c r="E193" s="2552"/>
      <c r="F193" s="2554"/>
      <c r="G193" s="341"/>
    </row>
    <row r="194" spans="1:7">
      <c r="A194" s="2552"/>
      <c r="B194" s="2552"/>
      <c r="C194" s="2552"/>
      <c r="D194" s="2552"/>
      <c r="E194" s="2552"/>
      <c r="F194" s="2554"/>
      <c r="G194" s="341"/>
    </row>
    <row r="195" spans="1:7">
      <c r="A195" s="2552"/>
      <c r="B195" s="2552"/>
      <c r="C195" s="2552"/>
      <c r="D195" s="2552"/>
      <c r="E195" s="2552"/>
      <c r="F195" s="2554"/>
      <c r="G195" s="341"/>
    </row>
    <row r="196" spans="1:7">
      <c r="A196" s="2552"/>
      <c r="B196" s="2552"/>
      <c r="C196" s="2552"/>
      <c r="D196" s="2552"/>
      <c r="E196" s="2552"/>
      <c r="F196" s="2554"/>
      <c r="G196" s="341"/>
    </row>
    <row r="197" spans="1:7">
      <c r="A197" s="2552"/>
      <c r="B197" s="2552"/>
      <c r="C197" s="2552"/>
      <c r="D197" s="2552"/>
      <c r="E197" s="2552"/>
      <c r="F197" s="2554"/>
      <c r="G197" s="341"/>
    </row>
    <row r="198" spans="1:7">
      <c r="A198" s="2552"/>
      <c r="B198" s="2552"/>
      <c r="C198" s="2552"/>
      <c r="D198" s="2552"/>
      <c r="E198" s="2552"/>
      <c r="F198" s="2554"/>
      <c r="G198" s="341"/>
    </row>
    <row r="199" spans="1:7">
      <c r="A199" s="2552"/>
      <c r="B199" s="2552"/>
      <c r="C199" s="2552"/>
      <c r="D199" s="2552"/>
      <c r="E199" s="2552"/>
      <c r="F199" s="2554"/>
      <c r="G199" s="341"/>
    </row>
    <row r="200" spans="1:7">
      <c r="A200" s="2552"/>
      <c r="B200" s="2552"/>
      <c r="C200" s="2552"/>
      <c r="D200" s="2552"/>
      <c r="E200" s="2552"/>
      <c r="F200" s="2554"/>
      <c r="G200" s="341"/>
    </row>
    <row r="201" spans="1:7">
      <c r="A201" s="2552"/>
      <c r="B201" s="2552"/>
      <c r="C201" s="2552"/>
      <c r="D201" s="2552"/>
      <c r="E201" s="2552"/>
      <c r="F201" s="2554"/>
      <c r="G201" s="341"/>
    </row>
    <row r="202" spans="1:7">
      <c r="A202" s="2552"/>
      <c r="B202" s="2552"/>
      <c r="C202" s="2552"/>
      <c r="D202" s="2552"/>
      <c r="E202" s="2552"/>
      <c r="F202" s="2554"/>
      <c r="G202" s="341"/>
    </row>
    <row r="203" spans="1:7">
      <c r="A203" s="2552"/>
      <c r="B203" s="2552"/>
      <c r="C203" s="2552"/>
      <c r="D203" s="2552"/>
      <c r="E203" s="2552"/>
      <c r="F203" s="2554"/>
      <c r="G203" s="341"/>
    </row>
    <row r="204" spans="1:7">
      <c r="A204" s="2552"/>
      <c r="B204" s="2552"/>
      <c r="C204" s="2552"/>
      <c r="D204" s="2552"/>
      <c r="E204" s="2552"/>
      <c r="F204" s="2554"/>
      <c r="G204" s="341"/>
    </row>
    <row r="205" spans="1:7">
      <c r="A205" s="2552"/>
      <c r="B205" s="2552"/>
      <c r="C205" s="2552"/>
      <c r="D205" s="2552"/>
      <c r="E205" s="2552"/>
      <c r="F205" s="2554"/>
      <c r="G205" s="341"/>
    </row>
    <row r="206" spans="1:7">
      <c r="A206" s="2552"/>
      <c r="B206" s="2552"/>
      <c r="C206" s="2552"/>
      <c r="D206" s="2552"/>
      <c r="E206" s="2552"/>
      <c r="F206" s="2554"/>
      <c r="G206" s="341"/>
    </row>
    <row r="207" spans="1:7">
      <c r="A207" s="2552"/>
      <c r="B207" s="2552"/>
      <c r="C207" s="2552"/>
      <c r="D207" s="2552"/>
      <c r="E207" s="2552"/>
      <c r="F207" s="2554"/>
      <c r="G207" s="341"/>
    </row>
    <row r="208" spans="1:7" hidden="1">
      <c r="A208" s="343"/>
      <c r="B208" s="352"/>
      <c r="C208" s="349"/>
      <c r="D208" s="352"/>
      <c r="E208" s="346"/>
      <c r="F208" s="660"/>
      <c r="G208" s="341"/>
    </row>
    <row r="209" spans="1:7" hidden="1">
      <c r="A209" s="343"/>
      <c r="B209" s="352"/>
      <c r="C209" s="349"/>
      <c r="D209" s="352"/>
      <c r="E209" s="346"/>
      <c r="F209" s="660"/>
      <c r="G209" s="341"/>
    </row>
    <row r="210" spans="1:7" hidden="1">
      <c r="A210" s="343"/>
      <c r="B210" s="352"/>
      <c r="C210" s="349"/>
      <c r="D210" s="352"/>
      <c r="E210" s="346"/>
      <c r="F210" s="660"/>
      <c r="G210" s="341"/>
    </row>
    <row r="211" spans="1:7" ht="18.75" hidden="1">
      <c r="A211" s="2405"/>
      <c r="B211" s="2406" t="s">
        <v>1491</v>
      </c>
      <c r="C211" s="2406" t="s">
        <v>1492</v>
      </c>
      <c r="D211" s="2407" t="s">
        <v>1506</v>
      </c>
      <c r="E211" s="2418" t="s">
        <v>560</v>
      </c>
      <c r="F211" s="2419" t="s">
        <v>1507</v>
      </c>
      <c r="G211" s="341"/>
    </row>
    <row r="212" spans="1:7" hidden="1">
      <c r="A212" s="2408" t="s">
        <v>1527</v>
      </c>
      <c r="B212" s="2399"/>
      <c r="C212" s="2399"/>
      <c r="D212" s="2399"/>
      <c r="E212" s="2399"/>
      <c r="F212" s="2409"/>
      <c r="G212" s="341"/>
    </row>
    <row r="213" spans="1:7" ht="20.25" hidden="1" customHeight="1">
      <c r="A213" s="2410" t="s">
        <v>1508</v>
      </c>
      <c r="B213" s="2400">
        <f>Drift!C86</f>
        <v>0</v>
      </c>
      <c r="C213" s="2400"/>
      <c r="D213" s="2400">
        <f>B213-C213</f>
        <v>0</v>
      </c>
      <c r="E213" s="2416" t="str">
        <f>IF(AND(B213=0,C213=0),"",IF(C213=0,"100%",(B213-C213)/C213))</f>
        <v/>
      </c>
      <c r="F213" s="2411"/>
      <c r="G213" s="341"/>
    </row>
    <row r="214" spans="1:7" hidden="1">
      <c r="A214" s="2410" t="s">
        <v>1509</v>
      </c>
      <c r="B214" s="2400">
        <f>Drift!D86</f>
        <v>0</v>
      </c>
      <c r="C214" s="2400"/>
      <c r="D214" s="2400">
        <f t="shared" ref="D214:D217" si="0">B214-C214</f>
        <v>0</v>
      </c>
      <c r="E214" s="2416" t="str">
        <f t="shared" ref="E214:E217" si="1">IF(AND(B214=0,C214=0),"",IF(C214=0,"100%",(B214-C214)/C214))</f>
        <v/>
      </c>
      <c r="F214" s="2411"/>
      <c r="G214" s="341"/>
    </row>
    <row r="215" spans="1:7" hidden="1">
      <c r="A215" s="2410" t="s">
        <v>1510</v>
      </c>
      <c r="B215" s="2400">
        <f>Drift!E86</f>
        <v>0</v>
      </c>
      <c r="C215" s="2400"/>
      <c r="D215" s="2400">
        <f t="shared" si="0"/>
        <v>0</v>
      </c>
      <c r="E215" s="2416" t="str">
        <f t="shared" si="1"/>
        <v/>
      </c>
      <c r="F215" s="2411"/>
      <c r="G215" s="341"/>
    </row>
    <row r="216" spans="1:7" hidden="1">
      <c r="A216" s="2410" t="s">
        <v>1511</v>
      </c>
      <c r="B216" s="2400">
        <f>Drift!F86</f>
        <v>0</v>
      </c>
      <c r="C216" s="2400"/>
      <c r="D216" s="2400">
        <f t="shared" si="0"/>
        <v>0</v>
      </c>
      <c r="E216" s="2416" t="str">
        <f t="shared" si="1"/>
        <v/>
      </c>
      <c r="F216" s="2411"/>
      <c r="G216" s="341"/>
    </row>
    <row r="217" spans="1:7" ht="17.25" hidden="1" customHeight="1">
      <c r="A217" s="2410" t="s">
        <v>1512</v>
      </c>
      <c r="B217" s="2400">
        <f>Drift!G86</f>
        <v>0</v>
      </c>
      <c r="C217" s="2400"/>
      <c r="D217" s="2400">
        <f t="shared" si="0"/>
        <v>0</v>
      </c>
      <c r="E217" s="2416" t="str">
        <f t="shared" si="1"/>
        <v/>
      </c>
      <c r="F217" s="2411"/>
      <c r="G217" s="341"/>
    </row>
    <row r="218" spans="1:7" ht="17.25" hidden="1" customHeight="1">
      <c r="A218" s="2415" t="s">
        <v>1502</v>
      </c>
      <c r="B218" s="2400">
        <f>Drift!H75</f>
        <v>0</v>
      </c>
      <c r="C218" s="2400">
        <v>3911</v>
      </c>
      <c r="D218" s="2400">
        <f t="shared" ref="D218:D230" si="2">B218-C218</f>
        <v>-3911</v>
      </c>
      <c r="E218" s="2416">
        <f t="shared" ref="E218:E230" si="3">IF(AND(B218=0,C218=0),"",IF(C218=0,"100%",(B218-C218)/C218))</f>
        <v>-1</v>
      </c>
      <c r="F218" s="2411"/>
      <c r="G218" s="341"/>
    </row>
    <row r="219" spans="1:7" ht="17.25" hidden="1" customHeight="1">
      <c r="A219" s="2415" t="s">
        <v>1503</v>
      </c>
      <c r="B219" s="2400">
        <f>Drift!I75</f>
        <v>0</v>
      </c>
      <c r="C219" s="2400">
        <v>1048</v>
      </c>
      <c r="D219" s="2400">
        <f t="shared" si="2"/>
        <v>-1048</v>
      </c>
      <c r="E219" s="2416">
        <f t="shared" si="3"/>
        <v>-1</v>
      </c>
      <c r="F219" s="2411"/>
      <c r="G219" s="341"/>
    </row>
    <row r="220" spans="1:7" ht="17.25" hidden="1" customHeight="1">
      <c r="A220" s="2415" t="s">
        <v>1504</v>
      </c>
      <c r="B220" s="2400">
        <f>Drift!J75</f>
        <v>0</v>
      </c>
      <c r="C220" s="2400">
        <v>200</v>
      </c>
      <c r="D220" s="2400">
        <f t="shared" si="2"/>
        <v>-200</v>
      </c>
      <c r="E220" s="2416">
        <f t="shared" si="3"/>
        <v>-1</v>
      </c>
      <c r="F220" s="2411"/>
      <c r="G220" s="341"/>
    </row>
    <row r="221" spans="1:7" ht="17.25" hidden="1" customHeight="1">
      <c r="A221" s="2415" t="s">
        <v>1493</v>
      </c>
      <c r="B221" s="2400">
        <f>Drift!L75</f>
        <v>0</v>
      </c>
      <c r="C221" s="2400">
        <v>348</v>
      </c>
      <c r="D221" s="2400">
        <f t="shared" si="2"/>
        <v>-348</v>
      </c>
      <c r="E221" s="2416">
        <f t="shared" si="3"/>
        <v>-1</v>
      </c>
      <c r="F221" s="2411"/>
      <c r="G221" s="341"/>
    </row>
    <row r="222" spans="1:7" ht="17.25" hidden="1" customHeight="1">
      <c r="A222" s="2415" t="s">
        <v>1505</v>
      </c>
      <c r="B222" s="2400">
        <f>Drift!M75</f>
        <v>0</v>
      </c>
      <c r="C222" s="2400">
        <v>77</v>
      </c>
      <c r="D222" s="2400">
        <f t="shared" si="2"/>
        <v>-77</v>
      </c>
      <c r="E222" s="2416">
        <f t="shared" si="3"/>
        <v>-1</v>
      </c>
      <c r="F222" s="2411"/>
      <c r="G222" s="341"/>
    </row>
    <row r="223" spans="1:7" ht="17.25" hidden="1" customHeight="1">
      <c r="A223" s="2415" t="s">
        <v>1494</v>
      </c>
      <c r="B223" s="2400">
        <f>Drift!N75</f>
        <v>0</v>
      </c>
      <c r="C223" s="2400">
        <v>0</v>
      </c>
      <c r="D223" s="2400">
        <f t="shared" si="2"/>
        <v>0</v>
      </c>
      <c r="E223" s="2416" t="str">
        <f t="shared" si="3"/>
        <v/>
      </c>
      <c r="F223" s="2411"/>
      <c r="G223" s="341"/>
    </row>
    <row r="224" spans="1:7" ht="17.25" hidden="1" customHeight="1">
      <c r="A224" s="2415" t="s">
        <v>1495</v>
      </c>
      <c r="B224" s="2400">
        <f>Drift!O75</f>
        <v>0</v>
      </c>
      <c r="C224" s="2400">
        <v>1628.4306033254325</v>
      </c>
      <c r="D224" s="2400">
        <f t="shared" si="2"/>
        <v>-1628.4306033254325</v>
      </c>
      <c r="E224" s="2416">
        <f t="shared" si="3"/>
        <v>-1</v>
      </c>
      <c r="F224" s="2411"/>
      <c r="G224" s="341"/>
    </row>
    <row r="225" spans="1:7" hidden="1">
      <c r="A225" s="2415" t="s">
        <v>1496</v>
      </c>
      <c r="B225" s="2400">
        <f>Drift!P75</f>
        <v>0</v>
      </c>
      <c r="C225" s="2400">
        <v>62174.430603325432</v>
      </c>
      <c r="D225" s="2400">
        <f t="shared" si="2"/>
        <v>-62174.430603325432</v>
      </c>
      <c r="E225" s="2416">
        <f t="shared" si="3"/>
        <v>-1</v>
      </c>
      <c r="F225" s="2411"/>
      <c r="G225" s="341"/>
    </row>
    <row r="226" spans="1:7" hidden="1">
      <c r="A226" s="2415" t="s">
        <v>1497</v>
      </c>
      <c r="B226" s="2400">
        <f>Drift!R75</f>
        <v>0</v>
      </c>
      <c r="C226" s="2400">
        <v>37</v>
      </c>
      <c r="D226" s="2400">
        <f t="shared" si="2"/>
        <v>-37</v>
      </c>
      <c r="E226" s="2416">
        <f t="shared" si="3"/>
        <v>-1</v>
      </c>
      <c r="F226" s="2411"/>
      <c r="G226" s="341"/>
    </row>
    <row r="227" spans="1:7" hidden="1">
      <c r="A227" s="2415" t="s">
        <v>1498</v>
      </c>
      <c r="B227" s="2400">
        <f>Drift!S75</f>
        <v>0</v>
      </c>
      <c r="C227" s="2400">
        <v>453</v>
      </c>
      <c r="D227" s="2400">
        <f t="shared" si="2"/>
        <v>-453</v>
      </c>
      <c r="E227" s="2416">
        <f t="shared" si="3"/>
        <v>-1</v>
      </c>
      <c r="F227" s="2411"/>
      <c r="G227" s="341"/>
    </row>
    <row r="228" spans="1:7" hidden="1">
      <c r="A228" s="2415" t="s">
        <v>1499</v>
      </c>
      <c r="B228" s="2400">
        <f>Drift!T75</f>
        <v>0</v>
      </c>
      <c r="C228" s="2400">
        <v>11003</v>
      </c>
      <c r="D228" s="2400">
        <f t="shared" si="2"/>
        <v>-11003</v>
      </c>
      <c r="E228" s="2416">
        <f t="shared" si="3"/>
        <v>-1</v>
      </c>
      <c r="F228" s="2411"/>
      <c r="G228" s="341"/>
    </row>
    <row r="229" spans="1:7" hidden="1">
      <c r="A229" s="2415" t="s">
        <v>1500</v>
      </c>
      <c r="B229" s="2400">
        <f>Drift!V75</f>
        <v>0</v>
      </c>
      <c r="C229" s="2400">
        <v>126</v>
      </c>
      <c r="D229" s="2400">
        <f t="shared" si="2"/>
        <v>-126</v>
      </c>
      <c r="E229" s="2416">
        <f t="shared" si="3"/>
        <v>-1</v>
      </c>
      <c r="F229" s="2411"/>
    </row>
    <row r="230" spans="1:7" hidden="1">
      <c r="A230" s="2417" t="s">
        <v>1501</v>
      </c>
      <c r="B230" s="2413">
        <f>Drift!W75</f>
        <v>0</v>
      </c>
      <c r="C230" s="2413">
        <v>11619</v>
      </c>
      <c r="D230" s="2413">
        <f t="shared" si="2"/>
        <v>-11619</v>
      </c>
      <c r="E230" s="2420">
        <f t="shared" si="3"/>
        <v>-1</v>
      </c>
      <c r="F230" s="2414"/>
    </row>
    <row r="231" spans="1:7" hidden="1">
      <c r="A231" s="2403"/>
      <c r="B231" s="352"/>
      <c r="C231" s="352"/>
      <c r="D231" s="352"/>
      <c r="E231" s="2404"/>
      <c r="F231" s="2404"/>
    </row>
    <row r="232" spans="1:7" hidden="1">
      <c r="A232" s="343" t="s">
        <v>1525</v>
      </c>
    </row>
    <row r="233" spans="1:7" hidden="1">
      <c r="A233" s="2592"/>
      <c r="B233" s="2593"/>
      <c r="C233" s="2593"/>
      <c r="D233" s="2593"/>
      <c r="E233" s="2594"/>
    </row>
    <row r="234" spans="1:7" hidden="1">
      <c r="A234" s="2595"/>
      <c r="B234" s="2596"/>
      <c r="C234" s="2596"/>
      <c r="D234" s="2596"/>
      <c r="E234" s="2591"/>
    </row>
    <row r="235" spans="1:7" hidden="1">
      <c r="A235" s="2597"/>
      <c r="B235" s="2598"/>
      <c r="C235" s="2598"/>
      <c r="D235" s="2598"/>
      <c r="E235" s="2599"/>
    </row>
    <row r="236" spans="1:7" ht="12.75" hidden="1" customHeight="1">
      <c r="A236" s="2313"/>
      <c r="B236" s="2313"/>
      <c r="C236" s="2313"/>
      <c r="D236" s="2313"/>
      <c r="E236" s="2313"/>
    </row>
    <row r="237" spans="1:7" ht="12.75" hidden="1" customHeight="1">
      <c r="A237" s="2405"/>
      <c r="B237" s="2406" t="s">
        <v>1491</v>
      </c>
      <c r="C237" s="2406" t="s">
        <v>1492</v>
      </c>
      <c r="D237" s="2407" t="s">
        <v>1506</v>
      </c>
      <c r="E237" s="2418" t="s">
        <v>560</v>
      </c>
      <c r="F237" s="2419" t="s">
        <v>1507</v>
      </c>
    </row>
    <row r="238" spans="1:7" ht="12.75" hidden="1" customHeight="1">
      <c r="A238" s="2408" t="s">
        <v>1528</v>
      </c>
      <c r="B238" s="2399"/>
      <c r="C238" s="2399"/>
      <c r="D238" s="2399"/>
      <c r="E238" s="2399"/>
      <c r="F238" s="2409"/>
    </row>
    <row r="239" spans="1:7" hidden="1">
      <c r="A239" s="2410" t="s">
        <v>1508</v>
      </c>
      <c r="B239" s="2400">
        <f>Drift!C112</f>
        <v>0</v>
      </c>
      <c r="C239" s="2400">
        <v>33729</v>
      </c>
      <c r="D239" s="2400">
        <f>B239-C239</f>
        <v>-33729</v>
      </c>
      <c r="E239" s="2416">
        <f>IF(AND(B239=0,C239=0),"",IF(C239=0,"100%",(B239-C239)/C239))</f>
        <v>-1</v>
      </c>
      <c r="F239" s="2411"/>
    </row>
    <row r="240" spans="1:7" hidden="1">
      <c r="A240" s="2410" t="s">
        <v>1509</v>
      </c>
      <c r="B240" s="2400">
        <f>Drift!D112</f>
        <v>0</v>
      </c>
      <c r="C240" s="2400">
        <v>12740</v>
      </c>
      <c r="D240" s="2400">
        <f t="shared" ref="D240:D252" si="4">B240-C240</f>
        <v>-12740</v>
      </c>
      <c r="E240" s="2416">
        <f t="shared" ref="E240:E252" si="5">IF(AND(B240=0,C240=0),"",IF(C240=0,"100%",(B240-C240)/C240))</f>
        <v>-1</v>
      </c>
      <c r="F240" s="2411"/>
    </row>
    <row r="241" spans="1:6" hidden="1">
      <c r="A241" s="2410" t="s">
        <v>1510</v>
      </c>
      <c r="B241" s="2400">
        <f>Drift!E112</f>
        <v>0</v>
      </c>
      <c r="C241" s="2400">
        <v>650</v>
      </c>
      <c r="D241" s="2400">
        <f t="shared" si="4"/>
        <v>-650</v>
      </c>
      <c r="E241" s="2416">
        <f t="shared" si="5"/>
        <v>-1</v>
      </c>
      <c r="F241" s="2411"/>
    </row>
    <row r="242" spans="1:6" hidden="1">
      <c r="A242" s="2410" t="s">
        <v>1511</v>
      </c>
      <c r="B242" s="2400">
        <f>Drift!F112</f>
        <v>0</v>
      </c>
      <c r="C242" s="2400">
        <v>6632</v>
      </c>
      <c r="D242" s="2400">
        <f t="shared" si="4"/>
        <v>-6632</v>
      </c>
      <c r="E242" s="2416">
        <f t="shared" si="5"/>
        <v>-1</v>
      </c>
      <c r="F242" s="2411"/>
    </row>
    <row r="243" spans="1:6" hidden="1">
      <c r="A243" s="2410" t="s">
        <v>1512</v>
      </c>
      <c r="B243" s="2400">
        <f>Drift!G112</f>
        <v>0</v>
      </c>
      <c r="C243" s="2400">
        <v>1211</v>
      </c>
      <c r="D243" s="2400">
        <f t="shared" si="4"/>
        <v>-1211</v>
      </c>
      <c r="E243" s="2416">
        <f t="shared" si="5"/>
        <v>-1</v>
      </c>
      <c r="F243" s="2411"/>
    </row>
    <row r="244" spans="1:6" hidden="1">
      <c r="A244" s="2410" t="s">
        <v>1513</v>
      </c>
      <c r="B244" s="2400">
        <f>Drift!H112</f>
        <v>0</v>
      </c>
      <c r="C244" s="2400">
        <v>3911</v>
      </c>
      <c r="D244" s="2400">
        <f t="shared" si="4"/>
        <v>-3911</v>
      </c>
      <c r="E244" s="2416">
        <f t="shared" si="5"/>
        <v>-1</v>
      </c>
      <c r="F244" s="2411"/>
    </row>
    <row r="245" spans="1:6" hidden="1">
      <c r="A245" s="2410" t="s">
        <v>1514</v>
      </c>
      <c r="B245" s="2400">
        <f>Drift!I112</f>
        <v>0</v>
      </c>
      <c r="C245" s="2400">
        <v>1048</v>
      </c>
      <c r="D245" s="2400">
        <f t="shared" si="4"/>
        <v>-1048</v>
      </c>
      <c r="E245" s="2416">
        <f t="shared" si="5"/>
        <v>-1</v>
      </c>
      <c r="F245" s="2411"/>
    </row>
    <row r="246" spans="1:6" hidden="1">
      <c r="A246" s="2410" t="s">
        <v>1515</v>
      </c>
      <c r="B246" s="2400">
        <f>Drift!J112</f>
        <v>0</v>
      </c>
      <c r="C246" s="2400">
        <v>200</v>
      </c>
      <c r="D246" s="2400">
        <f t="shared" si="4"/>
        <v>-200</v>
      </c>
      <c r="E246" s="2416">
        <f t="shared" si="5"/>
        <v>-1</v>
      </c>
      <c r="F246" s="2411"/>
    </row>
    <row r="247" spans="1:6" hidden="1">
      <c r="A247" s="2410" t="s">
        <v>1516</v>
      </c>
      <c r="B247" s="2400">
        <f>Drift!L112</f>
        <v>0</v>
      </c>
      <c r="C247" s="2400">
        <v>348</v>
      </c>
      <c r="D247" s="2400">
        <f t="shared" si="4"/>
        <v>-348</v>
      </c>
      <c r="E247" s="2416">
        <f t="shared" si="5"/>
        <v>-1</v>
      </c>
      <c r="F247" s="2411"/>
    </row>
    <row r="248" spans="1:6" hidden="1">
      <c r="A248" s="2410" t="s">
        <v>1517</v>
      </c>
      <c r="B248" s="2400">
        <f>Drift!M112</f>
        <v>0</v>
      </c>
      <c r="C248" s="2400">
        <v>0</v>
      </c>
      <c r="D248" s="2400">
        <f t="shared" si="4"/>
        <v>0</v>
      </c>
      <c r="E248" s="2416" t="str">
        <f t="shared" si="5"/>
        <v/>
      </c>
      <c r="F248" s="2411"/>
    </row>
    <row r="249" spans="1:6" hidden="1">
      <c r="A249" s="2410" t="s">
        <v>1518</v>
      </c>
      <c r="B249" s="2400">
        <f>Drift!P112</f>
        <v>0</v>
      </c>
      <c r="C249" s="2400">
        <v>62174.430603325432</v>
      </c>
      <c r="D249" s="2400">
        <f t="shared" si="4"/>
        <v>-62174.430603325432</v>
      </c>
      <c r="E249" s="2416">
        <f t="shared" si="5"/>
        <v>-1</v>
      </c>
      <c r="F249" s="2411"/>
    </row>
    <row r="250" spans="1:6" hidden="1">
      <c r="A250" s="2410" t="s">
        <v>1519</v>
      </c>
      <c r="B250" s="2400">
        <f>Drift!R112</f>
        <v>0</v>
      </c>
      <c r="C250" s="2400">
        <v>37</v>
      </c>
      <c r="D250" s="2400">
        <f t="shared" si="4"/>
        <v>-37</v>
      </c>
      <c r="E250" s="2416">
        <f t="shared" si="5"/>
        <v>-1</v>
      </c>
      <c r="F250" s="2411"/>
    </row>
    <row r="251" spans="1:6" hidden="1">
      <c r="A251" s="2410" t="s">
        <v>1520</v>
      </c>
      <c r="B251" s="2400">
        <f>Drift!S112</f>
        <v>0</v>
      </c>
      <c r="C251" s="2400">
        <v>453</v>
      </c>
      <c r="D251" s="2400">
        <f t="shared" si="4"/>
        <v>-453</v>
      </c>
      <c r="E251" s="2416">
        <f t="shared" si="5"/>
        <v>-1</v>
      </c>
      <c r="F251" s="2411"/>
    </row>
    <row r="252" spans="1:6" hidden="1">
      <c r="A252" s="2412" t="s">
        <v>1521</v>
      </c>
      <c r="B252" s="2413">
        <f>Drift!T112</f>
        <v>0</v>
      </c>
      <c r="C252" s="2413">
        <v>11003</v>
      </c>
      <c r="D252" s="2413">
        <f t="shared" si="4"/>
        <v>-11003</v>
      </c>
      <c r="E252" s="2420">
        <f t="shared" si="5"/>
        <v>-1</v>
      </c>
      <c r="F252" s="2414"/>
    </row>
    <row r="253" spans="1:6" hidden="1">
      <c r="A253" s="2403"/>
      <c r="B253" s="352"/>
      <c r="C253" s="352"/>
      <c r="D253" s="352"/>
      <c r="E253" s="2404"/>
      <c r="F253" s="2404"/>
    </row>
    <row r="254" spans="1:6" hidden="1">
      <c r="A254" s="343" t="s">
        <v>1526</v>
      </c>
    </row>
    <row r="255" spans="1:6" hidden="1">
      <c r="A255" s="2592"/>
      <c r="B255" s="2593"/>
      <c r="C255" s="2593"/>
      <c r="D255" s="2593"/>
      <c r="E255" s="2594"/>
    </row>
    <row r="256" spans="1:6" hidden="1">
      <c r="A256" s="2595"/>
      <c r="B256" s="2596"/>
      <c r="C256" s="2596"/>
      <c r="D256" s="2596"/>
      <c r="E256" s="2591"/>
    </row>
    <row r="257" spans="1:6" hidden="1">
      <c r="A257" s="2597"/>
      <c r="B257" s="2598"/>
      <c r="C257" s="2598"/>
      <c r="D257" s="2598"/>
      <c r="E257" s="2599"/>
    </row>
    <row r="258" spans="1:6" ht="12.75" hidden="1" customHeight="1">
      <c r="A258" s="2402"/>
      <c r="B258" s="2402"/>
      <c r="C258" s="2402"/>
      <c r="D258" s="2402"/>
      <c r="E258" s="2402"/>
    </row>
    <row r="259" spans="1:6" ht="12.75" hidden="1" customHeight="1">
      <c r="A259" s="527" t="s">
        <v>1522</v>
      </c>
    </row>
    <row r="260" spans="1:6" ht="12.75" hidden="1" customHeight="1">
      <c r="A260" s="2405"/>
      <c r="B260" s="2406" t="s">
        <v>1491</v>
      </c>
      <c r="C260" s="2406" t="s">
        <v>1492</v>
      </c>
      <c r="D260" s="2407" t="s">
        <v>1506</v>
      </c>
      <c r="E260" s="2418" t="s">
        <v>560</v>
      </c>
      <c r="F260" s="2419" t="s">
        <v>1507</v>
      </c>
    </row>
    <row r="261" spans="1:6" hidden="1">
      <c r="A261" s="2408" t="s">
        <v>1017</v>
      </c>
      <c r="B261" s="2399"/>
      <c r="C261" s="2399"/>
      <c r="D261" s="2399"/>
      <c r="E261" s="2399"/>
      <c r="F261" s="2409"/>
    </row>
    <row r="262" spans="1:6" hidden="1">
      <c r="A262" s="2410" t="s">
        <v>522</v>
      </c>
      <c r="B262" s="2400">
        <f>Motpart!D40</f>
        <v>0</v>
      </c>
      <c r="C262" s="2400">
        <v>13010</v>
      </c>
      <c r="D262" s="2400">
        <f>B262-C262</f>
        <v>-13010</v>
      </c>
      <c r="E262" s="2416">
        <f>IF(AND(B262=0,C262=0),"",IF(C262=0,"100%",(B262-C262)/C262))</f>
        <v>-1</v>
      </c>
      <c r="F262" s="2411"/>
    </row>
    <row r="263" spans="1:6" hidden="1">
      <c r="A263" s="2410" t="s">
        <v>548</v>
      </c>
      <c r="B263" s="2400">
        <f>Motpart!E40</f>
        <v>0</v>
      </c>
      <c r="C263" s="2400">
        <v>22767</v>
      </c>
      <c r="D263" s="2400">
        <f t="shared" ref="D263:D278" si="6">B263-C263</f>
        <v>-22767</v>
      </c>
      <c r="E263" s="2416">
        <f t="shared" ref="E263:E278" si="7">IF(AND(B263=0,C263=0),"",IF(C263=0,"100%",(B263-C263)/C263))</f>
        <v>-1</v>
      </c>
      <c r="F263" s="2411"/>
    </row>
    <row r="264" spans="1:6" hidden="1">
      <c r="A264" s="2410" t="s">
        <v>523</v>
      </c>
      <c r="B264" s="2400">
        <f>Motpart!F40</f>
        <v>0</v>
      </c>
      <c r="C264" s="2400">
        <v>48996</v>
      </c>
      <c r="D264" s="2400">
        <f t="shared" si="6"/>
        <v>-48996</v>
      </c>
      <c r="E264" s="2416">
        <f t="shared" si="7"/>
        <v>-1</v>
      </c>
      <c r="F264" s="2411"/>
    </row>
    <row r="265" spans="1:6" hidden="1">
      <c r="A265" s="2410" t="s">
        <v>134</v>
      </c>
      <c r="B265" s="2400">
        <f>Motpart!G40</f>
        <v>0</v>
      </c>
      <c r="C265" s="2400">
        <v>10106</v>
      </c>
      <c r="D265" s="2400">
        <f t="shared" si="6"/>
        <v>-10106</v>
      </c>
      <c r="E265" s="2416">
        <f t="shared" si="7"/>
        <v>-1</v>
      </c>
      <c r="F265" s="2411"/>
    </row>
    <row r="266" spans="1:6" hidden="1">
      <c r="A266" s="2410" t="s">
        <v>1375</v>
      </c>
      <c r="B266" s="2400">
        <f>Motpart!H40</f>
        <v>0</v>
      </c>
      <c r="C266" s="2400">
        <v>2444</v>
      </c>
      <c r="D266" s="2400">
        <f t="shared" si="6"/>
        <v>-2444</v>
      </c>
      <c r="E266" s="2416">
        <f t="shared" si="7"/>
        <v>-1</v>
      </c>
      <c r="F266" s="2411"/>
    </row>
    <row r="267" spans="1:6" hidden="1">
      <c r="A267" s="2410" t="s">
        <v>524</v>
      </c>
      <c r="B267" s="2400">
        <f>Motpart!I40</f>
        <v>0</v>
      </c>
      <c r="C267" s="2400">
        <v>709</v>
      </c>
      <c r="D267" s="2400">
        <f t="shared" si="6"/>
        <v>-709</v>
      </c>
      <c r="E267" s="2416">
        <f t="shared" si="7"/>
        <v>-1</v>
      </c>
      <c r="F267" s="2411"/>
    </row>
    <row r="268" spans="1:6" hidden="1">
      <c r="A268" s="2410" t="s">
        <v>1080</v>
      </c>
      <c r="B268" s="2400">
        <f>Motpart!K40</f>
        <v>0</v>
      </c>
      <c r="C268" s="2400">
        <v>1985</v>
      </c>
      <c r="D268" s="2400">
        <f t="shared" si="6"/>
        <v>-1985</v>
      </c>
      <c r="E268" s="2416">
        <f t="shared" si="7"/>
        <v>-1</v>
      </c>
      <c r="F268" s="2411"/>
    </row>
    <row r="269" spans="1:6" hidden="1">
      <c r="A269" s="2410" t="s">
        <v>162</v>
      </c>
      <c r="B269" s="2400">
        <f>Motpart!L40</f>
        <v>0</v>
      </c>
      <c r="C269" s="2400">
        <v>10</v>
      </c>
      <c r="D269" s="2400">
        <f t="shared" si="6"/>
        <v>-10</v>
      </c>
      <c r="E269" s="2416">
        <f t="shared" si="7"/>
        <v>-1</v>
      </c>
      <c r="F269" s="2411"/>
    </row>
    <row r="270" spans="1:6" hidden="1">
      <c r="A270" s="2421"/>
      <c r="B270" s="2400"/>
      <c r="C270" s="2400"/>
      <c r="D270" s="2400"/>
      <c r="E270" s="2416"/>
      <c r="F270" s="2411"/>
    </row>
    <row r="271" spans="1:6" hidden="1">
      <c r="A271" s="2408" t="s">
        <v>1015</v>
      </c>
      <c r="B271" s="2400"/>
      <c r="C271" s="2400"/>
      <c r="D271" s="2400"/>
      <c r="E271" s="2416"/>
      <c r="F271" s="2411"/>
    </row>
    <row r="272" spans="1:6" hidden="1">
      <c r="A272" s="2410" t="s">
        <v>522</v>
      </c>
      <c r="B272" s="2400">
        <f>Motpart!O40</f>
        <v>0</v>
      </c>
      <c r="C272" s="2400">
        <v>20</v>
      </c>
      <c r="D272" s="2400">
        <f t="shared" si="6"/>
        <v>-20</v>
      </c>
      <c r="E272" s="2416">
        <f t="shared" si="7"/>
        <v>-1</v>
      </c>
      <c r="F272" s="2411"/>
    </row>
    <row r="273" spans="1:6" hidden="1">
      <c r="A273" s="2410" t="s">
        <v>548</v>
      </c>
      <c r="B273" s="2400">
        <f>Motpart!P40</f>
        <v>0</v>
      </c>
      <c r="C273" s="2400">
        <v>1628.4306033254325</v>
      </c>
      <c r="D273" s="2400">
        <f t="shared" si="6"/>
        <v>-1628.4306033254325</v>
      </c>
      <c r="E273" s="2416">
        <f t="shared" si="7"/>
        <v>-1</v>
      </c>
      <c r="F273" s="2411"/>
    </row>
    <row r="274" spans="1:6" hidden="1">
      <c r="A274" s="2410" t="s">
        <v>523</v>
      </c>
      <c r="B274" s="2400">
        <f>Motpart!Q40</f>
        <v>0</v>
      </c>
      <c r="C274" s="2400">
        <v>62174.430603325432</v>
      </c>
      <c r="D274" s="2400">
        <f t="shared" si="6"/>
        <v>-62174.430603325432</v>
      </c>
      <c r="E274" s="2416">
        <f t="shared" si="7"/>
        <v>-1</v>
      </c>
      <c r="F274" s="2411"/>
    </row>
    <row r="275" spans="1:6" hidden="1">
      <c r="A275" s="2410" t="s">
        <v>134</v>
      </c>
      <c r="B275" s="2400">
        <f>Motpart!R40</f>
        <v>0</v>
      </c>
      <c r="C275" s="2400">
        <v>37</v>
      </c>
      <c r="D275" s="2400">
        <f t="shared" si="6"/>
        <v>-37</v>
      </c>
      <c r="E275" s="2416">
        <f t="shared" si="7"/>
        <v>-1</v>
      </c>
      <c r="F275" s="2411"/>
    </row>
    <row r="276" spans="1:6" hidden="1">
      <c r="A276" s="2410" t="s">
        <v>1375</v>
      </c>
      <c r="B276" s="2400">
        <f>Motpart!S40</f>
        <v>0</v>
      </c>
      <c r="C276" s="2400">
        <v>453</v>
      </c>
      <c r="D276" s="2400">
        <f t="shared" si="6"/>
        <v>-453</v>
      </c>
      <c r="E276" s="2416">
        <f t="shared" si="7"/>
        <v>-1</v>
      </c>
      <c r="F276" s="2411"/>
    </row>
    <row r="277" spans="1:6" hidden="1">
      <c r="A277" s="2410" t="s">
        <v>1080</v>
      </c>
      <c r="B277" s="2400">
        <f>Motpart!T40</f>
        <v>0</v>
      </c>
      <c r="C277" s="2400">
        <v>11003</v>
      </c>
      <c r="D277" s="2400">
        <f t="shared" si="6"/>
        <v>-11003</v>
      </c>
      <c r="E277" s="2416">
        <f t="shared" si="7"/>
        <v>-1</v>
      </c>
      <c r="F277" s="2411"/>
    </row>
    <row r="278" spans="1:6" hidden="1">
      <c r="A278" s="2410" t="s">
        <v>1081</v>
      </c>
      <c r="B278" s="2400">
        <f>Motpart!U40</f>
        <v>0</v>
      </c>
      <c r="C278" s="2400">
        <v>126</v>
      </c>
      <c r="D278" s="2400">
        <f t="shared" si="6"/>
        <v>-126</v>
      </c>
      <c r="E278" s="2416">
        <f t="shared" si="7"/>
        <v>-1</v>
      </c>
      <c r="F278" s="2411"/>
    </row>
    <row r="279" spans="1:6" hidden="1">
      <c r="A279" s="2410" t="s">
        <v>1079</v>
      </c>
      <c r="B279" s="2400">
        <f>Motpart!V40</f>
        <v>0</v>
      </c>
      <c r="C279" s="2400">
        <v>200</v>
      </c>
      <c r="D279" s="2400">
        <f t="shared" ref="D279" si="8">B279-C279</f>
        <v>-200</v>
      </c>
      <c r="E279" s="2416">
        <f t="shared" ref="E279" si="9">IF(AND(B279=0,C279=0),"",IF(C279=0,"100%",(B279-C279)/C279))</f>
        <v>-1</v>
      </c>
      <c r="F279" s="2411"/>
    </row>
    <row r="280" spans="1:6" hidden="1">
      <c r="A280" s="2410" t="s">
        <v>162</v>
      </c>
      <c r="B280" s="2400">
        <f>Motpart!W40</f>
        <v>0</v>
      </c>
      <c r="C280" s="2400">
        <v>11619</v>
      </c>
      <c r="D280" s="2400">
        <f>B280-C280</f>
        <v>-11619</v>
      </c>
      <c r="E280" s="2416">
        <f>IF(AND(B280=0,C280=0),"",IF(C280=0,"100%",(B280-C280)/C280))</f>
        <v>-1</v>
      </c>
      <c r="F280" s="2411"/>
    </row>
    <row r="281" spans="1:6" hidden="1">
      <c r="A281" s="2410"/>
      <c r="B281" s="2400"/>
      <c r="C281" s="2400"/>
      <c r="D281" s="2400"/>
      <c r="E281" s="2416"/>
      <c r="F281" s="2411"/>
    </row>
    <row r="282" spans="1:6" hidden="1">
      <c r="A282" s="2408" t="s">
        <v>1524</v>
      </c>
      <c r="B282" s="2400"/>
      <c r="C282" s="2400"/>
      <c r="D282" s="2400"/>
      <c r="E282" s="2416"/>
      <c r="F282" s="2411"/>
    </row>
    <row r="283" spans="1:6" hidden="1">
      <c r="A283" s="2410" t="s">
        <v>1064</v>
      </c>
      <c r="B283" s="2400">
        <f>Motpart!Y40</f>
        <v>0</v>
      </c>
      <c r="C283" s="2400">
        <v>20</v>
      </c>
      <c r="D283" s="2400">
        <f t="shared" ref="D283:D287" si="10">B283-C283</f>
        <v>-20</v>
      </c>
      <c r="E283" s="2416">
        <f t="shared" ref="E283:E287" si="11">IF(AND(B283=0,C283=0),"",IF(C283=0,"100%",(B283-C283)/C283))</f>
        <v>-1</v>
      </c>
      <c r="F283" s="2411"/>
    </row>
    <row r="284" spans="1:6" hidden="1">
      <c r="A284" s="2410" t="s">
        <v>525</v>
      </c>
      <c r="B284" s="2400">
        <f>Motpart!Z40</f>
        <v>0</v>
      </c>
      <c r="C284" s="2400">
        <v>1628.4306033254325</v>
      </c>
      <c r="D284" s="2400">
        <f t="shared" si="10"/>
        <v>-1628.4306033254325</v>
      </c>
      <c r="E284" s="2416">
        <f t="shared" si="11"/>
        <v>-1</v>
      </c>
      <c r="F284" s="2411"/>
    </row>
    <row r="285" spans="1:6" hidden="1">
      <c r="A285" s="2410" t="s">
        <v>1479</v>
      </c>
      <c r="B285" s="2400">
        <f>Motpart!AA40</f>
        <v>0</v>
      </c>
      <c r="C285" s="2400">
        <v>62174.430603325432</v>
      </c>
      <c r="D285" s="2400">
        <f t="shared" si="10"/>
        <v>-62174.430603325432</v>
      </c>
      <c r="E285" s="2416">
        <f t="shared" si="11"/>
        <v>-1</v>
      </c>
      <c r="F285" s="2411"/>
    </row>
    <row r="286" spans="1:6" hidden="1">
      <c r="A286" s="2410" t="s">
        <v>526</v>
      </c>
      <c r="B286" s="2400">
        <f>Motpart!AB40</f>
        <v>0</v>
      </c>
      <c r="C286" s="2400">
        <v>37</v>
      </c>
      <c r="D286" s="2400">
        <f t="shared" si="10"/>
        <v>-37</v>
      </c>
      <c r="E286" s="2416">
        <f t="shared" si="11"/>
        <v>-1</v>
      </c>
      <c r="F286" s="2411"/>
    </row>
    <row r="287" spans="1:6" hidden="1">
      <c r="A287" s="2412" t="s">
        <v>527</v>
      </c>
      <c r="B287" s="2413">
        <f>Motpart!AC40</f>
        <v>0</v>
      </c>
      <c r="C287" s="2413">
        <v>453</v>
      </c>
      <c r="D287" s="2413">
        <f t="shared" si="10"/>
        <v>-453</v>
      </c>
      <c r="E287" s="2420">
        <f t="shared" si="11"/>
        <v>-1</v>
      </c>
      <c r="F287" s="2414"/>
    </row>
    <row r="288" spans="1:6" hidden="1">
      <c r="A288" s="343" t="s">
        <v>1523</v>
      </c>
    </row>
    <row r="289" spans="1:5" hidden="1">
      <c r="A289" s="2592"/>
      <c r="B289" s="2593"/>
      <c r="C289" s="2593"/>
      <c r="D289" s="2593"/>
      <c r="E289" s="2594"/>
    </row>
    <row r="290" spans="1:5" hidden="1">
      <c r="A290" s="2595"/>
      <c r="B290" s="2596"/>
      <c r="C290" s="2596"/>
      <c r="D290" s="2596"/>
      <c r="E290" s="2591"/>
    </row>
    <row r="291" spans="1:5" hidden="1">
      <c r="A291" s="2597"/>
      <c r="B291" s="2598"/>
      <c r="C291" s="2598"/>
      <c r="D291" s="2598"/>
      <c r="E291" s="2599"/>
    </row>
    <row r="292" spans="1:5" ht="12.75" hidden="1" customHeight="1">
      <c r="A292" s="2402"/>
      <c r="B292" s="2402"/>
      <c r="C292" s="2402"/>
      <c r="D292" s="2402"/>
      <c r="E292" s="2402"/>
    </row>
    <row r="293" spans="1:5" ht="12.75" hidden="1" customHeight="1"/>
    <row r="294" spans="1:5" ht="12.75" hidden="1" customHeight="1"/>
    <row r="302" spans="1:5"/>
    <row r="303" spans="1:5"/>
    <row r="304" spans="1:5"/>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sheetData>
  <customSheetViews>
    <customSheetView guid="{27C9E95B-0E2B-454F-B637-1CECC9579A10}" showRuler="0">
      <selection activeCell="G40" sqref="G40"/>
      <pageMargins left="0.75" right="0.75" top="1" bottom="1" header="0.5" footer="0.5"/>
      <pageSetup paperSize="9" orientation="portrait" r:id="rId1"/>
      <headerFooter alignWithMargins="0"/>
    </customSheetView>
  </customSheetViews>
  <mergeCells count="20">
    <mergeCell ref="A146:E148"/>
    <mergeCell ref="A154:E156"/>
    <mergeCell ref="A163:E165"/>
    <mergeCell ref="A171:E173"/>
    <mergeCell ref="A184:E186"/>
    <mergeCell ref="A104:E106"/>
    <mergeCell ref="A113:E115"/>
    <mergeCell ref="A121:E123"/>
    <mergeCell ref="A129:E131"/>
    <mergeCell ref="A137:E139"/>
    <mergeCell ref="A59:E61"/>
    <mergeCell ref="A67:E69"/>
    <mergeCell ref="A75:E77"/>
    <mergeCell ref="A83:E85"/>
    <mergeCell ref="A96:E97"/>
    <mergeCell ref="A1:F1"/>
    <mergeCell ref="A15:E17"/>
    <mergeCell ref="A26:E28"/>
    <mergeCell ref="A34:E36"/>
    <mergeCell ref="A51:E53"/>
  </mergeCells>
  <phoneticPr fontId="0" type="noConversion"/>
  <pageMargins left="0.75" right="0.75" top="1" bottom="1" header="0.5" footer="0.5"/>
  <pageSetup paperSize="9"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5">
    <tabColor indexed="13"/>
  </sheetPr>
  <dimension ref="A1:H152"/>
  <sheetViews>
    <sheetView topLeftCell="A100" zoomScaleNormal="100" zoomScaleSheetLayoutView="100" workbookViewId="0">
      <selection activeCell="C9" sqref="C9"/>
    </sheetView>
  </sheetViews>
  <sheetFormatPr defaultRowHeight="12.75"/>
  <cols>
    <col min="1" max="1" width="15.5703125" customWidth="1"/>
    <col min="2" max="2" width="11.5703125" style="530" bestFit="1" customWidth="1"/>
    <col min="3" max="3" width="64.42578125" style="527" customWidth="1"/>
    <col min="4" max="4" width="10.5703125" customWidth="1"/>
    <col min="6" max="6" width="12.42578125" bestFit="1" customWidth="1"/>
  </cols>
  <sheetData>
    <row r="1" spans="1:5">
      <c r="A1" s="527" t="s">
        <v>840</v>
      </c>
      <c r="B1" s="527" t="s">
        <v>720</v>
      </c>
      <c r="C1" s="527" t="s">
        <v>721</v>
      </c>
      <c r="D1" s="527" t="s">
        <v>722</v>
      </c>
      <c r="E1" s="527" t="s">
        <v>723</v>
      </c>
    </row>
    <row r="2" spans="1:5">
      <c r="A2" s="527"/>
      <c r="B2" s="527"/>
      <c r="D2" s="527"/>
      <c r="E2" s="527"/>
    </row>
    <row r="3" spans="1:5">
      <c r="A3" s="537" t="s">
        <v>411</v>
      </c>
      <c r="D3" s="527"/>
      <c r="E3" s="527"/>
    </row>
    <row r="4" spans="1:5">
      <c r="A4" s="529" t="s">
        <v>871</v>
      </c>
      <c r="C4" s="384"/>
      <c r="D4" s="384"/>
      <c r="E4" s="384"/>
    </row>
    <row r="5" spans="1:5">
      <c r="A5" s="540" t="s">
        <v>724</v>
      </c>
      <c r="B5" s="541">
        <f>ROUND('Äldre o personer funktionsn'!K12-'Äldre o personer funktionsn'!G12,0)</f>
        <v>0</v>
      </c>
      <c r="C5" s="384" t="s">
        <v>725</v>
      </c>
      <c r="D5" s="540" t="s">
        <v>726</v>
      </c>
      <c r="E5" s="540" t="s">
        <v>727</v>
      </c>
    </row>
    <row r="6" spans="1:5">
      <c r="A6" s="540" t="s">
        <v>728</v>
      </c>
      <c r="B6" s="542">
        <f>ROUND('Äldre o personer funktionsn'!K13-'Äldre o personer funktionsn'!G13,0)</f>
        <v>0</v>
      </c>
      <c r="C6" s="384" t="s">
        <v>729</v>
      </c>
      <c r="D6" s="540" t="s">
        <v>726</v>
      </c>
      <c r="E6" s="540" t="s">
        <v>727</v>
      </c>
    </row>
    <row r="7" spans="1:5">
      <c r="A7" s="540" t="s">
        <v>730</v>
      </c>
      <c r="B7" s="542">
        <f>ROUND('Äldre o personer funktionsn'!K14-'Äldre o personer funktionsn'!G14,0)</f>
        <v>0</v>
      </c>
      <c r="C7" s="384" t="s">
        <v>731</v>
      </c>
      <c r="D7" s="540" t="s">
        <v>726</v>
      </c>
      <c r="E7" s="540" t="s">
        <v>727</v>
      </c>
    </row>
    <row r="8" spans="1:5">
      <c r="A8" s="540" t="s">
        <v>732</v>
      </c>
      <c r="B8" s="542">
        <f>ROUND('Äldre o personer funktionsn'!K15-'Äldre o personer funktionsn'!G15,0)</f>
        <v>0</v>
      </c>
      <c r="C8" s="384" t="s">
        <v>733</v>
      </c>
      <c r="D8" s="540" t="s">
        <v>726</v>
      </c>
      <c r="E8" s="540" t="s">
        <v>727</v>
      </c>
    </row>
    <row r="9" spans="1:5">
      <c r="A9" s="540" t="s">
        <v>734</v>
      </c>
      <c r="B9" s="542">
        <f>ROUND('Äldre o personer funktionsn'!K16-'Äldre o personer funktionsn'!G16,0)</f>
        <v>0</v>
      </c>
      <c r="C9" s="384" t="s">
        <v>735</v>
      </c>
      <c r="D9" s="540" t="s">
        <v>726</v>
      </c>
      <c r="E9" s="540" t="s">
        <v>727</v>
      </c>
    </row>
    <row r="10" spans="1:5">
      <c r="A10" s="540" t="s">
        <v>736</v>
      </c>
      <c r="B10" s="542">
        <f>ROUND('Äldre o personer funktionsn'!K17-'Äldre o personer funktionsn'!G17,0)</f>
        <v>0</v>
      </c>
      <c r="C10" s="384" t="s">
        <v>737</v>
      </c>
      <c r="D10" s="540" t="s">
        <v>726</v>
      </c>
      <c r="E10" s="540" t="s">
        <v>727</v>
      </c>
    </row>
    <row r="11" spans="1:5">
      <c r="A11" s="540" t="s">
        <v>738</v>
      </c>
      <c r="B11" s="542">
        <f>ROUND('Äldre o personer funktionsn'!K18-'Äldre o personer funktionsn'!G18,0)</f>
        <v>0</v>
      </c>
      <c r="C11" s="384" t="s">
        <v>739</v>
      </c>
      <c r="D11" s="540" t="s">
        <v>726</v>
      </c>
      <c r="E11" s="540" t="s">
        <v>727</v>
      </c>
    </row>
    <row r="12" spans="1:5">
      <c r="A12" s="540" t="s">
        <v>740</v>
      </c>
      <c r="B12" s="542">
        <f>ROUND('Äldre o personer funktionsn'!K13+'Äldre o personer funktionsn'!K14+'Äldre o personer funktionsn'!K15+'Äldre o personer funktionsn'!K18-'Äldre o personer funktionsn'!G13-'Äldre o personer funktionsn'!G14-'Äldre o personer funktionsn'!G15-'Äldre o personer funktionsn'!G18,0)</f>
        <v>0</v>
      </c>
      <c r="C12" s="384" t="s">
        <v>741</v>
      </c>
      <c r="D12" s="540" t="s">
        <v>726</v>
      </c>
      <c r="E12" s="540" t="s">
        <v>727</v>
      </c>
    </row>
    <row r="13" spans="1:5">
      <c r="A13" s="540"/>
      <c r="B13" s="542"/>
      <c r="C13" s="384"/>
      <c r="D13" s="540"/>
      <c r="E13" s="540"/>
    </row>
    <row r="14" spans="1:5">
      <c r="A14" s="540" t="s">
        <v>742</v>
      </c>
      <c r="B14" s="542">
        <f>ROUND('Äldre o personer funktionsn'!K21-'Äldre o personer funktionsn'!G21,0)</f>
        <v>0</v>
      </c>
      <c r="C14" s="384" t="s">
        <v>743</v>
      </c>
      <c r="D14" s="540" t="s">
        <v>726</v>
      </c>
      <c r="E14" s="540" t="s">
        <v>727</v>
      </c>
    </row>
    <row r="15" spans="1:5">
      <c r="A15" s="540" t="s">
        <v>744</v>
      </c>
      <c r="B15" s="542">
        <f>ROUND('Äldre o personer funktionsn'!K22-'Äldre o personer funktionsn'!G22,0)</f>
        <v>0</v>
      </c>
      <c r="C15" s="384" t="s">
        <v>745</v>
      </c>
      <c r="D15" s="540" t="s">
        <v>726</v>
      </c>
      <c r="E15" s="540" t="s">
        <v>727</v>
      </c>
    </row>
    <row r="16" spans="1:5">
      <c r="A16" s="540" t="s">
        <v>746</v>
      </c>
      <c r="B16" s="542">
        <f>ROUND('Äldre o personer funktionsn'!K23-'Äldre o personer funktionsn'!G23,0)</f>
        <v>0</v>
      </c>
      <c r="C16" s="384" t="s">
        <v>747</v>
      </c>
      <c r="D16" s="540" t="s">
        <v>726</v>
      </c>
      <c r="E16" s="540" t="s">
        <v>727</v>
      </c>
    </row>
    <row r="17" spans="1:6">
      <c r="A17" s="540" t="s">
        <v>748</v>
      </c>
      <c r="B17" s="542">
        <f>ROUND('Äldre o personer funktionsn'!K24-'Äldre o personer funktionsn'!G24,0)</f>
        <v>0</v>
      </c>
      <c r="C17" s="384" t="s">
        <v>749</v>
      </c>
      <c r="D17" s="540" t="s">
        <v>726</v>
      </c>
      <c r="E17" s="540" t="s">
        <v>727</v>
      </c>
    </row>
    <row r="18" spans="1:6">
      <c r="A18" s="540" t="s">
        <v>750</v>
      </c>
      <c r="B18" s="542">
        <f>ROUND('Äldre o personer funktionsn'!K26-'Äldre o personer funktionsn'!G26,0)</f>
        <v>0</v>
      </c>
      <c r="C18" s="384" t="s">
        <v>751</v>
      </c>
      <c r="D18" s="540" t="s">
        <v>726</v>
      </c>
      <c r="E18" s="540" t="s">
        <v>727</v>
      </c>
    </row>
    <row r="19" spans="1:6">
      <c r="A19" s="540" t="s">
        <v>752</v>
      </c>
      <c r="B19" s="542">
        <f>ROUND('Äldre o personer funktionsn'!K27-'Äldre o personer funktionsn'!G27,0)</f>
        <v>0</v>
      </c>
      <c r="C19" s="384" t="s">
        <v>753</v>
      </c>
      <c r="D19" s="540" t="s">
        <v>726</v>
      </c>
      <c r="E19" s="540" t="s">
        <v>727</v>
      </c>
    </row>
    <row r="20" spans="1:6">
      <c r="A20" s="540" t="s">
        <v>754</v>
      </c>
      <c r="B20" s="542">
        <f>ROUND('Äldre o personer funktionsn'!K28-'Äldre o personer funktionsn'!G28,0)</f>
        <v>0</v>
      </c>
      <c r="C20" s="384" t="s">
        <v>755</v>
      </c>
      <c r="D20" s="540" t="s">
        <v>726</v>
      </c>
      <c r="E20" s="540" t="s">
        <v>727</v>
      </c>
      <c r="F20" s="394"/>
    </row>
    <row r="21" spans="1:6">
      <c r="A21" s="540" t="s">
        <v>756</v>
      </c>
      <c r="B21" s="542">
        <f>ROUND('Äldre o personer funktionsn'!K22+'Äldre o personer funktionsn'!K23+'Äldre o personer funktionsn'!K24+'Äldre o personer funktionsn'!K25+'Äldre o personer funktionsn'!K28-'Äldre o personer funktionsn'!G22-'Äldre o personer funktionsn'!G23-'Äldre o personer funktionsn'!G24-'Äldre o personer funktionsn'!G25-'Äldre o personer funktionsn'!G28,0)</f>
        <v>0</v>
      </c>
      <c r="C21" s="384" t="s">
        <v>757</v>
      </c>
      <c r="D21" s="540" t="s">
        <v>726</v>
      </c>
      <c r="E21" s="540" t="s">
        <v>727</v>
      </c>
    </row>
    <row r="22" spans="1:6">
      <c r="A22" s="540"/>
      <c r="B22" s="542"/>
      <c r="C22" s="384"/>
      <c r="D22" s="540"/>
      <c r="E22" s="540"/>
    </row>
    <row r="23" spans="1:6">
      <c r="A23" s="540" t="s">
        <v>758</v>
      </c>
      <c r="B23" s="542">
        <f>ROUND('Äldre o personer funktionsn'!K31-'Äldre o personer funktionsn'!G31,0)</f>
        <v>0</v>
      </c>
      <c r="C23" s="384" t="s">
        <v>759</v>
      </c>
      <c r="D23" s="540" t="s">
        <v>726</v>
      </c>
      <c r="E23" s="540" t="s">
        <v>727</v>
      </c>
    </row>
    <row r="24" spans="1:6">
      <c r="A24" s="540" t="s">
        <v>848</v>
      </c>
      <c r="B24" s="542">
        <f>ROUND('Äldre o personer funktionsn'!K32+'Äldre o personer funktionsn'!K33-'Äldre o personer funktionsn'!G32-'Äldre o personer funktionsn'!G33,0)</f>
        <v>0</v>
      </c>
      <c r="C24" s="384" t="s">
        <v>760</v>
      </c>
      <c r="D24" s="540"/>
      <c r="E24" s="540"/>
    </row>
    <row r="25" spans="1:6">
      <c r="A25" s="540" t="s">
        <v>761</v>
      </c>
      <c r="B25" s="542">
        <f>ROUND('Äldre o personer funktionsn'!K32-'Äldre o personer funktionsn'!G32,0)</f>
        <v>0</v>
      </c>
      <c r="C25" s="384" t="s">
        <v>762</v>
      </c>
      <c r="D25" s="540" t="s">
        <v>726</v>
      </c>
      <c r="E25" s="540" t="s">
        <v>727</v>
      </c>
    </row>
    <row r="26" spans="1:6">
      <c r="A26" s="540" t="s">
        <v>763</v>
      </c>
      <c r="B26" s="542">
        <f>ROUND('Äldre o personer funktionsn'!K33-'Äldre o personer funktionsn'!G33,0)</f>
        <v>0</v>
      </c>
      <c r="C26" s="384" t="s">
        <v>764</v>
      </c>
      <c r="D26" s="540" t="s">
        <v>726</v>
      </c>
      <c r="E26" s="540" t="s">
        <v>727</v>
      </c>
    </row>
    <row r="27" spans="1:6">
      <c r="A27" s="540" t="s">
        <v>765</v>
      </c>
      <c r="B27" s="542">
        <f>ROUND('Äldre o personer funktionsn'!K34-'Äldre o personer funktionsn'!G34,0)</f>
        <v>0</v>
      </c>
      <c r="C27" s="384" t="s">
        <v>766</v>
      </c>
      <c r="D27" s="540" t="s">
        <v>726</v>
      </c>
      <c r="E27" s="540" t="s">
        <v>727</v>
      </c>
    </row>
    <row r="28" spans="1:6">
      <c r="A28" s="540" t="s">
        <v>767</v>
      </c>
      <c r="B28" s="542">
        <f>ROUND('Äldre o personer funktionsn'!K35-'Äldre o personer funktionsn'!G35,0)</f>
        <v>0</v>
      </c>
      <c r="C28" s="384" t="s">
        <v>768</v>
      </c>
      <c r="D28" s="540" t="s">
        <v>726</v>
      </c>
      <c r="E28" s="540" t="s">
        <v>727</v>
      </c>
    </row>
    <row r="29" spans="1:6">
      <c r="A29" s="540" t="s">
        <v>769</v>
      </c>
      <c r="B29" s="542">
        <f>ROUND('Äldre o personer funktionsn'!K36-'Äldre o personer funktionsn'!G36,0)</f>
        <v>0</v>
      </c>
      <c r="C29" s="384" t="s">
        <v>770</v>
      </c>
      <c r="D29" s="540" t="s">
        <v>726</v>
      </c>
      <c r="E29" s="540" t="s">
        <v>727</v>
      </c>
    </row>
    <row r="30" spans="1:6">
      <c r="A30" s="543"/>
      <c r="B30" s="542"/>
      <c r="C30" s="384"/>
      <c r="D30" s="543"/>
      <c r="E30" s="540"/>
    </row>
    <row r="31" spans="1:6">
      <c r="A31" s="543" t="s">
        <v>771</v>
      </c>
      <c r="B31" s="542">
        <f>ROUND('Äldre o personer funktionsn'!K21+'Äldre o personer funktionsn'!K31-'Äldre o personer funktionsn'!G21-'Äldre o personer funktionsn'!G31,0)</f>
        <v>0</v>
      </c>
      <c r="C31" s="384" t="s">
        <v>772</v>
      </c>
      <c r="D31" s="543" t="s">
        <v>726</v>
      </c>
      <c r="E31" s="540" t="s">
        <v>727</v>
      </c>
    </row>
    <row r="32" spans="1:6">
      <c r="A32" s="543" t="s">
        <v>773</v>
      </c>
      <c r="B32" s="542">
        <f>B12+B21</f>
        <v>0</v>
      </c>
      <c r="C32" s="384" t="s">
        <v>774</v>
      </c>
      <c r="D32" s="543" t="s">
        <v>726</v>
      </c>
      <c r="E32" s="540" t="s">
        <v>727</v>
      </c>
    </row>
    <row r="33" spans="1:6">
      <c r="A33" s="543" t="s">
        <v>775</v>
      </c>
      <c r="B33" s="542">
        <f>B5+B14+B23</f>
        <v>0</v>
      </c>
      <c r="C33" s="384" t="s">
        <v>776</v>
      </c>
      <c r="D33" s="543" t="s">
        <v>726</v>
      </c>
      <c r="E33" s="540" t="s">
        <v>727</v>
      </c>
    </row>
    <row r="34" spans="1:6">
      <c r="A34" s="543"/>
      <c r="B34" s="542"/>
      <c r="C34" s="384"/>
      <c r="D34" s="543"/>
      <c r="E34" s="540"/>
    </row>
    <row r="35" spans="1:6">
      <c r="A35" s="529" t="s">
        <v>872</v>
      </c>
      <c r="B35" s="555"/>
      <c r="E35" s="384"/>
    </row>
    <row r="36" spans="1:6">
      <c r="A36" s="540" t="s">
        <v>777</v>
      </c>
      <c r="B36" s="542" t="str">
        <f>IF('Äldre o personer funktionsn'!$Q$12="","",B5/'Äldre o personer funktionsn'!$Q$12*1000)</f>
        <v/>
      </c>
      <c r="C36" s="384" t="s">
        <v>778</v>
      </c>
      <c r="D36" s="540" t="s">
        <v>779</v>
      </c>
      <c r="E36" s="540" t="s">
        <v>727</v>
      </c>
      <c r="F36" s="544"/>
    </row>
    <row r="37" spans="1:6">
      <c r="A37" s="540" t="s">
        <v>780</v>
      </c>
      <c r="B37" s="542" t="str">
        <f>IF('Äldre o personer funktionsn'!$Q$12="","",B6/'Äldre o personer funktionsn'!$Q$12*1000)</f>
        <v/>
      </c>
      <c r="C37" s="384" t="s">
        <v>781</v>
      </c>
      <c r="D37" s="540" t="s">
        <v>779</v>
      </c>
      <c r="E37" s="540" t="s">
        <v>727</v>
      </c>
      <c r="F37" s="544"/>
    </row>
    <row r="38" spans="1:6">
      <c r="A38" s="540" t="s">
        <v>782</v>
      </c>
      <c r="B38" s="542" t="str">
        <f>IF('Äldre o personer funktionsn'!$Q$12="","",B7/'Äldre o personer funktionsn'!$Q$12*1000)</f>
        <v/>
      </c>
      <c r="C38" s="384" t="s">
        <v>783</v>
      </c>
      <c r="D38" s="540" t="s">
        <v>779</v>
      </c>
      <c r="E38" s="540" t="s">
        <v>727</v>
      </c>
      <c r="F38" s="544"/>
    </row>
    <row r="39" spans="1:6">
      <c r="A39" s="540" t="s">
        <v>784</v>
      </c>
      <c r="B39" s="542" t="str">
        <f>IF('Äldre o personer funktionsn'!$Q$12="","",B8/'Äldre o personer funktionsn'!$Q$12*1000)</f>
        <v/>
      </c>
      <c r="C39" s="384" t="s">
        <v>785</v>
      </c>
      <c r="D39" s="540" t="s">
        <v>779</v>
      </c>
      <c r="E39" s="540" t="s">
        <v>727</v>
      </c>
      <c r="F39" s="544"/>
    </row>
    <row r="40" spans="1:6">
      <c r="A40" s="540" t="s">
        <v>786</v>
      </c>
      <c r="B40" s="542" t="str">
        <f>IF('Äldre o personer funktionsn'!$Q$12="","",B9/'Äldre o personer funktionsn'!$Q$12*1000)</f>
        <v/>
      </c>
      <c r="C40" s="384" t="s">
        <v>787</v>
      </c>
      <c r="D40" s="540" t="s">
        <v>779</v>
      </c>
      <c r="E40" s="540" t="s">
        <v>727</v>
      </c>
      <c r="F40" s="544"/>
    </row>
    <row r="41" spans="1:6">
      <c r="A41" s="540" t="s">
        <v>788</v>
      </c>
      <c r="B41" s="542" t="str">
        <f>IF('Äldre o personer funktionsn'!$Q$12="","",B10/'Äldre o personer funktionsn'!$Q$12*1000)</f>
        <v/>
      </c>
      <c r="C41" s="384" t="s">
        <v>789</v>
      </c>
      <c r="D41" s="540" t="s">
        <v>779</v>
      </c>
      <c r="E41" s="540" t="s">
        <v>727</v>
      </c>
      <c r="F41" s="544"/>
    </row>
    <row r="42" spans="1:6">
      <c r="A42" s="540" t="s">
        <v>790</v>
      </c>
      <c r="B42" s="542" t="str">
        <f>IF('Äldre o personer funktionsn'!$Q$12="","",B11/'Äldre o personer funktionsn'!$Q$12*1000)</f>
        <v/>
      </c>
      <c r="C42" s="384" t="s">
        <v>791</v>
      </c>
      <c r="D42" s="540" t="s">
        <v>779</v>
      </c>
      <c r="E42" s="540" t="s">
        <v>727</v>
      </c>
      <c r="F42" s="544"/>
    </row>
    <row r="43" spans="1:6">
      <c r="A43" s="540" t="s">
        <v>792</v>
      </c>
      <c r="B43" s="542" t="str">
        <f>IF('Äldre o personer funktionsn'!$Q$12="","",B12/'Äldre o personer funktionsn'!$Q$12*1000)</f>
        <v/>
      </c>
      <c r="C43" s="384" t="s">
        <v>793</v>
      </c>
      <c r="D43" s="540" t="s">
        <v>779</v>
      </c>
      <c r="E43" s="540" t="s">
        <v>727</v>
      </c>
      <c r="F43" s="544"/>
    </row>
    <row r="44" spans="1:6">
      <c r="A44" s="544"/>
      <c r="B44" s="542"/>
      <c r="D44" s="544"/>
      <c r="E44" s="544"/>
      <c r="F44" s="544"/>
    </row>
    <row r="45" spans="1:6">
      <c r="A45" s="540" t="s">
        <v>794</v>
      </c>
      <c r="B45" s="542" t="str">
        <f>IF('Äldre o personer funktionsn'!$Q$21="","",Nyckeltal!B14/'Äldre o personer funktionsn'!$Q$21*1000)</f>
        <v/>
      </c>
      <c r="C45" s="384" t="s">
        <v>795</v>
      </c>
      <c r="D45" s="540" t="s">
        <v>796</v>
      </c>
      <c r="E45" s="540" t="s">
        <v>727</v>
      </c>
      <c r="F45" s="544"/>
    </row>
    <row r="46" spans="1:6">
      <c r="A46" s="540" t="s">
        <v>797</v>
      </c>
      <c r="B46" s="542" t="str">
        <f>IF('Äldre o personer funktionsn'!$Q$21="","",Nyckeltal!B15/'Äldre o personer funktionsn'!$Q$21*1000)</f>
        <v/>
      </c>
      <c r="C46" s="384" t="s">
        <v>798</v>
      </c>
      <c r="D46" s="540" t="s">
        <v>796</v>
      </c>
      <c r="E46" s="540" t="s">
        <v>727</v>
      </c>
      <c r="F46" s="544"/>
    </row>
    <row r="47" spans="1:6">
      <c r="A47" s="540" t="s">
        <v>799</v>
      </c>
      <c r="B47" s="542" t="str">
        <f>IF('Äldre o personer funktionsn'!$Q$21="","",Nyckeltal!B16/'Äldre o personer funktionsn'!$Q$21*1000)</f>
        <v/>
      </c>
      <c r="C47" s="384" t="s">
        <v>800</v>
      </c>
      <c r="D47" s="540" t="s">
        <v>796</v>
      </c>
      <c r="E47" s="540" t="s">
        <v>727</v>
      </c>
      <c r="F47" s="544"/>
    </row>
    <row r="48" spans="1:6">
      <c r="A48" s="540" t="s">
        <v>801</v>
      </c>
      <c r="B48" s="542" t="str">
        <f>IF('Äldre o personer funktionsn'!$Q$21="","",Nyckeltal!B17/'Äldre o personer funktionsn'!$Q$21*1000)</f>
        <v/>
      </c>
      <c r="C48" s="384" t="s">
        <v>802</v>
      </c>
      <c r="D48" s="540" t="s">
        <v>796</v>
      </c>
      <c r="E48" s="540" t="s">
        <v>727</v>
      </c>
      <c r="F48" s="544"/>
    </row>
    <row r="49" spans="1:6">
      <c r="A49" s="540" t="s">
        <v>803</v>
      </c>
      <c r="B49" s="542" t="str">
        <f>IF('Äldre o personer funktionsn'!$Q$21="","",Nyckeltal!B18/'Äldre o personer funktionsn'!$Q$21*1000)</f>
        <v/>
      </c>
      <c r="C49" s="384" t="s">
        <v>804</v>
      </c>
      <c r="D49" s="540" t="s">
        <v>796</v>
      </c>
      <c r="E49" s="540" t="s">
        <v>727</v>
      </c>
      <c r="F49" s="544"/>
    </row>
    <row r="50" spans="1:6">
      <c r="A50" s="540" t="s">
        <v>805</v>
      </c>
      <c r="B50" s="542" t="str">
        <f>IF('Äldre o personer funktionsn'!$Q$21="","",Nyckeltal!B19/'Äldre o personer funktionsn'!$Q$21*1000)</f>
        <v/>
      </c>
      <c r="C50" s="384" t="s">
        <v>806</v>
      </c>
      <c r="D50" s="540" t="s">
        <v>796</v>
      </c>
      <c r="E50" s="540" t="s">
        <v>727</v>
      </c>
      <c r="F50" s="544"/>
    </row>
    <row r="51" spans="1:6">
      <c r="A51" s="540" t="s">
        <v>807</v>
      </c>
      <c r="B51" s="542" t="str">
        <f>IF('Äldre o personer funktionsn'!$Q$21="","",Nyckeltal!B20/'Äldre o personer funktionsn'!$Q$21*1000)</f>
        <v/>
      </c>
      <c r="C51" s="384" t="s">
        <v>808</v>
      </c>
      <c r="D51" s="540" t="s">
        <v>796</v>
      </c>
      <c r="E51" s="540" t="s">
        <v>727</v>
      </c>
      <c r="F51" s="544"/>
    </row>
    <row r="52" spans="1:6">
      <c r="A52" s="540" t="s">
        <v>809</v>
      </c>
      <c r="B52" s="542" t="str">
        <f>IF('Äldre o personer funktionsn'!$Q$21="","",Nyckeltal!B21/'Äldre o personer funktionsn'!$Q$21*1000)</f>
        <v/>
      </c>
      <c r="C52" s="384" t="s">
        <v>810</v>
      </c>
      <c r="D52" s="540" t="s">
        <v>796</v>
      </c>
      <c r="E52" s="540" t="s">
        <v>727</v>
      </c>
      <c r="F52" s="544"/>
    </row>
    <row r="53" spans="1:6">
      <c r="A53" s="540"/>
      <c r="B53" s="542"/>
      <c r="C53" s="384"/>
      <c r="D53" s="540"/>
      <c r="E53" s="544"/>
      <c r="F53" s="544"/>
    </row>
    <row r="54" spans="1:6">
      <c r="A54" s="540" t="s">
        <v>811</v>
      </c>
      <c r="B54" s="542" t="str">
        <f>IF('Äldre o personer funktionsn'!$Q$31="","",Nyckeltal!B23/'Äldre o personer funktionsn'!$Q$31*1000)</f>
        <v/>
      </c>
      <c r="C54" s="384" t="s">
        <v>812</v>
      </c>
      <c r="D54" s="540" t="s">
        <v>813</v>
      </c>
      <c r="E54" s="540" t="s">
        <v>727</v>
      </c>
      <c r="F54" s="544"/>
    </row>
    <row r="55" spans="1:6">
      <c r="A55" s="540" t="s">
        <v>847</v>
      </c>
      <c r="B55" s="542" t="str">
        <f>IF('Äldre o personer funktionsn'!$Q$31="","",Nyckeltal!B24/'Äldre o personer funktionsn'!$Q$31*1000)</f>
        <v/>
      </c>
      <c r="C55" s="384" t="s">
        <v>814</v>
      </c>
      <c r="D55" s="540" t="s">
        <v>813</v>
      </c>
      <c r="E55" s="540" t="s">
        <v>727</v>
      </c>
      <c r="F55" s="544"/>
    </row>
    <row r="56" spans="1:6">
      <c r="A56" s="540" t="s">
        <v>815</v>
      </c>
      <c r="B56" s="542" t="str">
        <f>IF('Äldre o personer funktionsn'!Q32="","",Nyckeltal!B25/'Äldre o personer funktionsn'!Q32*1000)</f>
        <v/>
      </c>
      <c r="C56" s="384" t="s">
        <v>816</v>
      </c>
      <c r="D56" s="540" t="s">
        <v>817</v>
      </c>
      <c r="E56" s="540" t="s">
        <v>727</v>
      </c>
      <c r="F56" s="544"/>
    </row>
    <row r="57" spans="1:6">
      <c r="A57" s="540" t="s">
        <v>818</v>
      </c>
      <c r="B57" s="542" t="str">
        <f>IF('Äldre o personer funktionsn'!Q33="","",Nyckeltal!B26/'Äldre o personer funktionsn'!Q33*1000)</f>
        <v/>
      </c>
      <c r="C57" s="384" t="s">
        <v>819</v>
      </c>
      <c r="D57" s="540" t="s">
        <v>820</v>
      </c>
      <c r="E57" s="540" t="s">
        <v>727</v>
      </c>
      <c r="F57" s="544"/>
    </row>
    <row r="58" spans="1:6">
      <c r="A58" s="540" t="s">
        <v>821</v>
      </c>
      <c r="B58" s="542" t="str">
        <f>IF('Äldre o personer funktionsn'!Q34="","",Nyckeltal!B27/'Äldre o personer funktionsn'!Q34*1000)</f>
        <v/>
      </c>
      <c r="C58" s="384" t="s">
        <v>822</v>
      </c>
      <c r="D58" s="540" t="s">
        <v>813</v>
      </c>
      <c r="E58" s="540" t="s">
        <v>727</v>
      </c>
      <c r="F58" s="544"/>
    </row>
    <row r="59" spans="1:6">
      <c r="A59" s="540" t="s">
        <v>823</v>
      </c>
      <c r="B59" s="542" t="str">
        <f>IF('Äldre o personer funktionsn'!Q35="","",Nyckeltal!B28/'Äldre o personer funktionsn'!Q35*1000)</f>
        <v/>
      </c>
      <c r="C59" s="384" t="s">
        <v>824</v>
      </c>
      <c r="D59" s="540" t="s">
        <v>825</v>
      </c>
      <c r="E59" s="540" t="s">
        <v>727</v>
      </c>
      <c r="F59" s="544"/>
    </row>
    <row r="60" spans="1:6">
      <c r="A60" s="540"/>
      <c r="B60" s="542"/>
      <c r="C60" s="384"/>
      <c r="D60" s="540"/>
      <c r="E60" s="540"/>
      <c r="F60" s="544"/>
    </row>
    <row r="61" spans="1:6">
      <c r="A61" s="540" t="s">
        <v>826</v>
      </c>
      <c r="B61" s="542" t="str">
        <f>IF('Äldre o personer funktionsn'!Q31="","",Nyckeltal!B32/'Äldre o personer funktionsn'!Q31*1000)</f>
        <v/>
      </c>
      <c r="C61" s="384" t="s">
        <v>827</v>
      </c>
      <c r="D61" s="540" t="s">
        <v>813</v>
      </c>
      <c r="E61" s="540" t="s">
        <v>727</v>
      </c>
      <c r="F61" s="544"/>
    </row>
    <row r="62" spans="1:6">
      <c r="A62" s="384"/>
      <c r="B62" s="555"/>
      <c r="C62" s="384"/>
      <c r="D62" s="384"/>
      <c r="E62" s="384"/>
    </row>
    <row r="63" spans="1:6">
      <c r="A63" s="529" t="s">
        <v>445</v>
      </c>
      <c r="B63" s="555"/>
      <c r="C63" s="384"/>
      <c r="D63" s="384"/>
    </row>
    <row r="64" spans="1:6">
      <c r="A64" s="540" t="s">
        <v>828</v>
      </c>
      <c r="B64" s="542">
        <f>'Äldre o personer funktionsn'!K13+'Äldre o personer funktionsn'!K14+'Äldre o personer funktionsn'!K15+'Äldre o personer funktionsn'!K18+'Äldre o personer funktionsn'!K22+'Äldre o personer funktionsn'!K23+'Äldre o personer funktionsn'!K24+'Äldre o personer funktionsn'!K25+'Äldre o personer funktionsn'!K28</f>
        <v>0</v>
      </c>
      <c r="C64" s="384" t="s">
        <v>829</v>
      </c>
      <c r="D64" s="540" t="s">
        <v>726</v>
      </c>
      <c r="E64" s="540" t="s">
        <v>830</v>
      </c>
    </row>
    <row r="65" spans="1:6">
      <c r="A65" s="540" t="s">
        <v>831</v>
      </c>
      <c r="B65" s="542">
        <f>'Äldre o personer funktionsn'!K13+'Äldre o personer funktionsn'!K14+'Äldre o personer funktionsn'!K15+'Äldre o personer funktionsn'!K18</f>
        <v>0</v>
      </c>
      <c r="C65" s="384" t="s">
        <v>833</v>
      </c>
      <c r="D65" s="540" t="s">
        <v>726</v>
      </c>
      <c r="E65" s="540" t="s">
        <v>596</v>
      </c>
    </row>
    <row r="66" spans="1:6">
      <c r="A66" s="540" t="s">
        <v>834</v>
      </c>
      <c r="B66" s="542">
        <f>'Äldre o personer funktionsn'!K22+'Äldre o personer funktionsn'!K23+'Äldre o personer funktionsn'!K24+'Äldre o personer funktionsn'!K25+'Äldre o personer funktionsn'!K28</f>
        <v>0</v>
      </c>
      <c r="C66" s="384" t="s">
        <v>835</v>
      </c>
      <c r="D66" s="540" t="s">
        <v>726</v>
      </c>
      <c r="E66" s="540" t="s">
        <v>830</v>
      </c>
    </row>
    <row r="67" spans="1:6">
      <c r="A67" s="540" t="s">
        <v>851</v>
      </c>
      <c r="B67" s="542" t="str">
        <f>IF('Äldre o personer funktionsn'!Q12="","",B65/'Äldre o personer funktionsn'!Q12*1000)</f>
        <v/>
      </c>
      <c r="C67" s="384" t="s">
        <v>849</v>
      </c>
      <c r="D67" s="540" t="s">
        <v>813</v>
      </c>
      <c r="E67" s="540" t="s">
        <v>446</v>
      </c>
    </row>
    <row r="68" spans="1:6">
      <c r="A68" s="540" t="s">
        <v>852</v>
      </c>
      <c r="B68" s="542" t="str">
        <f>IF('Äldre o personer funktionsn'!Q21="","",Nyckeltal!B66/'Äldre o personer funktionsn'!Q21*1000)</f>
        <v/>
      </c>
      <c r="C68" s="384" t="s">
        <v>850</v>
      </c>
      <c r="D68" s="540" t="s">
        <v>813</v>
      </c>
      <c r="E68" s="540" t="s">
        <v>446</v>
      </c>
    </row>
    <row r="69" spans="1:6">
      <c r="A69" s="543" t="s">
        <v>836</v>
      </c>
      <c r="B69" s="542">
        <f>'Äldre o personer funktionsn'!K31+'Äldre o personer funktionsn'!G41</f>
        <v>0</v>
      </c>
      <c r="C69" s="384" t="s">
        <v>837</v>
      </c>
      <c r="D69" s="543" t="s">
        <v>726</v>
      </c>
      <c r="E69" s="540" t="s">
        <v>830</v>
      </c>
    </row>
    <row r="70" spans="1:6">
      <c r="A70" s="2223" t="s">
        <v>1419</v>
      </c>
      <c r="B70" s="2224">
        <f>'Äldre o personer funktionsn'!K31+'Äldre o personer funktionsn'!G41-'Äldre o personer funktionsn'!G41</f>
        <v>0</v>
      </c>
      <c r="C70" s="2225" t="s">
        <v>1420</v>
      </c>
      <c r="D70" s="543" t="s">
        <v>726</v>
      </c>
      <c r="E70" s="540" t="s">
        <v>830</v>
      </c>
    </row>
    <row r="71" spans="1:6">
      <c r="A71" s="543" t="s">
        <v>838</v>
      </c>
      <c r="B71" s="542">
        <f>'Äldre o personer funktionsn'!K21+'Äldre o personer funktionsn'!K31</f>
        <v>0</v>
      </c>
      <c r="C71" s="384" t="s">
        <v>839</v>
      </c>
      <c r="D71" s="543" t="s">
        <v>726</v>
      </c>
      <c r="E71" s="540" t="s">
        <v>830</v>
      </c>
    </row>
    <row r="72" spans="1:6">
      <c r="B72" s="555"/>
    </row>
    <row r="73" spans="1:6">
      <c r="A73" s="529"/>
      <c r="B73" s="555"/>
    </row>
    <row r="74" spans="1:6">
      <c r="A74" s="529" t="s">
        <v>637</v>
      </c>
      <c r="B74" s="555"/>
    </row>
    <row r="75" spans="1:6">
      <c r="A75" s="543" t="s">
        <v>864</v>
      </c>
      <c r="B75" s="545">
        <f>Drift!I73+Drift!J73+Drift!L73</f>
        <v>0</v>
      </c>
      <c r="C75" s="384" t="s">
        <v>866</v>
      </c>
      <c r="D75" s="543" t="s">
        <v>726</v>
      </c>
      <c r="E75" s="540" t="s">
        <v>830</v>
      </c>
    </row>
    <row r="76" spans="1:6">
      <c r="A76" s="543" t="s">
        <v>865</v>
      </c>
      <c r="B76" s="545">
        <f>Drift!I74+Drift!J74+Drift!L74</f>
        <v>0</v>
      </c>
      <c r="C76" s="384" t="s">
        <v>867</v>
      </c>
      <c r="D76" s="543" t="s">
        <v>726</v>
      </c>
      <c r="E76" s="540" t="s">
        <v>830</v>
      </c>
    </row>
    <row r="77" spans="1:6">
      <c r="A77" s="543" t="s">
        <v>853</v>
      </c>
      <c r="B77" s="545">
        <f>Drift!I75+Drift!J75+Drift!L75</f>
        <v>0</v>
      </c>
      <c r="C77" s="384" t="s">
        <v>854</v>
      </c>
      <c r="D77" s="543" t="s">
        <v>726</v>
      </c>
      <c r="E77" s="540" t="s">
        <v>830</v>
      </c>
      <c r="F77" s="394"/>
    </row>
    <row r="78" spans="1:6">
      <c r="A78" s="543" t="s">
        <v>855</v>
      </c>
      <c r="B78" s="546" t="str">
        <f>IF(OR('Äldre o personer funktionsn'!K14="",'Äldre o personer funktionsn'!K14=0),"",ROUND(('Äldre o personer funktionsn'!K14/('Äldre o personer funktionsn'!K14+'Äldre o personer funktionsn'!K16+'Äldre o personer funktionsn'!K17))*Nyckeltal!B75,0))</f>
        <v/>
      </c>
      <c r="C78" s="384" t="s">
        <v>856</v>
      </c>
      <c r="D78" s="543" t="s">
        <v>726</v>
      </c>
      <c r="E78" s="540" t="s">
        <v>830</v>
      </c>
    </row>
    <row r="79" spans="1:6">
      <c r="A79" s="543" t="s">
        <v>858</v>
      </c>
      <c r="B79" s="546" t="str">
        <f>IF(OR('Äldre o personer funktionsn'!K16="",'Äldre o personer funktionsn'!K16=0),"",ROUND(('Äldre o personer funktionsn'!K16/('Äldre o personer funktionsn'!K14+'Äldre o personer funktionsn'!K16+'Äldre o personer funktionsn'!K17))*Nyckeltal!B75,0))</f>
        <v/>
      </c>
      <c r="C79" s="384" t="s">
        <v>859</v>
      </c>
      <c r="D79" s="543" t="s">
        <v>726</v>
      </c>
      <c r="E79" s="540" t="s">
        <v>830</v>
      </c>
    </row>
    <row r="80" spans="1:6">
      <c r="A80" s="543" t="s">
        <v>861</v>
      </c>
      <c r="B80" s="546" t="str">
        <f>IF(OR('Äldre o personer funktionsn'!K17="",'Äldre o personer funktionsn'!K17=0),"",ROUND(('Äldre o personer funktionsn'!K17/('Äldre o personer funktionsn'!K14+'Äldre o personer funktionsn'!K16+'Äldre o personer funktionsn'!K17))*Nyckeltal!B75,0))</f>
        <v/>
      </c>
      <c r="C80" s="384" t="s">
        <v>862</v>
      </c>
      <c r="D80" s="543" t="s">
        <v>726</v>
      </c>
      <c r="E80" s="540" t="s">
        <v>830</v>
      </c>
    </row>
    <row r="81" spans="1:8">
      <c r="A81" s="543" t="s">
        <v>857</v>
      </c>
      <c r="B81" s="546" t="str">
        <f>IF(OR('Äldre o personer funktionsn'!K24="",'Äldre o personer funktionsn'!K24=0),"",ROUND(('Äldre o personer funktionsn'!K24/('Äldre o personer funktionsn'!K24+'Äldre o personer funktionsn'!K26+'Äldre o personer funktionsn'!K27))*Nyckeltal!B76,0))</f>
        <v/>
      </c>
      <c r="C81" s="384" t="s">
        <v>868</v>
      </c>
      <c r="D81" s="543" t="s">
        <v>726</v>
      </c>
      <c r="E81" s="540" t="s">
        <v>830</v>
      </c>
    </row>
    <row r="82" spans="1:8">
      <c r="A82" s="543" t="s">
        <v>860</v>
      </c>
      <c r="B82" s="546" t="str">
        <f>IF(OR('Äldre o personer funktionsn'!K26="",'Äldre o personer funktionsn'!K26=0),"",ROUND(('Äldre o personer funktionsn'!K26/('Äldre o personer funktionsn'!K24+'Äldre o personer funktionsn'!K26+'Äldre o personer funktionsn'!K27))*Nyckeltal!B76,0))</f>
        <v/>
      </c>
      <c r="C82" s="384" t="s">
        <v>869</v>
      </c>
      <c r="D82" s="543" t="s">
        <v>726</v>
      </c>
      <c r="E82" s="540" t="s">
        <v>830</v>
      </c>
    </row>
    <row r="83" spans="1:8">
      <c r="A83" s="543" t="s">
        <v>863</v>
      </c>
      <c r="B83" s="546" t="str">
        <f>IF(OR('Äldre o personer funktionsn'!K27="",'Äldre o personer funktionsn'!K27=0),"",ROUND(('Äldre o personer funktionsn'!K27/('Äldre o personer funktionsn'!K24+'Äldre o personer funktionsn'!K26+'Äldre o personer funktionsn'!K27))*Nyckeltal!B76,0))</f>
        <v/>
      </c>
      <c r="C83" s="384" t="s">
        <v>870</v>
      </c>
      <c r="D83" s="543" t="s">
        <v>726</v>
      </c>
      <c r="E83" s="540" t="s">
        <v>830</v>
      </c>
    </row>
    <row r="84" spans="1:8">
      <c r="B84" s="555"/>
    </row>
    <row r="85" spans="1:8">
      <c r="A85" s="528" t="s">
        <v>34</v>
      </c>
      <c r="B85" s="555"/>
    </row>
    <row r="86" spans="1:8">
      <c r="A86" s="540" t="s">
        <v>398</v>
      </c>
      <c r="B86" s="542">
        <f>SUM(Drift!C73:D73)</f>
        <v>0</v>
      </c>
      <c r="C86" s="547" t="s">
        <v>400</v>
      </c>
      <c r="D86" s="543" t="s">
        <v>726</v>
      </c>
      <c r="E86" s="540" t="s">
        <v>830</v>
      </c>
    </row>
    <row r="87" spans="1:8">
      <c r="A87" s="540" t="s">
        <v>407</v>
      </c>
      <c r="B87" s="542">
        <f>SUM(Drift!C74:D74)</f>
        <v>0</v>
      </c>
      <c r="C87" s="547" t="s">
        <v>406</v>
      </c>
      <c r="D87" s="543" t="s">
        <v>726</v>
      </c>
      <c r="E87" s="540" t="s">
        <v>830</v>
      </c>
    </row>
    <row r="88" spans="1:8">
      <c r="A88" s="540" t="s">
        <v>399</v>
      </c>
      <c r="B88" s="542">
        <f>SUM(Drift!C75:D75)</f>
        <v>0</v>
      </c>
      <c r="C88" s="547" t="s">
        <v>405</v>
      </c>
      <c r="D88" s="543" t="s">
        <v>726</v>
      </c>
      <c r="E88" s="540" t="s">
        <v>830</v>
      </c>
    </row>
    <row r="89" spans="1:8">
      <c r="A89" s="540" t="s">
        <v>409</v>
      </c>
      <c r="B89" s="546" t="str">
        <f>IF(OR(B86=0,B86=""),"",ROUND(B65/('Äldre o personer funktionsn'!K12)*(Nyckeltal!B86),1))</f>
        <v/>
      </c>
      <c r="C89" s="547" t="s">
        <v>401</v>
      </c>
      <c r="D89" s="543" t="s">
        <v>726</v>
      </c>
      <c r="E89" s="540" t="s">
        <v>830</v>
      </c>
    </row>
    <row r="90" spans="1:8">
      <c r="A90" s="540" t="s">
        <v>408</v>
      </c>
      <c r="B90" s="546" t="str">
        <f>IF(OR(B86=0,B86=""),"",ROUND('Äldre o personer funktionsn'!K16/('Äldre o personer funktionsn'!K12)*(Nyckeltal!B86),1))</f>
        <v/>
      </c>
      <c r="C90" s="547" t="s">
        <v>402</v>
      </c>
      <c r="D90" s="543" t="s">
        <v>726</v>
      </c>
      <c r="E90" s="540" t="s">
        <v>830</v>
      </c>
    </row>
    <row r="91" spans="1:8">
      <c r="A91" s="540" t="s">
        <v>410</v>
      </c>
      <c r="B91" s="546" t="str">
        <f>IF(OR(B87=0,B87=""),"",ROUND(B66/('Äldre o personer funktionsn'!K21)*(Nyckeltal!B87),1))</f>
        <v/>
      </c>
      <c r="C91" s="547" t="s">
        <v>403</v>
      </c>
      <c r="D91" s="543" t="s">
        <v>726</v>
      </c>
      <c r="E91" s="540" t="s">
        <v>830</v>
      </c>
    </row>
    <row r="92" spans="1:8">
      <c r="A92" s="540" t="s">
        <v>447</v>
      </c>
      <c r="B92" s="676" t="str">
        <f>IF(OR(B87=0,B87=""),"",ROUND('Äldre o personer funktionsn'!K26/('Äldre o personer funktionsn'!K21)*(Nyckeltal!B87),1))</f>
        <v/>
      </c>
      <c r="C92" s="547" t="s">
        <v>404</v>
      </c>
      <c r="D92" s="543" t="s">
        <v>726</v>
      </c>
      <c r="E92" s="540" t="s">
        <v>830</v>
      </c>
    </row>
    <row r="93" spans="1:8">
      <c r="H93" s="539" t="str">
        <f>IF(OR(H89="",H90="",H92=""),"",ROUND((H89+H91-H92+H90),0))</f>
        <v/>
      </c>
    </row>
    <row r="94" spans="1:8">
      <c r="A94" s="538" t="s">
        <v>592</v>
      </c>
      <c r="F94" s="527" t="s">
        <v>1283</v>
      </c>
    </row>
    <row r="95" spans="1:8">
      <c r="A95" s="543"/>
      <c r="C95" s="384" t="s">
        <v>82</v>
      </c>
      <c r="D95" s="540"/>
      <c r="F95" s="530"/>
    </row>
    <row r="96" spans="1:8">
      <c r="A96" s="672"/>
      <c r="B96" s="673">
        <f>('Pedagogisk verksamhet'!J8+'Pedagogisk verksamhet'!J16)</f>
        <v>0</v>
      </c>
      <c r="C96" s="547" t="s">
        <v>1217</v>
      </c>
      <c r="D96" s="674" t="s">
        <v>611</v>
      </c>
      <c r="E96" s="674"/>
      <c r="F96" s="673"/>
    </row>
    <row r="97" spans="1:7">
      <c r="A97" s="672"/>
      <c r="B97" s="675">
        <f>('Pedagogisk verksamhet'!J8+'Pedagogisk verksamhet'!J16)</f>
        <v>0</v>
      </c>
      <c r="C97" s="547" t="s">
        <v>1217</v>
      </c>
      <c r="D97" s="674" t="s">
        <v>611</v>
      </c>
      <c r="E97" s="674"/>
      <c r="F97" s="675"/>
    </row>
    <row r="98" spans="1:7">
      <c r="A98" s="672"/>
      <c r="B98" s="673">
        <f>('Pedagogisk verksamhet'!J8+'Pedagogisk verksamhet'!J16)</f>
        <v>0</v>
      </c>
      <c r="C98" s="547" t="s">
        <v>1217</v>
      </c>
      <c r="D98" s="674" t="s">
        <v>611</v>
      </c>
      <c r="E98" s="674"/>
      <c r="F98" s="673"/>
    </row>
    <row r="99" spans="1:7">
      <c r="A99" s="543" t="s">
        <v>609</v>
      </c>
      <c r="B99" s="671" t="e">
        <f>IF(AND((Drift!P48-Drift!V48-((Motpart!D14+Motpart!F14+Motpart!J14)-((Motpart!D14+Motpart!F14+Motpart!J14)*0.06))-Motpart!G14)=0,B96&gt;0),0,(Drift!P48-Drift!V48-((Motpart!D14+Motpart!F14+Motpart!J14)-((Motpart!D14+Motpart!F14+Motpart!J14)*0.06)))-Motpart!G14)*1000/(B96)</f>
        <v>#DIV/0!</v>
      </c>
      <c r="C99" s="384" t="s">
        <v>1218</v>
      </c>
      <c r="D99" s="544" t="s">
        <v>1227</v>
      </c>
      <c r="E99" s="544" t="s">
        <v>610</v>
      </c>
      <c r="F99" s="671">
        <f>IF(AND((Drift!P48-Drift!V48-((Motpart!D14+Motpart!F14+Motpart!J14)-((Motpart!D14+Motpart!F14+Motpart!J14)*0.06))-Motpart!G14)=0,B96&gt;0),0,(Drift!P48-Drift!V48-((Motpart!D14+Motpart!F14+Motpart!J14)-((Motpart!D14+Motpart!F14+Motpart!J14)*0.06)))-Motpart!G14)</f>
        <v>0</v>
      </c>
    </row>
    <row r="100" spans="1:7">
      <c r="A100" s="543" t="s">
        <v>612</v>
      </c>
      <c r="B100" s="671" t="e">
        <f>(Motpart!D14+Motpart!F14+Motpart!J14-(Motpart!D14+Motpart!F14+Motpart!J14)*0.06)*1000/B98</f>
        <v>#DIV/0!</v>
      </c>
      <c r="C100" s="384" t="s">
        <v>1219</v>
      </c>
      <c r="D100" s="544" t="s">
        <v>1227</v>
      </c>
      <c r="E100" s="544" t="s">
        <v>610</v>
      </c>
      <c r="F100" s="671">
        <f>(Motpart!D14+Motpart!F14+Motpart!J14-(Motpart!D14+Motpart!F14+Motpart!J14)*0.06)</f>
        <v>0</v>
      </c>
    </row>
    <row r="101" spans="1:7">
      <c r="A101" s="543" t="s">
        <v>613</v>
      </c>
      <c r="B101" s="671" t="e">
        <f>(Drift!P48-Drift!V48-Motpart!Y14)*1000/(B97)</f>
        <v>#DIV/0!</v>
      </c>
      <c r="C101" s="384" t="s">
        <v>1220</v>
      </c>
      <c r="D101" s="544" t="s">
        <v>1227</v>
      </c>
      <c r="E101" s="544" t="s">
        <v>610</v>
      </c>
      <c r="F101" s="671">
        <f>(Drift!P48-Drift!V48-Motpart!Y14)</f>
        <v>0</v>
      </c>
    </row>
    <row r="102" spans="1:7">
      <c r="A102" s="543" t="s">
        <v>614</v>
      </c>
      <c r="B102" s="671">
        <f>Drift!P46-Drift!V46</f>
        <v>0</v>
      </c>
      <c r="C102" s="384" t="s">
        <v>1302</v>
      </c>
      <c r="D102" s="544" t="s">
        <v>726</v>
      </c>
      <c r="E102" s="544" t="s">
        <v>610</v>
      </c>
      <c r="F102" s="671">
        <f>Drift!P46-Drift!V46</f>
        <v>0</v>
      </c>
    </row>
    <row r="103" spans="1:7">
      <c r="A103" s="543" t="s">
        <v>615</v>
      </c>
      <c r="B103" s="671">
        <f>Drift!P49-Drift!V49</f>
        <v>0</v>
      </c>
      <c r="C103" s="384" t="s">
        <v>616</v>
      </c>
      <c r="D103" s="544" t="s">
        <v>726</v>
      </c>
      <c r="E103" s="544" t="s">
        <v>610</v>
      </c>
      <c r="F103" s="671">
        <f>Drift!P49-Drift!V49</f>
        <v>0</v>
      </c>
    </row>
    <row r="104" spans="1:7">
      <c r="A104" s="543" t="s">
        <v>617</v>
      </c>
      <c r="B104" s="671" t="e">
        <f>(('Pedagogisk verksamhet'!M17)*'Pedagogisk verksamhet'!J16+('Pedagogisk verksamhet'!M25)*'Pedagogisk verksamhet'!J24+('Pedagogisk verksamhet'!M31)*'Pedagogisk verksamhet'!J31)/('Pedagogisk verksamhet'!J24+'Pedagogisk verksamhet'!J31)</f>
        <v>#DIV/0!</v>
      </c>
      <c r="C104" s="384" t="s">
        <v>1221</v>
      </c>
      <c r="D104" s="544" t="s">
        <v>1228</v>
      </c>
      <c r="E104" s="544" t="s">
        <v>610</v>
      </c>
      <c r="F104" s="671">
        <f>'Pedagogisk verksamhet'!X17+'Pedagogisk verksamhet'!X25+'Pedagogisk verksamhet'!X31</f>
        <v>0</v>
      </c>
    </row>
    <row r="105" spans="1:7">
      <c r="A105" s="543" t="s">
        <v>618</v>
      </c>
      <c r="B105" s="671" t="e">
        <f>(('Pedagogisk verksamhet'!M17-'Pedagogisk verksamhet'!M19)*'Pedagogisk verksamhet'!J16+('Pedagogisk verksamhet'!M25-'Pedagogisk verksamhet'!M27)*'Pedagogisk verksamhet'!J24+('Pedagogisk verksamhet'!M31-'Pedagogisk verksamhet'!M37)*'Pedagogisk verksamhet'!J31)/('Pedagogisk verksamhet'!J24+'Pedagogisk verksamhet'!J31)</f>
        <v>#DIV/0!</v>
      </c>
      <c r="C105" s="384" t="s">
        <v>1222</v>
      </c>
      <c r="D105" s="544" t="s">
        <v>1228</v>
      </c>
      <c r="E105" s="544" t="s">
        <v>610</v>
      </c>
      <c r="F105" s="671">
        <f>('Pedagogisk verksamhet'!X17-'Pedagogisk verksamhet'!X19)+('Pedagogisk verksamhet'!X25-'Pedagogisk verksamhet'!X27)+('Pedagogisk verksamhet'!X31-'Pedagogisk verksamhet'!X37)</f>
        <v>0</v>
      </c>
    </row>
    <row r="106" spans="1:7">
      <c r="A106" s="543" t="s">
        <v>619</v>
      </c>
      <c r="B106" s="671" t="e">
        <f>('Pedagogisk verksamhet'!M58*'Pedagogisk verksamhet'!J58/1000+Motpart!G20-Motpart!Y20)/'Pedagogisk verksamhet'!J58*1000+'Pedagogisk verksamhet'!M62</f>
        <v>#DIV/0!</v>
      </c>
      <c r="C106" s="384" t="s">
        <v>1223</v>
      </c>
      <c r="D106" s="544" t="s">
        <v>1229</v>
      </c>
      <c r="E106" s="544" t="s">
        <v>610</v>
      </c>
      <c r="F106" s="671">
        <f>'Pedagogisk verksamhet'!X58+Motpart!G20-Motpart!Y20+'Pedagogisk verksamhet'!X62</f>
        <v>0</v>
      </c>
    </row>
    <row r="107" spans="1:7">
      <c r="A107" s="543" t="s">
        <v>620</v>
      </c>
      <c r="B107" s="671" t="str">
        <f>IF(OR(Drift!P63="",Drift!P63=0),"",(Drift!P63-Drift!V63-Drift!F63-Drift!S63)*1000/'Pedagogisk verksamhet'!J86)</f>
        <v/>
      </c>
      <c r="C107" s="384" t="s">
        <v>621</v>
      </c>
      <c r="D107" s="544" t="s">
        <v>813</v>
      </c>
      <c r="E107" s="544" t="s">
        <v>610</v>
      </c>
      <c r="F107" s="671" t="str">
        <f>IF(OR(Drift!P63="",Drift!P63=0),"",(Drift!P63-Drift!V63-Drift!F63-Drift!S63))</f>
        <v/>
      </c>
    </row>
    <row r="108" spans="1:7">
      <c r="A108" s="543" t="s">
        <v>622</v>
      </c>
      <c r="B108" s="671" t="e">
        <f>(G108+Drift!P65-(Drift!F65+Drift!V65+Drift!S65))*1000/'Pedagogisk verksamhet'!J95</f>
        <v>#DIV/0!</v>
      </c>
      <c r="C108" s="384" t="s">
        <v>1297</v>
      </c>
      <c r="D108" s="544" t="s">
        <v>813</v>
      </c>
      <c r="E108" s="544" t="s">
        <v>610</v>
      </c>
      <c r="F108" s="671">
        <f>G108+Drift!P65-(Drift!F65+Drift!V65+Drift!S65)</f>
        <v>0</v>
      </c>
      <c r="G108">
        <f>IF(OR(Drift!F65="",Drift!F65=0),0,(((Motpart!D25+Motpart!E25+Motpart!F25+Motpart!J25)*(Drift!F65/(Drift!F64+Drift!F65+Drift!F66)))))</f>
        <v>0</v>
      </c>
    </row>
    <row r="109" spans="1:7">
      <c r="A109" s="543" t="s">
        <v>1230</v>
      </c>
      <c r="C109" s="384" t="s">
        <v>1239</v>
      </c>
      <c r="F109" s="394">
        <f>'Pedagogisk verksamhet'!X9-'Pedagogisk verksamhet'!X11</f>
        <v>0</v>
      </c>
    </row>
    <row r="110" spans="1:7">
      <c r="A110" s="543" t="s">
        <v>1231</v>
      </c>
      <c r="C110" s="384" t="s">
        <v>1240</v>
      </c>
      <c r="F110" s="394">
        <f>'Pedagogisk verksamhet'!X17-'Pedagogisk verksamhet'!X19</f>
        <v>0</v>
      </c>
    </row>
    <row r="111" spans="1:7">
      <c r="A111" s="543" t="s">
        <v>1232</v>
      </c>
      <c r="C111" s="384" t="s">
        <v>1241</v>
      </c>
      <c r="F111" s="394">
        <f>'Pedagogisk verksamhet'!X25-'Pedagogisk verksamhet'!X27</f>
        <v>0</v>
      </c>
    </row>
    <row r="112" spans="1:7">
      <c r="A112" s="543" t="s">
        <v>1233</v>
      </c>
      <c r="C112" s="384" t="s">
        <v>1242</v>
      </c>
      <c r="F112" s="394">
        <f>'Pedagogisk verksamhet'!X31-'Pedagogisk verksamhet'!X37</f>
        <v>0</v>
      </c>
    </row>
    <row r="113" spans="1:6">
      <c r="A113" s="543" t="s">
        <v>1234</v>
      </c>
      <c r="C113" s="384" t="s">
        <v>1834</v>
      </c>
      <c r="F113" s="394">
        <f>'Pedagogisk verksamhet'!X44-'Pedagogisk verksamhet'!X50</f>
        <v>0</v>
      </c>
    </row>
    <row r="114" spans="1:6">
      <c r="A114" s="543" t="s">
        <v>1235</v>
      </c>
      <c r="C114" s="384" t="s">
        <v>1243</v>
      </c>
      <c r="F114" s="394">
        <f>'Pedagogisk verksamhet'!X58-'Pedagogisk verksamhet'!X64</f>
        <v>0</v>
      </c>
    </row>
    <row r="115" spans="1:6">
      <c r="A115" s="543" t="s">
        <v>1236</v>
      </c>
      <c r="C115" s="384" t="s">
        <v>1835</v>
      </c>
      <c r="F115" s="394">
        <f>'Pedagogisk verksamhet'!X72-'Pedagogisk verksamhet'!X78</f>
        <v>0</v>
      </c>
    </row>
    <row r="116" spans="1:6">
      <c r="A116" s="543" t="s">
        <v>1237</v>
      </c>
      <c r="C116" s="384" t="s">
        <v>1244</v>
      </c>
      <c r="F116" s="394">
        <f>'Pedagogisk verksamhet'!X86-'Pedagogisk verksamhet'!X90</f>
        <v>0</v>
      </c>
    </row>
    <row r="117" spans="1:6">
      <c r="A117" s="543" t="s">
        <v>1238</v>
      </c>
      <c r="C117" s="384" t="s">
        <v>1245</v>
      </c>
      <c r="F117" s="394">
        <f>'Pedagogisk verksamhet'!X95-'Pedagogisk verksamhet'!X99</f>
        <v>0</v>
      </c>
    </row>
    <row r="118" spans="1:6">
      <c r="A118" s="543" t="s">
        <v>1287</v>
      </c>
      <c r="C118" s="384" t="s">
        <v>1246</v>
      </c>
      <c r="F118" s="394">
        <f>F116+F117</f>
        <v>0</v>
      </c>
    </row>
    <row r="119" spans="1:6">
      <c r="A119" s="543" t="s">
        <v>1288</v>
      </c>
      <c r="C119" s="384" t="s">
        <v>1254</v>
      </c>
      <c r="F119" s="394">
        <f>'Pedagogisk verksamhet'!X86+'Pedagogisk verksamhet'!X95</f>
        <v>0</v>
      </c>
    </row>
    <row r="120" spans="1:6">
      <c r="A120" s="543" t="s">
        <v>1289</v>
      </c>
      <c r="C120" s="384" t="s">
        <v>1255</v>
      </c>
      <c r="F120" s="394">
        <f>'Pedagogisk verksamhet'!X87+'Pedagogisk verksamhet'!X96</f>
        <v>0</v>
      </c>
    </row>
    <row r="121" spans="1:6">
      <c r="A121" s="543" t="s">
        <v>1290</v>
      </c>
      <c r="C121" s="384" t="s">
        <v>1256</v>
      </c>
      <c r="F121" s="394">
        <f>'Pedagogisk verksamhet'!X88+'Pedagogisk verksamhet'!X97</f>
        <v>0</v>
      </c>
    </row>
    <row r="122" spans="1:6">
      <c r="A122" s="543" t="s">
        <v>1291</v>
      </c>
      <c r="C122" s="384" t="s">
        <v>1257</v>
      </c>
      <c r="F122" s="394">
        <f>'Pedagogisk verksamhet'!X89+'Pedagogisk verksamhet'!X98</f>
        <v>0</v>
      </c>
    </row>
    <row r="123" spans="1:6">
      <c r="A123" s="543" t="s">
        <v>1292</v>
      </c>
      <c r="C123" s="384" t="s">
        <v>1258</v>
      </c>
      <c r="F123" s="394">
        <f>'Pedagogisk verksamhet'!X90+'Pedagogisk verksamhet'!X99</f>
        <v>0</v>
      </c>
    </row>
    <row r="124" spans="1:6">
      <c r="A124" s="543" t="s">
        <v>1293</v>
      </c>
      <c r="C124" s="384" t="s">
        <v>1259</v>
      </c>
      <c r="F124" s="394">
        <f>'Pedagogisk verksamhet'!X91+'Pedagogisk verksamhet'!X100</f>
        <v>0</v>
      </c>
    </row>
    <row r="125" spans="1:6">
      <c r="A125" s="543" t="s">
        <v>1294</v>
      </c>
      <c r="C125" s="384" t="s">
        <v>1284</v>
      </c>
      <c r="F125" s="394">
        <f>F128+F132</f>
        <v>0</v>
      </c>
    </row>
    <row r="126" spans="1:6">
      <c r="A126" s="543" t="s">
        <v>1295</v>
      </c>
      <c r="C126" s="384" t="s">
        <v>1285</v>
      </c>
      <c r="F126" s="394">
        <f>F130+F134</f>
        <v>0</v>
      </c>
    </row>
    <row r="127" spans="1:6">
      <c r="A127" s="543" t="s">
        <v>1296</v>
      </c>
      <c r="C127" s="384" t="s">
        <v>1286</v>
      </c>
      <c r="F127" s="394">
        <f>F131+F135</f>
        <v>0</v>
      </c>
    </row>
    <row r="128" spans="1:6">
      <c r="A128" s="543" t="s">
        <v>1247</v>
      </c>
      <c r="C128" s="384" t="s">
        <v>1260</v>
      </c>
      <c r="F128" s="394">
        <f>Motpart!G22+Motpart!K22</f>
        <v>0</v>
      </c>
    </row>
    <row r="129" spans="1:6">
      <c r="A129" s="543" t="s">
        <v>1248</v>
      </c>
      <c r="C129" s="384" t="s">
        <v>1261</v>
      </c>
      <c r="F129" s="394">
        <f>Motpart!Y22</f>
        <v>0</v>
      </c>
    </row>
    <row r="130" spans="1:6">
      <c r="A130" s="543" t="s">
        <v>1273</v>
      </c>
      <c r="C130" s="384" t="s">
        <v>1274</v>
      </c>
      <c r="F130" s="394">
        <f>Motpart!H22</f>
        <v>0</v>
      </c>
    </row>
    <row r="131" spans="1:6">
      <c r="A131" s="543" t="s">
        <v>1249</v>
      </c>
      <c r="C131" s="384" t="s">
        <v>1262</v>
      </c>
      <c r="F131" s="394">
        <f>(Motpart!D22+Motpart!E22+Motpart!F22+Motpart!J22)-((Motpart!D22+Motpart!E22+Motpart!F22+Motpart!J22)*0.06)</f>
        <v>0</v>
      </c>
    </row>
    <row r="132" spans="1:6">
      <c r="A132" s="543" t="s">
        <v>1250</v>
      </c>
      <c r="C132" s="384" t="s">
        <v>1263</v>
      </c>
      <c r="F132" s="394">
        <f>Motpart!G23+Motpart!K23</f>
        <v>0</v>
      </c>
    </row>
    <row r="133" spans="1:6">
      <c r="A133" s="543" t="s">
        <v>1251</v>
      </c>
      <c r="C133" s="384" t="s">
        <v>1264</v>
      </c>
      <c r="F133" s="394">
        <f>Motpart!Y23</f>
        <v>0</v>
      </c>
    </row>
    <row r="134" spans="1:6">
      <c r="A134" s="543" t="s">
        <v>1252</v>
      </c>
      <c r="C134" s="384" t="s">
        <v>1266</v>
      </c>
      <c r="F134" s="394">
        <f>Motpart!H23</f>
        <v>0</v>
      </c>
    </row>
    <row r="135" spans="1:6">
      <c r="A135" s="543" t="s">
        <v>1253</v>
      </c>
      <c r="C135" s="384" t="s">
        <v>1265</v>
      </c>
      <c r="F135" s="394">
        <f>(Motpart!D23+Motpart!E23+Motpart!F23+Motpart!J23)-((Motpart!D23+Motpart!E23+Motpart!F23+Motpart!J23)*0.06)</f>
        <v>0</v>
      </c>
    </row>
    <row r="136" spans="1:6">
      <c r="A136" s="543" t="s">
        <v>1267</v>
      </c>
      <c r="C136" s="384" t="s">
        <v>1270</v>
      </c>
      <c r="F136" s="394">
        <f>'Pedagogisk verksamhet'!X86+Nyckeltal!F131</f>
        <v>0</v>
      </c>
    </row>
    <row r="137" spans="1:6">
      <c r="A137" s="543" t="s">
        <v>1268</v>
      </c>
      <c r="C137" s="384" t="s">
        <v>1271</v>
      </c>
      <c r="F137" s="394">
        <f>'Pedagogisk verksamhet'!X95+Nyckeltal!F135</f>
        <v>0</v>
      </c>
    </row>
    <row r="138" spans="1:6">
      <c r="A138" s="543" t="s">
        <v>1269</v>
      </c>
      <c r="C138" s="384" t="s">
        <v>1272</v>
      </c>
      <c r="F138" s="394">
        <f>F136+F137</f>
        <v>0</v>
      </c>
    </row>
    <row r="139" spans="1:6">
      <c r="A139" s="543" t="s">
        <v>1275</v>
      </c>
      <c r="C139" s="384" t="s">
        <v>1278</v>
      </c>
      <c r="F139" s="394">
        <f>F136+F128+F130-F129</f>
        <v>0</v>
      </c>
    </row>
    <row r="140" spans="1:6">
      <c r="A140" s="543" t="s">
        <v>1276</v>
      </c>
      <c r="C140" s="384" t="s">
        <v>1277</v>
      </c>
      <c r="F140" s="394">
        <f>F137+F132+F134-F133</f>
        <v>0</v>
      </c>
    </row>
    <row r="141" spans="1:6">
      <c r="A141" s="543" t="s">
        <v>1280</v>
      </c>
      <c r="C141" s="384" t="s">
        <v>1281</v>
      </c>
      <c r="F141" s="394">
        <f>'Pedagogisk verksamhet'!X8+'Pedagogisk verksamhet'!X16+Nyckeltal!F101+Nyckeltal!F102+Nyckeltal!F103</f>
        <v>0</v>
      </c>
    </row>
    <row r="142" spans="1:6">
      <c r="A142" s="543" t="s">
        <v>1279</v>
      </c>
      <c r="C142" s="384" t="s">
        <v>1282</v>
      </c>
      <c r="F142" s="394">
        <f>'Pedagogisk verksamhet'!X9+'Pedagogisk verksamhet'!X17+Nyckeltal!F99+Nyckeltal!F102+Nyckeltal!F103</f>
        <v>0</v>
      </c>
    </row>
    <row r="143" spans="1:6">
      <c r="A143" s="543" t="s">
        <v>1298</v>
      </c>
      <c r="C143" s="384" t="s">
        <v>1300</v>
      </c>
      <c r="F143" s="394">
        <f>'Pedagogisk verksamhet'!E12-'Pedagogisk verksamhet'!E13</f>
        <v>0</v>
      </c>
    </row>
    <row r="144" spans="1:6">
      <c r="A144" s="543" t="s">
        <v>1299</v>
      </c>
      <c r="C144" s="384" t="s">
        <v>1301</v>
      </c>
      <c r="F144" s="394">
        <f>'Pedagogisk verksamhet'!E20-'Pedagogisk verksamhet'!E21</f>
        <v>0</v>
      </c>
    </row>
    <row r="145" spans="1:5">
      <c r="A145" s="538" t="s">
        <v>1101</v>
      </c>
      <c r="C145" s="384"/>
    </row>
    <row r="146" spans="1:5">
      <c r="A146" s="540" t="s">
        <v>1102</v>
      </c>
      <c r="B146" s="530" t="str">
        <f>IF(OR(BR!D21="",BR!D21=0),"",(BR!D32-BR!D21)/BR!D68*100)</f>
        <v/>
      </c>
      <c r="C146" s="384" t="s">
        <v>1104</v>
      </c>
      <c r="D146" t="s">
        <v>993</v>
      </c>
      <c r="E146" s="544" t="s">
        <v>1108</v>
      </c>
    </row>
    <row r="147" spans="1:5">
      <c r="A147" s="540" t="s">
        <v>1103</v>
      </c>
      <c r="B147" s="530" t="str">
        <f>IF(OR(BR!E21="",BR!E21=0),"",(BR!E32-BR!E21)/BR!E68*100)</f>
        <v/>
      </c>
      <c r="C147" s="384" t="s">
        <v>1105</v>
      </c>
      <c r="D147" t="s">
        <v>993</v>
      </c>
      <c r="E147" s="544" t="s">
        <v>1108</v>
      </c>
    </row>
    <row r="148" spans="1:5">
      <c r="A148" s="540" t="s">
        <v>1106</v>
      </c>
      <c r="B148" s="530" t="str">
        <f>IF(OR(Investeringar!C78="",Investeringar!C78=0),"",(RR!C18+RR!C9)/((Investeringar!C66)-(Investeringar!C78))*100)</f>
        <v/>
      </c>
      <c r="C148" s="384" t="s">
        <v>1107</v>
      </c>
      <c r="D148" t="s">
        <v>993</v>
      </c>
      <c r="E148" s="544" t="s">
        <v>1108</v>
      </c>
    </row>
    <row r="149" spans="1:5">
      <c r="C149" s="384"/>
    </row>
    <row r="150" spans="1:5">
      <c r="C150" s="384"/>
    </row>
    <row r="151" spans="1:5">
      <c r="C151" s="384"/>
    </row>
    <row r="152" spans="1:5">
      <c r="C152" s="384"/>
    </row>
  </sheetData>
  <phoneticPr fontId="102" type="noConversion"/>
  <pageMargins left="0.75" right="0.75" top="1" bottom="1" header="0.5" footer="0.5"/>
  <pageSetup paperSize="9" scale="77" orientation="portrait" r:id="rId1"/>
  <headerFooter alignWithMargins="0"/>
  <colBreaks count="1" manualBreakCount="1">
    <brk id="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6"/>
  <dimension ref="A1:H98"/>
  <sheetViews>
    <sheetView topLeftCell="A53" workbookViewId="0">
      <selection activeCell="A53" sqref="A1:XFD1048576"/>
    </sheetView>
  </sheetViews>
  <sheetFormatPr defaultRowHeight="12.75"/>
  <cols>
    <col min="1" max="1" width="29.5703125" bestFit="1" customWidth="1"/>
    <col min="2" max="2" width="30.5703125" bestFit="1" customWidth="1"/>
    <col min="3" max="3" width="82.5703125" customWidth="1"/>
    <col min="5" max="5" width="59.42578125" bestFit="1" customWidth="1"/>
  </cols>
  <sheetData>
    <row r="1" spans="1:4">
      <c r="A1" t="str">
        <f>RR!$E$7</f>
        <v>Belopp saknas</v>
      </c>
      <c r="B1" t="s">
        <v>1114</v>
      </c>
      <c r="C1" t="str">
        <f t="shared" ref="C1:C6" si="0">IF(AND(A1&lt;&gt;"",D1=0), A1,"")</f>
        <v>Belopp saknas</v>
      </c>
      <c r="D1">
        <f>Extraordinära_RR</f>
        <v>0</v>
      </c>
    </row>
    <row r="2" spans="1:4">
      <c r="A2" t="str">
        <f>BR!$F$80</f>
        <v>Belopp saknas</v>
      </c>
      <c r="B2" t="s">
        <v>1687</v>
      </c>
      <c r="C2" t="str">
        <f t="shared" si="0"/>
        <v>Belopp saknas</v>
      </c>
      <c r="D2">
        <f>BR</f>
        <v>0</v>
      </c>
    </row>
    <row r="3" spans="1:4">
      <c r="A3" t="str">
        <f>BR!$F$63</f>
        <v>Belopp saknas för kommunen</v>
      </c>
      <c r="B3" t="s">
        <v>1686</v>
      </c>
      <c r="C3" t="str">
        <f t="shared" si="0"/>
        <v>Belopp saknas för kommunen</v>
      </c>
      <c r="D3">
        <f>BR</f>
        <v>0</v>
      </c>
    </row>
    <row r="4" spans="1:4">
      <c r="A4" t="str">
        <f>Investeringar!I13</f>
        <v/>
      </c>
      <c r="B4" t="s">
        <v>1441</v>
      </c>
      <c r="C4" t="str">
        <f t="shared" si="0"/>
        <v/>
      </c>
      <c r="D4">
        <f t="shared" ref="D4:D31" si="1">Förändring_anläggningstillgångar</f>
        <v>0</v>
      </c>
    </row>
    <row r="5" spans="1:4">
      <c r="A5" t="str">
        <f>Investeringar!I14</f>
        <v/>
      </c>
      <c r="B5" t="s">
        <v>1541</v>
      </c>
      <c r="C5" t="str">
        <f t="shared" si="0"/>
        <v/>
      </c>
      <c r="D5">
        <f t="shared" si="1"/>
        <v>0</v>
      </c>
    </row>
    <row r="6" spans="1:4">
      <c r="A6" s="394" t="str">
        <f>Investeringar!E97</f>
        <v>Skriv belopp eller 0</v>
      </c>
      <c r="B6" t="s">
        <v>1443</v>
      </c>
      <c r="C6" t="str">
        <f t="shared" si="0"/>
        <v>Skriv belopp eller 0</v>
      </c>
      <c r="D6">
        <f>Tillägg_2_Invest</f>
        <v>0</v>
      </c>
    </row>
    <row r="9" spans="1:4">
      <c r="A9" t="str">
        <f>Drift!$W$123</f>
        <v/>
      </c>
      <c r="B9" t="s">
        <v>1126</v>
      </c>
      <c r="C9" t="str">
        <f t="shared" ref="C9:C18" si="2">IF(AND(A9&lt;&gt;"",D9=0),A9,"")</f>
        <v/>
      </c>
      <c r="D9">
        <f t="shared" ref="D9:D35" si="3">Drift</f>
        <v>0</v>
      </c>
    </row>
    <row r="10" spans="1:4">
      <c r="A10" s="394" t="str">
        <f>Drift!$P$126</f>
        <v/>
      </c>
      <c r="B10" t="s">
        <v>1369</v>
      </c>
      <c r="C10" t="str">
        <f t="shared" si="2"/>
        <v/>
      </c>
      <c r="D10">
        <f t="shared" si="3"/>
        <v>0</v>
      </c>
    </row>
    <row r="11" spans="1:4">
      <c r="A11" s="394" t="str">
        <f>Motpart!F44</f>
        <v/>
      </c>
      <c r="B11" t="s">
        <v>1446</v>
      </c>
      <c r="C11" t="str">
        <f t="shared" si="2"/>
        <v/>
      </c>
      <c r="D11">
        <f t="shared" ref="D11:D50" si="4">Köp_huvudvht</f>
        <v>0</v>
      </c>
    </row>
    <row r="12" spans="1:4">
      <c r="A12" s="394" t="str">
        <f>Motpart!F45</f>
        <v/>
      </c>
      <c r="B12" t="s">
        <v>1447</v>
      </c>
      <c r="C12" t="str">
        <f t="shared" si="2"/>
        <v/>
      </c>
      <c r="D12">
        <f t="shared" si="4"/>
        <v>0</v>
      </c>
    </row>
    <row r="13" spans="1:4">
      <c r="A13" s="394" t="str">
        <f>Motpart!T44</f>
        <v/>
      </c>
      <c r="B13" t="s">
        <v>1458</v>
      </c>
      <c r="C13" t="str">
        <f t="shared" si="2"/>
        <v/>
      </c>
      <c r="D13">
        <f t="shared" ref="D13:D54" si="5">Bidrag_o_transfer.</f>
        <v>0</v>
      </c>
    </row>
    <row r="14" spans="1:4">
      <c r="A14" s="394" t="str">
        <f>Motpart!T45</f>
        <v/>
      </c>
      <c r="B14" t="s">
        <v>1459</v>
      </c>
      <c r="C14" t="str">
        <f t="shared" si="2"/>
        <v/>
      </c>
      <c r="D14">
        <f t="shared" si="5"/>
        <v>0</v>
      </c>
    </row>
    <row r="15" spans="1:4">
      <c r="A15" s="394" t="str">
        <f>Motpart!K44</f>
        <v/>
      </c>
      <c r="B15" t="s">
        <v>1450</v>
      </c>
      <c r="C15" t="str">
        <f t="shared" si="2"/>
        <v/>
      </c>
      <c r="D15">
        <f t="shared" si="4"/>
        <v>0</v>
      </c>
    </row>
    <row r="16" spans="1:4">
      <c r="A16" s="394" t="str">
        <f>Motpart!K45</f>
        <v/>
      </c>
      <c r="B16" t="s">
        <v>1451</v>
      </c>
      <c r="C16" t="str">
        <f t="shared" si="2"/>
        <v/>
      </c>
      <c r="D16">
        <f t="shared" si="4"/>
        <v>0</v>
      </c>
    </row>
    <row r="17" spans="1:4">
      <c r="A17" s="394" t="str">
        <f>Motpart!Q44</f>
        <v/>
      </c>
      <c r="B17" t="s">
        <v>1454</v>
      </c>
      <c r="C17" t="str">
        <f t="shared" si="2"/>
        <v/>
      </c>
      <c r="D17">
        <f t="shared" si="5"/>
        <v>0</v>
      </c>
    </row>
    <row r="18" spans="1:4">
      <c r="A18" s="394" t="str">
        <f>Motpart!Q45</f>
        <v/>
      </c>
      <c r="B18" t="s">
        <v>1455</v>
      </c>
      <c r="C18" t="str">
        <f t="shared" si="2"/>
        <v/>
      </c>
      <c r="D18">
        <f t="shared" si="5"/>
        <v>0</v>
      </c>
    </row>
    <row r="19" spans="1:4">
      <c r="A19" t="str">
        <f>'Verks int o kostn'!$E$21</f>
        <v>Belopp saknas</v>
      </c>
      <c r="B19" t="s">
        <v>1115</v>
      </c>
      <c r="C19" t="str">
        <f t="shared" ref="C19:C35" si="6">IF(AND(A19&lt;&gt;"",D19=0), A19,"")</f>
        <v>Belopp saknas</v>
      </c>
      <c r="D19">
        <f>Vht_int</f>
        <v>0</v>
      </c>
    </row>
    <row r="20" spans="1:4">
      <c r="A20" t="str">
        <f>'Verks int o kostn'!$E$22</f>
        <v>Belopp saknas</v>
      </c>
      <c r="B20" t="s">
        <v>1116</v>
      </c>
      <c r="C20" t="str">
        <f t="shared" si="6"/>
        <v>Belopp saknas</v>
      </c>
      <c r="D20">
        <f>Vht_int</f>
        <v>0</v>
      </c>
    </row>
    <row r="21" spans="1:4">
      <c r="A21" s="394" t="str">
        <f>'Verks int o kostn'!D37</f>
        <v/>
      </c>
      <c r="B21" s="1862" t="s">
        <v>1667</v>
      </c>
      <c r="C21" t="str">
        <f t="shared" si="6"/>
        <v/>
      </c>
      <c r="D21">
        <f>Vht_int</f>
        <v>0</v>
      </c>
    </row>
    <row r="22" spans="1:4">
      <c r="A22" t="str">
        <f>'Verks int o kostn'!$J$41</f>
        <v>Belopp saknas</v>
      </c>
      <c r="B22" t="s">
        <v>1118</v>
      </c>
      <c r="C22" t="str">
        <f>IF(AND(A22&lt;&gt;"",D22=0), A22,"")</f>
        <v>Belopp saknas</v>
      </c>
      <c r="D22">
        <f>Vht_kostn</f>
        <v>0</v>
      </c>
    </row>
    <row r="23" spans="1:4">
      <c r="A23" s="394" t="str">
        <f>'Verks int o kostn'!$J$45</f>
        <v>Belopp saknas</v>
      </c>
      <c r="B23" t="s">
        <v>1117</v>
      </c>
      <c r="C23" t="str">
        <f t="shared" si="6"/>
        <v>Belopp saknas</v>
      </c>
      <c r="D23">
        <f>Vht_kostn</f>
        <v>0</v>
      </c>
    </row>
    <row r="24" spans="1:4">
      <c r="A24" s="394" t="str">
        <f>'Verks int o kostn'!$D$77</f>
        <v/>
      </c>
      <c r="B24" t="s">
        <v>1113</v>
      </c>
      <c r="C24" t="str">
        <f>IF(AND(A24&lt;&gt;"",D24=0), A24,"")</f>
        <v/>
      </c>
      <c r="D24">
        <f>Vht_kostn</f>
        <v>0</v>
      </c>
    </row>
    <row r="25" spans="1:4">
      <c r="A25" t="str">
        <f>'Skatter, bidrag o fin poster'!$E$11</f>
        <v/>
      </c>
      <c r="B25" t="s">
        <v>1119</v>
      </c>
      <c r="C25" t="str">
        <f t="shared" si="6"/>
        <v/>
      </c>
      <c r="D25">
        <f>Skatter_bidrag_finpost</f>
        <v>0</v>
      </c>
    </row>
    <row r="26" spans="1:4">
      <c r="B26" s="1862"/>
    </row>
    <row r="27" spans="1:4">
      <c r="A27" s="394" t="str">
        <f>Investeringar!$C$16</f>
        <v/>
      </c>
      <c r="B27" t="s">
        <v>1120</v>
      </c>
      <c r="C27" t="str">
        <f t="shared" si="6"/>
        <v/>
      </c>
      <c r="D27">
        <f t="shared" si="1"/>
        <v>0</v>
      </c>
    </row>
    <row r="28" spans="1:4">
      <c r="A28" s="394" t="str">
        <f>Investeringar!$D$16</f>
        <v/>
      </c>
      <c r="B28" t="s">
        <v>1121</v>
      </c>
      <c r="C28" t="str">
        <f t="shared" si="6"/>
        <v/>
      </c>
      <c r="D28">
        <f t="shared" si="1"/>
        <v>0</v>
      </c>
    </row>
    <row r="29" spans="1:4">
      <c r="A29" s="394" t="str">
        <f>Investeringar!$E$16</f>
        <v/>
      </c>
      <c r="B29" t="s">
        <v>1122</v>
      </c>
      <c r="C29" t="str">
        <f t="shared" si="6"/>
        <v/>
      </c>
      <c r="D29">
        <f t="shared" si="1"/>
        <v>0</v>
      </c>
    </row>
    <row r="30" spans="1:4">
      <c r="A30" s="394" t="str">
        <f>Investeringar!$F$16</f>
        <v/>
      </c>
      <c r="B30" t="s">
        <v>1123</v>
      </c>
      <c r="C30" t="str">
        <f t="shared" si="6"/>
        <v/>
      </c>
      <c r="D30">
        <f t="shared" si="1"/>
        <v>0</v>
      </c>
    </row>
    <row r="31" spans="1:4">
      <c r="A31" s="394" t="str">
        <f>Investeringar!G66</f>
        <v/>
      </c>
      <c r="B31" t="s">
        <v>1442</v>
      </c>
      <c r="C31" t="str">
        <f t="shared" si="6"/>
        <v/>
      </c>
      <c r="D31">
        <f t="shared" si="1"/>
        <v>0</v>
      </c>
    </row>
    <row r="32" spans="1:4">
      <c r="A32" s="394" t="str">
        <f>Drift!AD113</f>
        <v/>
      </c>
      <c r="B32" t="s">
        <v>1124</v>
      </c>
      <c r="C32" t="str">
        <f>IF(AND(A32&lt;&gt;"",D32=0),A32,"")</f>
        <v/>
      </c>
      <c r="D32">
        <f t="shared" si="3"/>
        <v>0</v>
      </c>
    </row>
    <row r="33" spans="1:4">
      <c r="A33" t="str">
        <f>Drift!$N$114</f>
        <v>Kontrollera rad 924</v>
      </c>
      <c r="B33" t="s">
        <v>1125</v>
      </c>
      <c r="C33" t="str">
        <f>IF(AND(A33&lt;&gt;"",D33=0), A33,"")</f>
        <v>Kontrollera rad 924</v>
      </c>
      <c r="D33">
        <f t="shared" si="3"/>
        <v>0</v>
      </c>
    </row>
    <row r="34" spans="1:4">
      <c r="A34" s="394" t="str">
        <f>Drift!X116</f>
        <v/>
      </c>
      <c r="B34" t="s">
        <v>1367</v>
      </c>
      <c r="C34" t="str">
        <f t="shared" si="6"/>
        <v/>
      </c>
      <c r="D34">
        <f t="shared" si="3"/>
        <v>0</v>
      </c>
    </row>
    <row r="35" spans="1:4">
      <c r="A35" t="str">
        <f>Drift!J118</f>
        <v/>
      </c>
      <c r="B35" t="s">
        <v>1368</v>
      </c>
      <c r="C35" t="str">
        <f t="shared" si="6"/>
        <v/>
      </c>
      <c r="D35">
        <f t="shared" si="3"/>
        <v>0</v>
      </c>
    </row>
    <row r="36" spans="1:4">
      <c r="A36" t="str">
        <f>Motpart!$AD$10</f>
        <v/>
      </c>
      <c r="B36" t="s">
        <v>1127</v>
      </c>
      <c r="C36" t="str">
        <f t="shared" ref="C36:C46" si="7">IF(AND(A36&lt;&gt;"",D36=0),A36,"")</f>
        <v/>
      </c>
      <c r="D36">
        <f t="shared" ref="D36:D46" si="8">Spec_intäkter</f>
        <v>0</v>
      </c>
    </row>
    <row r="37" spans="1:4">
      <c r="A37" t="str">
        <f>Motpart!$AD$39</f>
        <v/>
      </c>
      <c r="B37" t="s">
        <v>1310</v>
      </c>
      <c r="C37" t="str">
        <f t="shared" si="7"/>
        <v/>
      </c>
      <c r="D37">
        <f t="shared" si="8"/>
        <v>0</v>
      </c>
    </row>
    <row r="38" spans="1:4">
      <c r="A38" t="str">
        <f>Motpart!$M$41</f>
        <v/>
      </c>
      <c r="B38" t="s">
        <v>1303</v>
      </c>
      <c r="C38" t="str">
        <f t="shared" si="7"/>
        <v/>
      </c>
      <c r="D38">
        <f>Köp_huvudvht</f>
        <v>0</v>
      </c>
    </row>
    <row r="39" spans="1:4">
      <c r="A39" s="394" t="str">
        <f>Motpart!$X$41</f>
        <v/>
      </c>
      <c r="B39" t="s">
        <v>1304</v>
      </c>
      <c r="C39" t="str">
        <f t="shared" si="7"/>
        <v/>
      </c>
      <c r="D39">
        <f>Bidrag_o_transfer.</f>
        <v>0</v>
      </c>
    </row>
    <row r="40" spans="1:4">
      <c r="A40" s="394" t="str">
        <f>Motpart!$U$42</f>
        <v/>
      </c>
      <c r="B40" t="s">
        <v>1374</v>
      </c>
      <c r="C40" t="str">
        <f t="shared" si="7"/>
        <v/>
      </c>
      <c r="D40">
        <f>Bidrag_o_transfer.</f>
        <v>0</v>
      </c>
    </row>
    <row r="41" spans="1:4">
      <c r="A41" s="394" t="str">
        <f>Motpart!$AA$43</f>
        <v/>
      </c>
      <c r="B41" t="s">
        <v>1307</v>
      </c>
      <c r="C41" t="str">
        <f t="shared" si="7"/>
        <v/>
      </c>
      <c r="D41">
        <f t="shared" si="8"/>
        <v>0</v>
      </c>
    </row>
    <row r="42" spans="1:4">
      <c r="A42" s="394" t="str">
        <f>Motpart!$AB$43</f>
        <v/>
      </c>
      <c r="B42" t="s">
        <v>1308</v>
      </c>
      <c r="C42" t="str">
        <f t="shared" si="7"/>
        <v/>
      </c>
      <c r="D42">
        <f t="shared" si="8"/>
        <v>0</v>
      </c>
    </row>
    <row r="43" spans="1:4">
      <c r="A43" s="394" t="str">
        <f>Motpart!$AC$43</f>
        <v/>
      </c>
      <c r="B43" t="s">
        <v>1309</v>
      </c>
      <c r="C43" t="str">
        <f t="shared" si="7"/>
        <v/>
      </c>
      <c r="D43">
        <f t="shared" si="8"/>
        <v>0</v>
      </c>
    </row>
    <row r="44" spans="1:4">
      <c r="A44" s="394" t="str">
        <f>Motpart!V43</f>
        <v/>
      </c>
      <c r="B44" t="s">
        <v>1460</v>
      </c>
      <c r="C44" t="str">
        <f t="shared" si="7"/>
        <v/>
      </c>
      <c r="D44">
        <f t="shared" si="5"/>
        <v>0</v>
      </c>
    </row>
    <row r="45" spans="1:4">
      <c r="A45" s="394" t="str">
        <f>Motpart!$Y$43</f>
        <v/>
      </c>
      <c r="B45" t="s">
        <v>1305</v>
      </c>
      <c r="C45" t="str">
        <f t="shared" si="7"/>
        <v/>
      </c>
      <c r="D45">
        <f t="shared" si="8"/>
        <v>0</v>
      </c>
    </row>
    <row r="46" spans="1:4">
      <c r="A46" s="394" t="str">
        <f>Motpart!$Z$43</f>
        <v/>
      </c>
      <c r="B46" t="s">
        <v>1306</v>
      </c>
      <c r="C46" t="str">
        <f t="shared" si="7"/>
        <v/>
      </c>
      <c r="D46">
        <f t="shared" si="8"/>
        <v>0</v>
      </c>
    </row>
    <row r="47" spans="1:4">
      <c r="A47" s="394" t="str">
        <f>Motpart!D44</f>
        <v/>
      </c>
      <c r="B47" t="s">
        <v>1444</v>
      </c>
      <c r="C47" t="str">
        <f t="shared" ref="C47:C54" si="9">IF(AND(A47&lt;&gt;"",D47=0),A47,"")</f>
        <v/>
      </c>
      <c r="D47">
        <f t="shared" si="4"/>
        <v>0</v>
      </c>
    </row>
    <row r="48" spans="1:4">
      <c r="A48" s="394" t="str">
        <f>Motpart!D45</f>
        <v/>
      </c>
      <c r="B48" t="s">
        <v>1445</v>
      </c>
      <c r="C48" t="str">
        <f t="shared" si="9"/>
        <v/>
      </c>
      <c r="D48">
        <f t="shared" si="4"/>
        <v>0</v>
      </c>
    </row>
    <row r="49" spans="1:8">
      <c r="A49" s="394" t="str">
        <f>Motpart!I44</f>
        <v/>
      </c>
      <c r="B49" t="s">
        <v>1448</v>
      </c>
      <c r="C49" t="str">
        <f>IF(AND(A49&lt;&gt;"",D49=0),A49,"")</f>
        <v/>
      </c>
      <c r="D49">
        <f t="shared" si="4"/>
        <v>0</v>
      </c>
    </row>
    <row r="50" spans="1:8">
      <c r="A50" s="394" t="str">
        <f>Motpart!I45</f>
        <v/>
      </c>
      <c r="B50" t="s">
        <v>1449</v>
      </c>
      <c r="C50" t="str">
        <f>IF(AND(A50&lt;&gt;"",D50=0),A50,"")</f>
        <v/>
      </c>
      <c r="D50">
        <f t="shared" si="4"/>
        <v>0</v>
      </c>
    </row>
    <row r="51" spans="1:8">
      <c r="A51" s="394" t="str">
        <f>Motpart!O44</f>
        <v/>
      </c>
      <c r="B51" t="s">
        <v>1452</v>
      </c>
      <c r="C51" t="str">
        <f t="shared" si="9"/>
        <v/>
      </c>
      <c r="D51">
        <f t="shared" si="5"/>
        <v>0</v>
      </c>
    </row>
    <row r="52" spans="1:8">
      <c r="A52" s="394" t="str">
        <f>Motpart!O45</f>
        <v/>
      </c>
      <c r="B52" t="s">
        <v>1453</v>
      </c>
      <c r="C52" t="str">
        <f t="shared" si="9"/>
        <v/>
      </c>
      <c r="D52">
        <f t="shared" si="5"/>
        <v>0</v>
      </c>
    </row>
    <row r="53" spans="1:8">
      <c r="A53" s="394" t="str">
        <f>Motpart!S44</f>
        <v/>
      </c>
      <c r="B53" t="s">
        <v>1456</v>
      </c>
      <c r="C53" t="str">
        <f t="shared" si="9"/>
        <v/>
      </c>
      <c r="D53">
        <f t="shared" si="5"/>
        <v>0</v>
      </c>
    </row>
    <row r="54" spans="1:8">
      <c r="A54" s="394" t="str">
        <f>Motpart!S45</f>
        <v/>
      </c>
      <c r="B54" t="s">
        <v>1457</v>
      </c>
      <c r="C54" t="str">
        <f t="shared" si="9"/>
        <v/>
      </c>
      <c r="D54">
        <f t="shared" si="5"/>
        <v>0</v>
      </c>
    </row>
    <row r="55" spans="1:8">
      <c r="A55" s="2090" t="e">
        <f>'Pedagogisk verksamhet'!P9</f>
        <v>#DIV/0!</v>
      </c>
      <c r="B55" s="1862" t="s">
        <v>1356</v>
      </c>
      <c r="C55" t="e">
        <f t="shared" ref="C55:C71" si="10">IF(AND(A55&lt;&gt;"",D55=0),CONCATENATE(E55,F55),"")</f>
        <v>#DIV/0!</v>
      </c>
      <c r="D55">
        <f>Förskola</f>
        <v>0</v>
      </c>
      <c r="E55" t="e">
        <f>CONCATENATE(A55,H55)</f>
        <v>#DIV/0!</v>
      </c>
      <c r="F55" s="394"/>
      <c r="H55" t="s">
        <v>1461</v>
      </c>
    </row>
    <row r="56" spans="1:8">
      <c r="A56" t="e">
        <f>'Pedagogisk verksamhet'!P17</f>
        <v>#DIV/0!</v>
      </c>
      <c r="B56" s="1862" t="s">
        <v>1355</v>
      </c>
      <c r="C56" t="e">
        <f t="shared" si="10"/>
        <v>#DIV/0!</v>
      </c>
      <c r="D56">
        <f>Fritidshem</f>
        <v>0</v>
      </c>
      <c r="E56" t="e">
        <f>CONCATENATE(A56,H56)</f>
        <v>#DIV/0!</v>
      </c>
      <c r="F56" s="394"/>
      <c r="H56" t="s">
        <v>1462</v>
      </c>
    </row>
    <row r="57" spans="1:8">
      <c r="A57" t="e">
        <f>'Pedagogisk verksamhet'!P25</f>
        <v>#DIV/0!</v>
      </c>
      <c r="B57" s="1862" t="s">
        <v>1542</v>
      </c>
      <c r="C57" t="e">
        <f t="shared" si="10"/>
        <v>#DIV/0!</v>
      </c>
      <c r="D57">
        <f>Förskoleklass</f>
        <v>0</v>
      </c>
      <c r="E57" t="e">
        <f>CONCATENATE(A57,H57)</f>
        <v>#DIV/0!</v>
      </c>
      <c r="F57" s="394"/>
      <c r="H57" t="s">
        <v>1463</v>
      </c>
    </row>
    <row r="58" spans="1:8">
      <c r="A58" t="e">
        <f>'Pedagogisk verksamhet'!P31</f>
        <v>#DIV/0!</v>
      </c>
      <c r="B58" s="1862" t="s">
        <v>1349</v>
      </c>
      <c r="C58" t="e">
        <f t="shared" si="10"/>
        <v>#DIV/0!</v>
      </c>
      <c r="D58">
        <f>Grundskola</f>
        <v>0</v>
      </c>
      <c r="E58" t="e">
        <f>CONCATENATE(A58,H58)</f>
        <v>#DIV/0!</v>
      </c>
      <c r="F58" s="394"/>
      <c r="H58" t="s">
        <v>1464</v>
      </c>
    </row>
    <row r="59" spans="1:8">
      <c r="A59" t="str">
        <f>'Pedagogisk verksamhet'!$P$43</f>
        <v/>
      </c>
      <c r="B59" t="s">
        <v>1128</v>
      </c>
      <c r="C59" t="str">
        <f t="shared" si="10"/>
        <v/>
      </c>
      <c r="D59">
        <f>Grundskola</f>
        <v>0</v>
      </c>
      <c r="E59" s="394" t="s">
        <v>1357</v>
      </c>
      <c r="H59" s="394" t="s">
        <v>1357</v>
      </c>
    </row>
    <row r="60" spans="1:8">
      <c r="A60" t="e">
        <f>'Pedagogisk verksamhet'!P44</f>
        <v>#DIV/0!</v>
      </c>
      <c r="B60" s="1862" t="s">
        <v>1350</v>
      </c>
      <c r="C60" t="e">
        <f t="shared" si="10"/>
        <v>#DIV/0!</v>
      </c>
      <c r="D60">
        <f>Grundsärskola</f>
        <v>0</v>
      </c>
      <c r="E60" t="e">
        <f>CONCATENATE(A60,H60)</f>
        <v>#DIV/0!</v>
      </c>
      <c r="F60" s="394"/>
      <c r="H60" s="544" t="s">
        <v>1833</v>
      </c>
    </row>
    <row r="61" spans="1:8">
      <c r="A61" t="e">
        <f>'Pedagogisk verksamhet'!$P$53</f>
        <v>#DIV/0!</v>
      </c>
      <c r="B61" t="s">
        <v>1129</v>
      </c>
      <c r="C61" t="e">
        <f t="shared" si="10"/>
        <v>#DIV/0!</v>
      </c>
      <c r="D61">
        <f>Grundsärskola</f>
        <v>0</v>
      </c>
      <c r="E61" s="544" t="s">
        <v>1829</v>
      </c>
      <c r="F61" s="394"/>
      <c r="H61" s="544" t="s">
        <v>1829</v>
      </c>
    </row>
    <row r="62" spans="1:8">
      <c r="A62" t="str">
        <f>'Pedagogisk verksamhet'!P57</f>
        <v/>
      </c>
      <c r="B62" s="1862" t="s">
        <v>1358</v>
      </c>
      <c r="C62" t="str">
        <f t="shared" si="10"/>
        <v/>
      </c>
      <c r="D62">
        <f>Grundsärskola</f>
        <v>0</v>
      </c>
      <c r="E62" s="2815" t="s">
        <v>1830</v>
      </c>
      <c r="H62" s="2815" t="s">
        <v>1830</v>
      </c>
    </row>
    <row r="63" spans="1:8">
      <c r="A63" t="e">
        <f>'Pedagogisk verksamhet'!P58</f>
        <v>#DIV/0!</v>
      </c>
      <c r="B63" s="1862" t="s">
        <v>1351</v>
      </c>
      <c r="C63" t="e">
        <f t="shared" si="10"/>
        <v>#DIV/0!</v>
      </c>
      <c r="D63">
        <f>Gymnasieskola</f>
        <v>0</v>
      </c>
      <c r="E63" t="e">
        <f>CONCATENATE(A63,H63)</f>
        <v>#DIV/0!</v>
      </c>
      <c r="F63" s="394"/>
      <c r="H63" t="s">
        <v>1465</v>
      </c>
    </row>
    <row r="64" spans="1:8">
      <c r="A64" t="e">
        <f>'Pedagogisk verksamhet'!$P$67</f>
        <v>#DIV/0!</v>
      </c>
      <c r="B64" t="s">
        <v>1130</v>
      </c>
      <c r="C64" t="e">
        <f t="shared" si="10"/>
        <v>#DIV/0!</v>
      </c>
      <c r="D64" s="544">
        <f>Gymnasieskola</f>
        <v>0</v>
      </c>
      <c r="E64" t="s">
        <v>1468</v>
      </c>
      <c r="F64" s="394"/>
      <c r="H64" t="s">
        <v>1359</v>
      </c>
    </row>
    <row r="65" spans="1:8">
      <c r="A65" t="str">
        <f>'Pedagogisk verksamhet'!P71</f>
        <v/>
      </c>
      <c r="B65" s="1862" t="s">
        <v>1360</v>
      </c>
      <c r="C65" t="str">
        <f t="shared" si="10"/>
        <v/>
      </c>
      <c r="D65" s="544">
        <f>Gymnasieskola</f>
        <v>0</v>
      </c>
      <c r="E65" t="s">
        <v>1361</v>
      </c>
      <c r="F65" s="394"/>
      <c r="H65" t="s">
        <v>1361</v>
      </c>
    </row>
    <row r="66" spans="1:8">
      <c r="A66" t="e">
        <f>'Pedagogisk verksamhet'!P72</f>
        <v>#DIV/0!</v>
      </c>
      <c r="B66" s="1862" t="s">
        <v>1352</v>
      </c>
      <c r="C66" t="e">
        <f t="shared" si="10"/>
        <v>#DIV/0!</v>
      </c>
      <c r="D66" s="544">
        <f>Gymnasieskola</f>
        <v>0</v>
      </c>
      <c r="E66" s="544" t="s">
        <v>1831</v>
      </c>
      <c r="F66" s="394"/>
      <c r="H66" s="544" t="s">
        <v>1831</v>
      </c>
    </row>
    <row r="67" spans="1:8">
      <c r="A67" t="str">
        <f>'Pedagogisk verksamhet'!P85</f>
        <v/>
      </c>
      <c r="B67" s="1862" t="s">
        <v>1362</v>
      </c>
      <c r="C67" t="str">
        <f t="shared" si="10"/>
        <v/>
      </c>
      <c r="D67" s="544">
        <f>Gymnasieskola</f>
        <v>0</v>
      </c>
      <c r="E67" s="544" t="s">
        <v>1832</v>
      </c>
      <c r="F67" s="394"/>
      <c r="H67" s="544" t="s">
        <v>1832</v>
      </c>
    </row>
    <row r="68" spans="1:8">
      <c r="A68" t="e">
        <f>'Pedagogisk verksamhet'!P86</f>
        <v>#DIV/0!</v>
      </c>
      <c r="B68" s="1862" t="s">
        <v>1353</v>
      </c>
      <c r="C68" t="e">
        <f t="shared" si="10"/>
        <v>#DIV/0!</v>
      </c>
      <c r="D68" s="544">
        <f>Grundvux</f>
        <v>0</v>
      </c>
      <c r="E68" t="e">
        <f>CONCATENATE(A68,H68)</f>
        <v>#DIV/0!</v>
      </c>
      <c r="F68" s="394"/>
      <c r="H68" t="s">
        <v>1466</v>
      </c>
    </row>
    <row r="69" spans="1:8">
      <c r="A69" t="str">
        <f>'Pedagogisk verksamhet'!P93</f>
        <v/>
      </c>
      <c r="B69" s="1862" t="s">
        <v>1363</v>
      </c>
      <c r="C69" t="str">
        <f t="shared" si="10"/>
        <v/>
      </c>
      <c r="D69" s="544">
        <f>Grundvux</f>
        <v>0</v>
      </c>
      <c r="E69" t="s">
        <v>1364</v>
      </c>
      <c r="F69" s="394"/>
      <c r="H69" t="s">
        <v>1364</v>
      </c>
    </row>
    <row r="70" spans="1:8">
      <c r="A70" t="e">
        <f>'Pedagogisk verksamhet'!P95</f>
        <v>#DIV/0!</v>
      </c>
      <c r="B70" s="1862" t="s">
        <v>1354</v>
      </c>
      <c r="C70" t="e">
        <f t="shared" si="10"/>
        <v>#DIV/0!</v>
      </c>
      <c r="D70">
        <f>Gymnvux</f>
        <v>0</v>
      </c>
      <c r="E70" t="e">
        <f>CONCATENATE(A70,H70)</f>
        <v>#DIV/0!</v>
      </c>
      <c r="F70" s="394"/>
      <c r="H70" t="s">
        <v>1467</v>
      </c>
    </row>
    <row r="71" spans="1:8">
      <c r="A71" t="str">
        <f>'Pedagogisk verksamhet'!P102</f>
        <v/>
      </c>
      <c r="B71" s="1862" t="s">
        <v>1365</v>
      </c>
      <c r="C71" t="str">
        <f t="shared" si="10"/>
        <v/>
      </c>
      <c r="D71">
        <f>Gymnvux</f>
        <v>0</v>
      </c>
      <c r="E71" t="s">
        <v>1366</v>
      </c>
      <c r="F71" s="394"/>
      <c r="H71" t="s">
        <v>1366</v>
      </c>
    </row>
    <row r="72" spans="1:8">
      <c r="A72" s="394" t="str">
        <f>'Äldre o personer funktionsn'!$P$20</f>
        <v/>
      </c>
      <c r="B72" t="s">
        <v>1132</v>
      </c>
      <c r="C72" t="str">
        <f t="shared" ref="C72:C79" si="11">IF(AND(A72&lt;&gt;"",D72=0),A72,"")</f>
        <v/>
      </c>
      <c r="D72">
        <f>Äldre</f>
        <v>0</v>
      </c>
    </row>
    <row r="73" spans="1:8">
      <c r="A73" s="394" t="str">
        <f>'Äldre o personer funktionsn'!$P$30</f>
        <v/>
      </c>
      <c r="B73" s="1862" t="s">
        <v>1469</v>
      </c>
      <c r="C73" t="str">
        <f t="shared" si="11"/>
        <v/>
      </c>
      <c r="D73">
        <f>Funktionsnedsättning</f>
        <v>0</v>
      </c>
    </row>
    <row r="74" spans="1:8">
      <c r="A74" s="394" t="str">
        <f>'Äldre o personer funktionsn'!$P$38</f>
        <v/>
      </c>
      <c r="B74" s="1862" t="s">
        <v>1470</v>
      </c>
      <c r="C74" t="str">
        <f t="shared" si="11"/>
        <v/>
      </c>
      <c r="D74">
        <f>LSS</f>
        <v>0</v>
      </c>
    </row>
    <row r="75" spans="1:8">
      <c r="A75" t="str">
        <f>'Äldre o personer funktionsn'!$D$59</f>
        <v/>
      </c>
      <c r="B75" t="s">
        <v>1133</v>
      </c>
      <c r="C75" t="str">
        <f t="shared" si="11"/>
        <v/>
      </c>
      <c r="D75">
        <f>Spec_VoO</f>
        <v>0</v>
      </c>
    </row>
    <row r="76" spans="1:8">
      <c r="A76" s="394" t="str">
        <f>IFO!$L$20</f>
        <v/>
      </c>
      <c r="B76" t="s">
        <v>1487</v>
      </c>
      <c r="C76" t="str">
        <f t="shared" si="11"/>
        <v/>
      </c>
      <c r="D76">
        <f>Vuxna_missb.</f>
        <v>0</v>
      </c>
    </row>
    <row r="77" spans="1:8">
      <c r="A77" s="394" t="str">
        <f>IFO!$L$28</f>
        <v/>
      </c>
      <c r="B77" t="s">
        <v>1488</v>
      </c>
      <c r="C77" t="str">
        <f t="shared" si="11"/>
        <v/>
      </c>
      <c r="D77">
        <f>Barn_o_ungdomsvård</f>
        <v>0</v>
      </c>
    </row>
    <row r="78" spans="1:8">
      <c r="A78" s="394" t="str">
        <f>IFO!$L$30</f>
        <v>Belopp saknas</v>
      </c>
      <c r="B78" t="s">
        <v>1486</v>
      </c>
      <c r="C78" t="str">
        <f>IF(AND(A78&lt;&gt;"",D78=0),A78,"")</f>
        <v>Belopp saknas</v>
      </c>
      <c r="D78">
        <f>Övr._o_ek.bistånd</f>
        <v>0</v>
      </c>
    </row>
    <row r="79" spans="1:8">
      <c r="A79" s="394" t="str">
        <f>IFO!$L$36</f>
        <v/>
      </c>
      <c r="B79" t="s">
        <v>1489</v>
      </c>
      <c r="C79" t="str">
        <f t="shared" si="11"/>
        <v/>
      </c>
      <c r="D79">
        <f>Familjerätt</f>
        <v>0</v>
      </c>
    </row>
    <row r="80" spans="1:8">
      <c r="A80" s="394" t="str">
        <f>Kontrollblad!$F$14</f>
        <v>Kontrollera differensen</v>
      </c>
      <c r="B80" t="s">
        <v>1668</v>
      </c>
      <c r="C80" t="str">
        <f>IF(AND(A80&lt;&gt;"",D80=0,E80=0),A80,"")</f>
        <v>Kontrollera differensen</v>
      </c>
      <c r="D80">
        <f>Kontrollblad_1</f>
        <v>0</v>
      </c>
      <c r="E80">
        <f t="shared" ref="E80:E98" si="12">Drift</f>
        <v>0</v>
      </c>
    </row>
    <row r="81" spans="1:5">
      <c r="A81" s="394" t="str">
        <f>Kontrollblad!$F$25</f>
        <v/>
      </c>
      <c r="B81" t="s">
        <v>1669</v>
      </c>
      <c r="C81" t="str">
        <f>IF(AND(A81&lt;&gt;"",D81=0,E81=0),A81,"")</f>
        <v/>
      </c>
      <c r="D81">
        <f>Kontrollblad_2</f>
        <v>0</v>
      </c>
      <c r="E81">
        <f t="shared" si="12"/>
        <v>0</v>
      </c>
    </row>
    <row r="82" spans="1:5">
      <c r="A82" s="394" t="str">
        <f>Kontrollblad!$F$33</f>
        <v/>
      </c>
      <c r="B82" t="s">
        <v>1670</v>
      </c>
      <c r="C82" t="str">
        <f>IF(AND(A82&lt;&gt;"",D82=0,E82=0),A82,"")</f>
        <v/>
      </c>
      <c r="D82">
        <f>Kontrollblad_3</f>
        <v>0</v>
      </c>
      <c r="E82">
        <f t="shared" si="12"/>
        <v>0</v>
      </c>
    </row>
    <row r="83" spans="1:5">
      <c r="A83" s="394" t="str">
        <f>Kontrollblad!$F$50</f>
        <v/>
      </c>
      <c r="B83" t="s">
        <v>1671</v>
      </c>
      <c r="C83" t="str">
        <f>IF(AND(A83&lt;&gt;"",D83=0,E83=0),A83,"")</f>
        <v/>
      </c>
      <c r="D83">
        <f>Kontrollblad_4</f>
        <v>0</v>
      </c>
      <c r="E83">
        <f t="shared" si="12"/>
        <v>0</v>
      </c>
    </row>
    <row r="84" spans="1:5">
      <c r="A84" s="394" t="str">
        <f>Kontrollblad!$F$58</f>
        <v/>
      </c>
      <c r="B84" t="s">
        <v>1672</v>
      </c>
      <c r="C84" t="str">
        <f>IF(AND(A84&lt;&gt;"",D84=0,E84=0),A84,"")</f>
        <v/>
      </c>
      <c r="D84">
        <f>Kontrollblad_5</f>
        <v>0</v>
      </c>
      <c r="E84">
        <f t="shared" si="12"/>
        <v>0</v>
      </c>
    </row>
    <row r="85" spans="1:5">
      <c r="A85" s="394" t="str">
        <f>Kontrollblad!$F$66</f>
        <v/>
      </c>
      <c r="B85" t="s">
        <v>1673</v>
      </c>
      <c r="C85" t="str">
        <f t="shared" ref="C85:C93" si="13">IF(AND(A85&lt;&gt;"",D85=0,E85=0),A85,"")</f>
        <v/>
      </c>
      <c r="D85">
        <f>Kontrollblad_6</f>
        <v>0</v>
      </c>
      <c r="E85">
        <f t="shared" si="12"/>
        <v>0</v>
      </c>
    </row>
    <row r="86" spans="1:5">
      <c r="A86" s="394" t="str">
        <f>Kontrollblad!$F$74</f>
        <v/>
      </c>
      <c r="B86" t="s">
        <v>1674</v>
      </c>
      <c r="C86" t="str">
        <f t="shared" si="13"/>
        <v/>
      </c>
      <c r="D86">
        <f>Kontrollblad_7</f>
        <v>0</v>
      </c>
      <c r="E86">
        <f t="shared" si="12"/>
        <v>0</v>
      </c>
    </row>
    <row r="87" spans="1:5">
      <c r="A87" s="394" t="str">
        <f>Kontrollblad!$F$82</f>
        <v/>
      </c>
      <c r="B87" t="s">
        <v>1675</v>
      </c>
      <c r="C87" t="str">
        <f t="shared" si="13"/>
        <v/>
      </c>
      <c r="D87">
        <f>Kontrollblad_8</f>
        <v>0</v>
      </c>
      <c r="E87">
        <f t="shared" si="12"/>
        <v>0</v>
      </c>
    </row>
    <row r="88" spans="1:5">
      <c r="A88" s="394" t="str">
        <f>Kontrollblad!$F$95</f>
        <v/>
      </c>
      <c r="B88" t="s">
        <v>1676</v>
      </c>
      <c r="C88" t="str">
        <f t="shared" si="13"/>
        <v/>
      </c>
      <c r="D88">
        <f>Kontrollblad_9</f>
        <v>0</v>
      </c>
      <c r="E88">
        <f t="shared" si="12"/>
        <v>0</v>
      </c>
    </row>
    <row r="89" spans="1:5">
      <c r="A89" s="394" t="str">
        <f>Kontrollblad!$F$103</f>
        <v/>
      </c>
      <c r="B89" t="s">
        <v>1677</v>
      </c>
      <c r="C89" t="str">
        <f t="shared" si="13"/>
        <v/>
      </c>
      <c r="D89">
        <f>Kontrollblad_10</f>
        <v>0</v>
      </c>
      <c r="E89">
        <f t="shared" si="12"/>
        <v>0</v>
      </c>
    </row>
    <row r="90" spans="1:5">
      <c r="A90" s="394" t="str">
        <f>Kontrollblad!$F$112</f>
        <v/>
      </c>
      <c r="B90" t="s">
        <v>1678</v>
      </c>
      <c r="C90" t="str">
        <f t="shared" si="13"/>
        <v/>
      </c>
      <c r="D90">
        <f>Kontrollblad_11</f>
        <v>0</v>
      </c>
      <c r="E90">
        <f t="shared" si="12"/>
        <v>0</v>
      </c>
    </row>
    <row r="91" spans="1:5">
      <c r="A91" s="394" t="str">
        <f>Kontrollblad!$F$120</f>
        <v/>
      </c>
      <c r="B91" t="s">
        <v>1679</v>
      </c>
      <c r="C91" t="str">
        <f t="shared" si="13"/>
        <v/>
      </c>
      <c r="D91">
        <f>Kontrollblad_12</f>
        <v>0</v>
      </c>
      <c r="E91">
        <f t="shared" si="12"/>
        <v>0</v>
      </c>
    </row>
    <row r="92" spans="1:5">
      <c r="A92" s="394" t="str">
        <f>Kontrollblad!$F$128</f>
        <v/>
      </c>
      <c r="B92" t="s">
        <v>1131</v>
      </c>
      <c r="C92" t="str">
        <f t="shared" si="13"/>
        <v/>
      </c>
      <c r="D92">
        <f>Kontrollblad_13</f>
        <v>0</v>
      </c>
      <c r="E92">
        <f t="shared" si="12"/>
        <v>0</v>
      </c>
    </row>
    <row r="93" spans="1:5">
      <c r="A93" s="394" t="str">
        <f>Kontrollblad!$F$136</f>
        <v/>
      </c>
      <c r="B93" t="s">
        <v>1680</v>
      </c>
      <c r="C93" t="str">
        <f t="shared" si="13"/>
        <v/>
      </c>
      <c r="D93">
        <f>Kontrollblad_14</f>
        <v>0</v>
      </c>
      <c r="E93">
        <f t="shared" si="12"/>
        <v>0</v>
      </c>
    </row>
    <row r="94" spans="1:5">
      <c r="A94" s="394" t="str">
        <f>Kontrollblad!$F$145</f>
        <v/>
      </c>
      <c r="B94" t="s">
        <v>1681</v>
      </c>
      <c r="D94">
        <f>Kontrollblad_15</f>
        <v>0</v>
      </c>
      <c r="E94">
        <f t="shared" si="12"/>
        <v>0</v>
      </c>
    </row>
    <row r="95" spans="1:5">
      <c r="A95" s="394" t="str">
        <f>Kontrollblad!$F$153</f>
        <v/>
      </c>
      <c r="B95" t="s">
        <v>1682</v>
      </c>
      <c r="D95">
        <f>Kontrollblad_16</f>
        <v>0</v>
      </c>
      <c r="E95">
        <f t="shared" si="12"/>
        <v>0</v>
      </c>
    </row>
    <row r="96" spans="1:5">
      <c r="A96" s="394" t="str">
        <f>Kontrollblad!$F$162</f>
        <v/>
      </c>
      <c r="B96" t="s">
        <v>1683</v>
      </c>
      <c r="D96">
        <f>Kontrollblad_17</f>
        <v>0</v>
      </c>
      <c r="E96">
        <f t="shared" si="12"/>
        <v>0</v>
      </c>
    </row>
    <row r="97" spans="1:5">
      <c r="A97" s="394" t="str">
        <f>Kontrollblad!$F$170</f>
        <v/>
      </c>
      <c r="B97" t="s">
        <v>1684</v>
      </c>
      <c r="D97">
        <f>Kontrollblad_18</f>
        <v>0</v>
      </c>
      <c r="E97">
        <f t="shared" si="12"/>
        <v>0</v>
      </c>
    </row>
    <row r="98" spans="1:5">
      <c r="A98" s="394" t="str">
        <f>Kontrollblad!$F$183</f>
        <v/>
      </c>
      <c r="B98" t="s">
        <v>1685</v>
      </c>
      <c r="D98">
        <f>Kontrollblad_19</f>
        <v>0</v>
      </c>
      <c r="E98">
        <f t="shared" si="12"/>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FFFF00"/>
  </sheetPr>
  <dimension ref="A1:L74"/>
  <sheetViews>
    <sheetView showGridLines="0" zoomScaleNormal="100" workbookViewId="0">
      <pane ySplit="1" topLeftCell="A2" activePane="bottomLeft" state="frozen"/>
      <selection activeCell="F36" sqref="F36"/>
      <selection pane="bottomLeft" activeCell="J31" sqref="J31"/>
    </sheetView>
  </sheetViews>
  <sheetFormatPr defaultColWidth="0" defaultRowHeight="12.75" customHeight="1" zeroHeight="1"/>
  <cols>
    <col min="1" max="1" width="4" style="187" customWidth="1"/>
    <col min="2" max="2" width="42.42578125" style="187" customWidth="1"/>
    <col min="3" max="4" width="11.5703125" style="187" customWidth="1"/>
    <col min="5" max="5" width="12.42578125" style="187" customWidth="1"/>
    <col min="6" max="6" width="5.5703125" style="187" customWidth="1"/>
    <col min="7" max="7" width="24" style="187" customWidth="1"/>
    <col min="8" max="8" width="15.85546875" style="187" customWidth="1"/>
    <col min="9" max="10" width="10" style="187" customWidth="1"/>
    <col min="11" max="11" width="10.42578125" style="187" customWidth="1"/>
    <col min="12" max="12" width="0" style="187" hidden="1" customWidth="1"/>
    <col min="13" max="16384" width="9.42578125" style="187" hidden="1"/>
  </cols>
  <sheetData>
    <row r="1" spans="1:11" ht="21.75">
      <c r="A1" s="86" t="str">
        <f>"Resultaträkning "&amp;År&amp;", 1 000 tal kr"</f>
        <v>Resultaträkning 2023, 1 000 tal kr</v>
      </c>
      <c r="B1" s="87"/>
      <c r="C1" s="87"/>
      <c r="D1" s="87"/>
      <c r="E1" s="87"/>
      <c r="F1" s="626">
        <f>Information!B3</f>
        <v>0</v>
      </c>
      <c r="G1" s="627">
        <f>Information!B2</f>
        <v>0</v>
      </c>
      <c r="H1" s="186"/>
      <c r="I1" s="186"/>
      <c r="J1" s="186"/>
      <c r="K1" s="186"/>
    </row>
    <row r="2" spans="1:11" ht="12.75" customHeight="1">
      <c r="A2" s="1487"/>
      <c r="C2" s="1702"/>
      <c r="D2" s="48" t="s">
        <v>1075</v>
      </c>
      <c r="G2" s="1484"/>
      <c r="H2" s="430"/>
      <c r="I2" s="48" t="s">
        <v>996</v>
      </c>
      <c r="J2" s="5"/>
      <c r="K2" s="188"/>
    </row>
    <row r="3" spans="1:11" ht="12.75" customHeight="1" thickBot="1">
      <c r="C3" s="2"/>
      <c r="D3" s="48" t="s">
        <v>1052</v>
      </c>
      <c r="G3" s="188"/>
      <c r="H3" s="107"/>
      <c r="I3" s="48" t="s">
        <v>627</v>
      </c>
      <c r="J3" s="188"/>
      <c r="K3" s="188"/>
    </row>
    <row r="4" spans="1:11" ht="12.75" customHeight="1">
      <c r="A4" s="739" t="s">
        <v>873</v>
      </c>
      <c r="B4" s="740"/>
      <c r="C4" s="750" t="s">
        <v>875</v>
      </c>
      <c r="D4" s="751" t="s">
        <v>979</v>
      </c>
      <c r="G4" s="5"/>
      <c r="H4" s="5"/>
      <c r="I4" s="2852" t="s">
        <v>514</v>
      </c>
      <c r="J4" s="2858"/>
      <c r="K4" s="188"/>
    </row>
    <row r="5" spans="1:11" ht="12.75" customHeight="1">
      <c r="A5" s="741" t="s">
        <v>876</v>
      </c>
      <c r="B5" s="742"/>
      <c r="C5" s="752"/>
      <c r="D5" s="753"/>
      <c r="E5" s="2"/>
      <c r="F5" s="5"/>
      <c r="G5" s="5"/>
      <c r="H5" s="5"/>
      <c r="I5" s="756" t="s">
        <v>875</v>
      </c>
      <c r="J5" s="757" t="s">
        <v>979</v>
      </c>
      <c r="K5" s="188"/>
    </row>
    <row r="6" spans="1:11" ht="12.75" customHeight="1">
      <c r="A6" s="741"/>
      <c r="B6" s="743"/>
      <c r="C6" s="742"/>
      <c r="D6" s="754"/>
      <c r="E6" s="2"/>
      <c r="F6" s="5"/>
      <c r="G6" s="5"/>
      <c r="H6" s="5"/>
      <c r="I6" s="758"/>
      <c r="J6" s="759"/>
      <c r="K6" s="188"/>
    </row>
    <row r="7" spans="1:11">
      <c r="A7" s="724" t="s">
        <v>295</v>
      </c>
      <c r="B7" s="744" t="s">
        <v>989</v>
      </c>
      <c r="C7" s="192"/>
      <c r="D7" s="193"/>
      <c r="E7" s="197" t="str">
        <f>IF(OR(C7=0,D7=0),"Belopp saknas","")</f>
        <v>Belopp saknas</v>
      </c>
      <c r="F7" s="74"/>
      <c r="G7" s="74"/>
      <c r="H7" s="5"/>
      <c r="I7" s="760" t="e">
        <f>C7*1000/invanare</f>
        <v>#DIV/0!</v>
      </c>
      <c r="J7" s="761" t="e">
        <f t="shared" ref="I7:J12" si="0">D7*1000/invanare</f>
        <v>#DIV/0!</v>
      </c>
      <c r="K7" s="188"/>
    </row>
    <row r="8" spans="1:11">
      <c r="A8" s="722" t="s">
        <v>296</v>
      </c>
      <c r="B8" s="744" t="s">
        <v>990</v>
      </c>
      <c r="C8" s="192"/>
      <c r="D8" s="193"/>
      <c r="E8" s="197" t="str">
        <f>IF(OR(C8=0,D8=0),"Belopp saknas","")</f>
        <v>Belopp saknas</v>
      </c>
      <c r="F8" s="74"/>
      <c r="G8" s="74"/>
      <c r="H8" s="5"/>
      <c r="I8" s="762" t="e">
        <f>C8*1000/invanare*-1</f>
        <v>#DIV/0!</v>
      </c>
      <c r="J8" s="761" t="e">
        <f>D8*1000/invanare*-1</f>
        <v>#DIV/0!</v>
      </c>
      <c r="K8" s="188"/>
    </row>
    <row r="9" spans="1:11" ht="13.5" customHeight="1">
      <c r="A9" s="722" t="s">
        <v>297</v>
      </c>
      <c r="B9" s="744" t="s">
        <v>1348</v>
      </c>
      <c r="C9" s="71"/>
      <c r="D9" s="194"/>
      <c r="E9" s="197" t="str">
        <f>IF(OR(C9=0,D9=0),"Belopp saknas","")</f>
        <v>Belopp saknas</v>
      </c>
      <c r="F9" s="74"/>
      <c r="G9" s="74"/>
      <c r="H9" s="5"/>
      <c r="I9" s="760" t="e">
        <f>C9*1000/invanare*-1</f>
        <v>#DIV/0!</v>
      </c>
      <c r="J9" s="761" t="e">
        <f>D9*1000/invanare*-1</f>
        <v>#DIV/0!</v>
      </c>
      <c r="K9" s="188"/>
    </row>
    <row r="10" spans="1:11" ht="13.5" thickBot="1">
      <c r="A10" s="715" t="s">
        <v>298</v>
      </c>
      <c r="B10" s="745" t="s">
        <v>877</v>
      </c>
      <c r="C10" s="419">
        <f>C7-SUM(C8:C9)</f>
        <v>0</v>
      </c>
      <c r="D10" s="420">
        <f>D7-SUM(D8:D9)</f>
        <v>0</v>
      </c>
      <c r="E10" s="198"/>
      <c r="F10" s="74"/>
      <c r="G10" s="74"/>
      <c r="H10" s="5"/>
      <c r="I10" s="763" t="e">
        <f t="shared" si="0"/>
        <v>#DIV/0!</v>
      </c>
      <c r="J10" s="761" t="e">
        <f t="shared" si="0"/>
        <v>#DIV/0!</v>
      </c>
      <c r="K10" s="188"/>
    </row>
    <row r="11" spans="1:11">
      <c r="A11" s="746" t="s">
        <v>299</v>
      </c>
      <c r="B11" s="747" t="s">
        <v>878</v>
      </c>
      <c r="C11" s="106">
        <f>'Skatter, bidrag o fin poster'!D14</f>
        <v>0</v>
      </c>
      <c r="D11" s="1485">
        <f>C11</f>
        <v>0</v>
      </c>
      <c r="E11" s="198"/>
      <c r="F11" s="74"/>
      <c r="G11" s="74"/>
      <c r="H11" s="5"/>
      <c r="I11" s="764" t="e">
        <f t="shared" si="0"/>
        <v>#DIV/0!</v>
      </c>
      <c r="J11" s="765" t="e">
        <f t="shared" si="0"/>
        <v>#DIV/0!</v>
      </c>
      <c r="K11" s="188"/>
    </row>
    <row r="12" spans="1:11">
      <c r="A12" s="722" t="s">
        <v>300</v>
      </c>
      <c r="B12" s="2533" t="s">
        <v>1547</v>
      </c>
      <c r="C12" s="107">
        <f>'Skatter, bidrag o fin poster'!D28-'Skatter, bidrag o fin poster'!D39+'Skatter, bidrag o fin poster'!D41</f>
        <v>0</v>
      </c>
      <c r="D12" s="1486">
        <f>C12</f>
        <v>0</v>
      </c>
      <c r="E12" s="198"/>
      <c r="F12" s="74"/>
      <c r="G12" s="74"/>
      <c r="H12" s="5"/>
      <c r="I12" s="760" t="e">
        <f t="shared" si="0"/>
        <v>#DIV/0!</v>
      </c>
      <c r="J12" s="766" t="e">
        <f t="shared" si="0"/>
        <v>#DIV/0!</v>
      </c>
      <c r="K12" s="188"/>
    </row>
    <row r="13" spans="1:11" ht="13.5" thickBot="1">
      <c r="A13" s="726" t="s">
        <v>313</v>
      </c>
      <c r="B13" s="2534" t="s">
        <v>1642</v>
      </c>
      <c r="C13" s="419">
        <f>SUM(C10:C12)</f>
        <v>0</v>
      </c>
      <c r="D13" s="420">
        <f>SUM(D10:D12)</f>
        <v>0</v>
      </c>
      <c r="E13" s="198"/>
      <c r="F13" s="74"/>
      <c r="G13" s="74"/>
      <c r="H13" s="5"/>
      <c r="I13" s="763" t="e">
        <f t="shared" ref="I13" si="1">C13*1000/invanare</f>
        <v>#DIV/0!</v>
      </c>
      <c r="J13" s="770" t="e">
        <f t="shared" ref="J13" si="2">D13*1000/invanare</f>
        <v>#DIV/0!</v>
      </c>
      <c r="K13" s="188"/>
    </row>
    <row r="14" spans="1:11">
      <c r="A14" s="722" t="s">
        <v>301</v>
      </c>
      <c r="B14" s="744" t="s">
        <v>879</v>
      </c>
      <c r="C14" s="192"/>
      <c r="D14" s="2288"/>
      <c r="E14" s="197" t="str">
        <f>IF(OR(C14=0,D14=0),"Belopp saknas","")</f>
        <v>Belopp saknas</v>
      </c>
      <c r="F14" s="84"/>
      <c r="G14" s="74"/>
      <c r="H14" s="5"/>
      <c r="I14" s="2859" t="e">
        <f>(C14-C15)*1000/invanare</f>
        <v>#DIV/0!</v>
      </c>
      <c r="J14" s="2861" t="e">
        <f>(D14-D15)*1000/invanare</f>
        <v>#DIV/0!</v>
      </c>
      <c r="K14" s="188"/>
    </row>
    <row r="15" spans="1:11">
      <c r="A15" s="724" t="s">
        <v>302</v>
      </c>
      <c r="B15" s="748" t="s">
        <v>880</v>
      </c>
      <c r="C15" s="192"/>
      <c r="D15" s="2288"/>
      <c r="E15" s="197" t="str">
        <f>IF(OR(C15=0,D15=0),"Belopp saknas","")</f>
        <v>Belopp saknas</v>
      </c>
      <c r="F15" s="84"/>
      <c r="G15" s="74"/>
      <c r="H15" s="5"/>
      <c r="I15" s="2860"/>
      <c r="J15" s="2862"/>
      <c r="K15" s="188"/>
    </row>
    <row r="16" spans="1:11" ht="13.5" thickBot="1">
      <c r="A16" s="677" t="s">
        <v>303</v>
      </c>
      <c r="B16" s="749" t="s">
        <v>1548</v>
      </c>
      <c r="C16" s="419">
        <f>SUM(C13:C14)-C15</f>
        <v>0</v>
      </c>
      <c r="D16" s="431">
        <f>SUM(D13:D14)-D15</f>
        <v>0</v>
      </c>
      <c r="E16" s="198"/>
      <c r="G16" s="199" t="s">
        <v>1214</v>
      </c>
      <c r="H16" s="5"/>
      <c r="I16" s="763" t="e">
        <f>C16*1000/invanare</f>
        <v>#DIV/0!</v>
      </c>
      <c r="J16" s="770" t="e">
        <f>D16*1000/invanare</f>
        <v>#DIV/0!</v>
      </c>
      <c r="K16" s="188"/>
    </row>
    <row r="17" spans="1:11">
      <c r="A17" s="746" t="s">
        <v>339</v>
      </c>
      <c r="B17" s="747" t="s">
        <v>1549</v>
      </c>
      <c r="C17" s="192"/>
      <c r="D17" s="2288"/>
      <c r="E17" s="196" t="str">
        <f>IF(OR(C17&lt;&gt;0,D17&lt;&gt;0),"Kommentera belopp","")</f>
        <v/>
      </c>
      <c r="F17" s="188"/>
      <c r="G17" s="2863"/>
      <c r="H17" s="5"/>
      <c r="I17" s="2665" t="e">
        <f>(C17)*1000/invanare</f>
        <v>#DIV/0!</v>
      </c>
      <c r="J17" s="2666" t="e">
        <f>(D17)*1000/invanare</f>
        <v>#DIV/0!</v>
      </c>
      <c r="K17" s="188"/>
    </row>
    <row r="18" spans="1:11" ht="13.5" thickBot="1">
      <c r="A18" s="2683" t="s">
        <v>228</v>
      </c>
      <c r="B18" s="1570" t="s">
        <v>881</v>
      </c>
      <c r="C18" s="419">
        <f>SUM(C16:C17)</f>
        <v>0</v>
      </c>
      <c r="D18" s="431">
        <f>SUM(D16:D17)</f>
        <v>0</v>
      </c>
      <c r="E18" s="197"/>
      <c r="F18" s="188"/>
      <c r="G18" s="2850"/>
      <c r="H18" s="189"/>
      <c r="I18" s="768"/>
      <c r="J18" s="769"/>
      <c r="K18" s="188"/>
    </row>
    <row r="19" spans="1:11" ht="13.5" thickBot="1">
      <c r="A19" s="2681"/>
      <c r="B19" s="2682"/>
      <c r="E19" s="198"/>
      <c r="F19" s="188"/>
      <c r="G19" s="2851"/>
      <c r="H19" s="5"/>
      <c r="I19" s="763" t="e">
        <f>C18*1000/invanare</f>
        <v>#DIV/0!</v>
      </c>
      <c r="J19" s="770" t="e">
        <f>D18*1000/invanare</f>
        <v>#DIV/0!</v>
      </c>
      <c r="K19" s="188"/>
    </row>
    <row r="20" spans="1:11" ht="15.75" customHeight="1">
      <c r="A20" s="17"/>
      <c r="B20" s="3"/>
      <c r="C20" s="3"/>
      <c r="D20" s="3"/>
      <c r="E20" s="2"/>
      <c r="F20" s="190"/>
      <c r="G20" s="74"/>
      <c r="H20" s="5"/>
      <c r="I20" s="5"/>
      <c r="J20" s="5"/>
      <c r="K20" s="188"/>
    </row>
    <row r="21" spans="1:11" ht="15.75" customHeight="1" thickBot="1">
      <c r="A21" s="83" t="s">
        <v>1532</v>
      </c>
      <c r="B21" s="3"/>
      <c r="C21" s="3"/>
      <c r="D21" s="3"/>
      <c r="E21" s="2"/>
      <c r="F21" s="190"/>
      <c r="G21" s="74"/>
      <c r="H21" s="5"/>
      <c r="I21" s="5"/>
      <c r="J21" s="5"/>
      <c r="K21" s="188"/>
    </row>
    <row r="22" spans="1:11" ht="15.75" customHeight="1">
      <c r="A22" s="746"/>
      <c r="B22" s="2441"/>
      <c r="C22" s="2442"/>
      <c r="D22" s="3"/>
      <c r="E22" s="2"/>
      <c r="F22" s="190"/>
      <c r="G22" s="2444" t="s">
        <v>1536</v>
      </c>
      <c r="H22" s="5"/>
      <c r="I22" s="5"/>
      <c r="J22" s="5"/>
      <c r="K22" s="188"/>
    </row>
    <row r="23" spans="1:11" ht="15.75" customHeight="1">
      <c r="A23" s="724" t="s">
        <v>357</v>
      </c>
      <c r="B23" s="748" t="s">
        <v>1745</v>
      </c>
      <c r="C23" s="2447"/>
      <c r="D23" s="3"/>
      <c r="E23" s="2443"/>
      <c r="F23" s="190"/>
      <c r="G23" s="2864"/>
      <c r="H23" s="5"/>
      <c r="I23" s="5"/>
      <c r="J23" s="5"/>
      <c r="K23" s="188"/>
    </row>
    <row r="24" spans="1:11" ht="15.75" customHeight="1">
      <c r="A24" s="724" t="s">
        <v>894</v>
      </c>
      <c r="B24" s="748" t="s">
        <v>1746</v>
      </c>
      <c r="C24" s="2447"/>
      <c r="D24" s="3"/>
      <c r="E24" s="2443"/>
      <c r="F24" s="190"/>
      <c r="G24" s="2865"/>
      <c r="H24" s="5"/>
      <c r="I24" s="5"/>
      <c r="J24" s="5"/>
      <c r="K24" s="188"/>
    </row>
    <row r="25" spans="1:11" ht="15.75" customHeight="1">
      <c r="A25" s="724" t="s">
        <v>1533</v>
      </c>
      <c r="B25" s="748" t="s">
        <v>1747</v>
      </c>
      <c r="C25" s="2447"/>
      <c r="D25" s="3"/>
      <c r="E25" s="2443"/>
      <c r="F25" s="190"/>
      <c r="G25" s="2865"/>
      <c r="H25" s="5"/>
      <c r="I25" s="5"/>
      <c r="J25" s="5"/>
      <c r="K25" s="188"/>
    </row>
    <row r="26" spans="1:11" ht="15.75" customHeight="1">
      <c r="A26" s="724" t="s">
        <v>1534</v>
      </c>
      <c r="B26" s="748" t="s">
        <v>1749</v>
      </c>
      <c r="C26" s="2447"/>
      <c r="D26" s="3"/>
      <c r="E26" s="2443"/>
      <c r="F26" s="190"/>
      <c r="G26" s="2866"/>
      <c r="H26" s="5"/>
      <c r="I26" s="5"/>
      <c r="J26" s="5"/>
      <c r="K26" s="188"/>
    </row>
    <row r="27" spans="1:11" ht="15.75" customHeight="1" thickBot="1">
      <c r="A27" s="726" t="s">
        <v>1535</v>
      </c>
      <c r="B27" s="2774" t="s">
        <v>1748</v>
      </c>
      <c r="C27" s="2448"/>
      <c r="D27" s="3"/>
      <c r="E27" s="2443"/>
      <c r="F27" s="190"/>
      <c r="G27" s="74"/>
      <c r="H27" s="5"/>
      <c r="I27" s="5"/>
      <c r="J27" s="5"/>
      <c r="K27" s="188"/>
    </row>
    <row r="28" spans="1:11" ht="15.75" customHeight="1" thickBot="1">
      <c r="A28" s="17"/>
      <c r="B28" s="3"/>
      <c r="C28" s="3"/>
      <c r="D28" s="3"/>
      <c r="E28" s="2"/>
      <c r="F28" s="190"/>
      <c r="G28" s="74"/>
      <c r="H28" s="5"/>
      <c r="I28" s="5"/>
      <c r="J28" s="5"/>
      <c r="K28" s="188"/>
    </row>
    <row r="29" spans="1:11" ht="18" customHeight="1" thickBot="1">
      <c r="A29" s="83" t="s">
        <v>158</v>
      </c>
      <c r="B29" s="5"/>
      <c r="C29" s="5"/>
      <c r="D29" s="5"/>
      <c r="E29" s="5"/>
      <c r="F29" s="5"/>
      <c r="G29" s="199" t="s">
        <v>90</v>
      </c>
      <c r="H29" s="5"/>
      <c r="I29" s="771" t="s">
        <v>514</v>
      </c>
      <c r="J29" s="191"/>
      <c r="K29" s="188"/>
    </row>
    <row r="30" spans="1:11">
      <c r="A30" s="132">
        <v>130</v>
      </c>
      <c r="B30" s="1812" t="s">
        <v>159</v>
      </c>
      <c r="C30" s="421">
        <f>C18</f>
        <v>0</v>
      </c>
      <c r="D30" s="5"/>
      <c r="E30" s="5"/>
      <c r="F30" s="5"/>
      <c r="G30" s="2849"/>
      <c r="H30" s="5"/>
      <c r="I30" s="772" t="e">
        <f>C30*1000/invanare</f>
        <v>#DIV/0!</v>
      </c>
      <c r="J30" s="189"/>
      <c r="K30" s="188"/>
    </row>
    <row r="31" spans="1:11">
      <c r="A31" s="133">
        <v>131</v>
      </c>
      <c r="B31" s="755" t="str">
        <f>"- reducering av samtliga realisationsvinster"</f>
        <v>- reducering av samtliga realisationsvinster</v>
      </c>
      <c r="C31" s="108"/>
      <c r="D31" s="197"/>
      <c r="E31" s="5"/>
      <c r="F31" s="5"/>
      <c r="G31" s="2850"/>
      <c r="H31" s="5"/>
      <c r="I31" s="773"/>
      <c r="J31" s="189"/>
      <c r="K31" s="188"/>
    </row>
    <row r="32" spans="1:11">
      <c r="A32" s="133">
        <v>132</v>
      </c>
      <c r="B32" s="755" t="str">
        <f>"+ justering för realisationsvinster enl. undantagsmöjlighet"</f>
        <v>+ justering för realisationsvinster enl. undantagsmöjlighet</v>
      </c>
      <c r="C32" s="108"/>
      <c r="D32" s="197"/>
      <c r="E32" s="5"/>
      <c r="G32" s="2850"/>
      <c r="H32" s="5"/>
      <c r="I32" s="775"/>
      <c r="J32" s="189"/>
      <c r="K32" s="188"/>
    </row>
    <row r="33" spans="1:11">
      <c r="A33" s="133">
        <v>135</v>
      </c>
      <c r="B33" s="755" t="str">
        <f>"+ justering av realisationsförluster enl. undantagsmöjlighet"</f>
        <v>+ justering av realisationsförluster enl. undantagsmöjlighet</v>
      </c>
      <c r="C33" s="195"/>
      <c r="D33" s="197"/>
      <c r="E33" s="5"/>
      <c r="F33" s="5"/>
      <c r="G33" s="2851"/>
      <c r="H33" s="5"/>
      <c r="I33" s="1577"/>
      <c r="J33" s="189"/>
      <c r="K33" s="188"/>
    </row>
    <row r="34" spans="1:11" ht="13.5" customHeight="1">
      <c r="A34" s="2672">
        <v>136</v>
      </c>
      <c r="B34" s="755" t="str">
        <f>"-/+ orealiserade vinster och förluster i värdepapper"</f>
        <v>-/+ orealiserade vinster och förluster i värdepapper</v>
      </c>
      <c r="C34" s="195"/>
      <c r="D34" s="197"/>
      <c r="E34" s="5"/>
      <c r="F34" s="5"/>
      <c r="G34" s="234"/>
      <c r="H34" s="5"/>
      <c r="I34" s="775"/>
      <c r="J34" s="189"/>
      <c r="K34" s="188"/>
    </row>
    <row r="35" spans="1:11" ht="12.75" customHeight="1">
      <c r="A35" s="699">
        <v>140</v>
      </c>
      <c r="B35" s="748" t="str">
        <f>"+/- återföring av orealiserade vinster och förluster i värdepapper"</f>
        <v>+/- återföring av orealiserade vinster och förluster i värdepapper</v>
      </c>
      <c r="C35" s="195"/>
      <c r="D35" s="197"/>
      <c r="E35" s="5"/>
      <c r="F35" s="5"/>
      <c r="H35" s="5"/>
      <c r="I35" s="775"/>
      <c r="J35" s="5"/>
      <c r="K35" s="188"/>
    </row>
    <row r="36" spans="1:11" ht="12.75" customHeight="1">
      <c r="A36" s="1754">
        <v>141</v>
      </c>
      <c r="B36" s="1570" t="str">
        <f xml:space="preserve"> " = Årets resultat efter balanskravsjusteringar"</f>
        <v xml:space="preserve"> = Årets resultat efter balanskravsjusteringar</v>
      </c>
      <c r="C36" s="422">
        <f>C30-C31+C32+C33+C34+C35</f>
        <v>0</v>
      </c>
      <c r="D36" s="197"/>
      <c r="E36" s="5"/>
      <c r="F36" s="5"/>
      <c r="G36" s="1526"/>
      <c r="H36" s="5"/>
      <c r="I36" s="775"/>
      <c r="J36" s="5"/>
      <c r="K36" s="188"/>
    </row>
    <row r="37" spans="1:11" ht="13.5" customHeight="1">
      <c r="A37" s="711">
        <v>142</v>
      </c>
      <c r="B37" s="744" t="str">
        <f>"- reservering av medel till resultatutjämningsreserv"</f>
        <v>- reservering av medel till resultatutjämningsreserv</v>
      </c>
      <c r="C37" s="195"/>
      <c r="D37" s="197"/>
      <c r="E37" s="5"/>
      <c r="F37" s="5"/>
      <c r="G37" s="1526"/>
      <c r="H37" s="5"/>
      <c r="I37" s="775"/>
      <c r="J37" s="5"/>
      <c r="K37" s="188"/>
    </row>
    <row r="38" spans="1:11" ht="12.75" customHeight="1">
      <c r="A38" s="699">
        <v>143</v>
      </c>
      <c r="B38" s="748" t="str">
        <f>"+ användning av medel från resultatutjämninsreserv"</f>
        <v>+ användning av medel från resultatutjämninsreserv</v>
      </c>
      <c r="C38" s="195"/>
      <c r="D38" s="197"/>
      <c r="E38" s="5"/>
      <c r="F38" s="5"/>
      <c r="G38" s="1526"/>
      <c r="H38" s="5"/>
      <c r="I38" s="775"/>
      <c r="J38" s="5"/>
      <c r="K38" s="188"/>
    </row>
    <row r="39" spans="1:11" ht="12.75" customHeight="1">
      <c r="A39" s="134">
        <v>133</v>
      </c>
      <c r="B39" s="1570" t="str">
        <f>"= Balanskravsresultat"</f>
        <v>= Balanskravsresultat</v>
      </c>
      <c r="C39" s="422">
        <f>C36-C37+C38</f>
        <v>0</v>
      </c>
      <c r="D39" s="197"/>
      <c r="E39" s="5"/>
      <c r="F39" s="5"/>
      <c r="G39" s="1527"/>
      <c r="H39" s="5"/>
      <c r="I39" s="2088" t="e">
        <f>C39*1000/invanare</f>
        <v>#DIV/0!</v>
      </c>
      <c r="J39" s="5"/>
      <c r="K39" s="188"/>
    </row>
    <row r="40" spans="1:11" ht="33" customHeight="1">
      <c r="A40" s="2004"/>
      <c r="B40" s="2005" t="s">
        <v>1334</v>
      </c>
      <c r="C40" s="867"/>
      <c r="D40" s="5"/>
      <c r="E40" s="5"/>
      <c r="F40" s="5"/>
      <c r="G40" s="1527"/>
      <c r="H40" s="5"/>
      <c r="I40" s="775"/>
      <c r="J40" s="5"/>
      <c r="K40" s="188"/>
    </row>
    <row r="41" spans="1:11" ht="12.75" customHeight="1">
      <c r="A41" s="1840">
        <v>144</v>
      </c>
      <c r="B41" s="1813" t="s">
        <v>1335</v>
      </c>
      <c r="C41" s="1814"/>
      <c r="D41" s="5"/>
      <c r="E41" s="5"/>
      <c r="F41" s="5"/>
      <c r="G41" s="1527"/>
      <c r="H41" s="5"/>
      <c r="I41" s="775"/>
      <c r="J41" s="5"/>
      <c r="K41" s="188"/>
    </row>
    <row r="42" spans="1:11" ht="12.75" customHeight="1">
      <c r="A42" s="699">
        <v>145</v>
      </c>
      <c r="B42" s="1815" t="s">
        <v>1336</v>
      </c>
      <c r="C42" s="195"/>
      <c r="D42" s="197"/>
      <c r="E42" s="5"/>
      <c r="F42" s="5"/>
      <c r="G42" s="1527"/>
      <c r="H42" s="5"/>
      <c r="I42" s="774"/>
      <c r="J42" s="5"/>
      <c r="K42" s="188"/>
    </row>
    <row r="43" spans="1:11" ht="13.5" customHeight="1" thickBot="1">
      <c r="A43" s="708">
        <v>146</v>
      </c>
      <c r="B43" s="1816" t="str">
        <f>"= Resultat efter synnerliga skäl m.m."</f>
        <v>= Resultat efter synnerliga skäl m.m.</v>
      </c>
      <c r="C43" s="420">
        <f>C39-C41+C42</f>
        <v>0</v>
      </c>
      <c r="D43" s="1536"/>
      <c r="E43" s="5"/>
      <c r="F43" s="5"/>
      <c r="G43" s="1527"/>
      <c r="H43" s="5"/>
      <c r="I43" s="776" t="e">
        <f>C43*1000/invanare</f>
        <v>#DIV/0!</v>
      </c>
      <c r="J43" s="5"/>
      <c r="K43" s="188"/>
    </row>
    <row r="44" spans="1:11" ht="21.75" customHeight="1" thickBot="1">
      <c r="A44" s="1867">
        <v>137</v>
      </c>
      <c r="B44" s="1818" t="s">
        <v>1337</v>
      </c>
      <c r="C44" s="1817"/>
      <c r="D44" s="1717" t="str">
        <f>IF(C7=0,"",IF(C44&lt;&gt;0,"Kommentera andra synnerliga skäl",""))</f>
        <v/>
      </c>
      <c r="E44" s="5"/>
      <c r="F44" s="5"/>
      <c r="G44" s="5"/>
      <c r="H44" s="5"/>
      <c r="I44" s="5"/>
      <c r="J44" s="5"/>
      <c r="K44" s="188"/>
    </row>
    <row r="45" spans="1:11" ht="12.75" customHeight="1">
      <c r="A45" s="188"/>
      <c r="B45" s="188"/>
      <c r="C45" s="188"/>
      <c r="D45" s="5"/>
      <c r="E45" s="5"/>
      <c r="F45" s="5"/>
      <c r="G45" s="777" t="s">
        <v>587</v>
      </c>
      <c r="H45" s="778"/>
      <c r="I45" s="2852" t="s">
        <v>154</v>
      </c>
      <c r="J45" s="2853"/>
      <c r="K45" s="188"/>
    </row>
    <row r="46" spans="1:11" ht="21.75" customHeight="1">
      <c r="A46" s="188"/>
      <c r="B46" s="188"/>
      <c r="C46" s="188"/>
      <c r="D46" s="5"/>
      <c r="E46" s="5"/>
      <c r="F46" s="188"/>
      <c r="G46" s="779"/>
      <c r="H46" s="780"/>
      <c r="I46" s="781" t="s">
        <v>875</v>
      </c>
      <c r="J46" s="782" t="s">
        <v>979</v>
      </c>
      <c r="K46" s="188"/>
    </row>
    <row r="47" spans="1:11" ht="19.5" customHeight="1">
      <c r="A47" s="188"/>
      <c r="B47" s="188"/>
      <c r="C47" s="188"/>
      <c r="D47" s="188"/>
      <c r="E47" s="188"/>
      <c r="F47" s="188"/>
      <c r="G47" s="2854" t="s">
        <v>1797</v>
      </c>
      <c r="H47" s="2855"/>
      <c r="I47" s="760">
        <f>IF(ISERROR(C10*100/SUM(C11:C12)*-1),0,C10*100/SUM(C11:C12)*-1)</f>
        <v>0</v>
      </c>
      <c r="J47" s="783">
        <f>IF(ISERROR(D10*100/SUM(D11:D12)*-1),0,D10*100/SUM(D11:D12)*-1)</f>
        <v>0</v>
      </c>
      <c r="K47" s="188"/>
    </row>
    <row r="48" spans="1:11" ht="15" customHeight="1">
      <c r="A48" s="5"/>
      <c r="B48" s="5"/>
      <c r="C48" s="5"/>
      <c r="D48" s="188"/>
      <c r="E48" s="188"/>
      <c r="F48" s="188"/>
      <c r="G48" s="784" t="s">
        <v>1798</v>
      </c>
      <c r="H48" s="785"/>
      <c r="I48" s="762">
        <f>IF(ISERROR((C14-C15)*100/SUM(C11:C12)),0,(C14-C15)*100/SUM(C11:C12))</f>
        <v>0</v>
      </c>
      <c r="J48" s="783">
        <f>IF(ISERROR((D14-D15)*100/SUM(D11:D12)),0,(D14-D15)*100/SUM(D11:D12))</f>
        <v>0</v>
      </c>
      <c r="K48" s="188"/>
    </row>
    <row r="49" spans="1:11" ht="19.5" customHeight="1">
      <c r="A49" s="5"/>
      <c r="B49" s="5"/>
      <c r="C49" s="5"/>
      <c r="D49" s="188"/>
      <c r="E49" s="188"/>
      <c r="F49" s="188"/>
      <c r="G49" s="2856" t="s">
        <v>1799</v>
      </c>
      <c r="H49" s="2857"/>
      <c r="I49" s="762">
        <f>IF(ISERROR(C16*100/SUM(C11:C12)),0,C16*100/SUM(C11:C12))</f>
        <v>0</v>
      </c>
      <c r="J49" s="783">
        <f>IF(ISERROR(D16*100/SUM(D11:D12)),0,D16*100/SUM(D11:D12))</f>
        <v>0</v>
      </c>
      <c r="K49" s="188"/>
    </row>
    <row r="50" spans="1:11" ht="19.5" customHeight="1">
      <c r="A50" s="188"/>
      <c r="B50" s="188"/>
      <c r="C50" s="188"/>
      <c r="D50" s="188"/>
      <c r="E50" s="188"/>
      <c r="F50" s="188"/>
      <c r="G50" s="784" t="s">
        <v>1800</v>
      </c>
      <c r="H50" s="785"/>
      <c r="I50" s="762">
        <f>IF(ISERROR(C18*100/SUM(C11:C12)),0,C18*100/SUM(C11:C12))</f>
        <v>0</v>
      </c>
      <c r="J50" s="783">
        <f>IF(ISERROR(D18*100/SUM(D11:D12)),0,D18*100/SUM(D11:D12))</f>
        <v>0</v>
      </c>
      <c r="K50" s="188"/>
    </row>
    <row r="51" spans="1:11" ht="13.5" customHeight="1">
      <c r="A51" s="188"/>
      <c r="B51" s="188"/>
      <c r="C51" s="188"/>
      <c r="D51" s="188"/>
      <c r="E51" s="188"/>
      <c r="F51" s="188"/>
      <c r="G51" s="786" t="s">
        <v>626</v>
      </c>
      <c r="H51" s="2646"/>
      <c r="I51" s="762">
        <f>IF(C8&gt;0,C7*100/(C8+C9),0)</f>
        <v>0</v>
      </c>
      <c r="J51" s="783">
        <f>IF(D8&gt;0,D7*100/(D8+D9),0)</f>
        <v>0</v>
      </c>
      <c r="K51" s="188"/>
    </row>
    <row r="52" spans="1:11" ht="14.25" customHeight="1">
      <c r="A52" s="188"/>
      <c r="B52" s="188"/>
      <c r="C52" s="188"/>
      <c r="D52" s="188"/>
      <c r="E52" s="188"/>
      <c r="F52" s="188"/>
      <c r="G52" s="786" t="s">
        <v>984</v>
      </c>
      <c r="H52" s="787"/>
      <c r="I52" s="762">
        <f>IF(ISERROR((Investeringar!C7+Investeringar!D7+Investeringar!E7-Investeringar!C78)*100/SUM(C11:C12)),0,(Investeringar!C7+Investeringar!D7+Investeringar!E7-Investeringar!C78)*100/SUM(C11:C12))</f>
        <v>0</v>
      </c>
      <c r="J52" s="788"/>
      <c r="K52" s="188"/>
    </row>
    <row r="53" spans="1:11" ht="12.75" customHeight="1">
      <c r="A53" s="188"/>
      <c r="B53" s="188"/>
      <c r="C53" s="188"/>
      <c r="D53" s="188"/>
      <c r="E53" s="188"/>
      <c r="F53" s="188"/>
      <c r="G53" s="786" t="s">
        <v>588</v>
      </c>
      <c r="H53" s="787"/>
      <c r="I53" s="762">
        <f>IF(ISERROR((Investeringar!C8+Investeringar!D8+Investeringar!E8)*100/SUM(C11:C12)*-1),0,(Investeringar!C8+Investeringar!D8+Investeringar!E8)*100/SUM(C11:C12)*-1)</f>
        <v>0</v>
      </c>
      <c r="J53" s="789"/>
      <c r="K53" s="188"/>
    </row>
    <row r="54" spans="1:11" ht="12.75" customHeight="1">
      <c r="A54" s="188"/>
      <c r="B54" s="188"/>
      <c r="C54" s="188"/>
      <c r="D54" s="188"/>
      <c r="E54" s="188"/>
      <c r="F54" s="188"/>
      <c r="G54" s="786" t="s">
        <v>589</v>
      </c>
      <c r="H54" s="787"/>
      <c r="I54" s="762">
        <f>IF(ISERROR(SUM(Investeringar!C8:E8)/(Investeringar!C66)*-1),0,(SUM(Investeringar!C8:E8)/(Investeringar!C66)*-1)*100)</f>
        <v>0</v>
      </c>
      <c r="J54" s="789"/>
      <c r="K54" s="188"/>
    </row>
    <row r="55" spans="1:11" ht="12.75" customHeight="1" thickBot="1">
      <c r="A55" s="188"/>
      <c r="B55" s="188"/>
      <c r="C55" s="188"/>
      <c r="D55" s="188"/>
      <c r="E55" s="188"/>
      <c r="F55" s="188"/>
      <c r="G55" s="790" t="s">
        <v>1623</v>
      </c>
      <c r="H55" s="2647"/>
      <c r="I55" s="791">
        <f>IF(ISERROR(BR!D31*100/RR!C8),0,BR!D31*100/RR!C8)</f>
        <v>0</v>
      </c>
      <c r="J55" s="792"/>
      <c r="K55" s="188"/>
    </row>
    <row r="56" spans="1:11" ht="12.75" customHeight="1">
      <c r="A56" s="188"/>
      <c r="B56" s="188"/>
      <c r="C56" s="188"/>
      <c r="D56" s="188"/>
      <c r="E56" s="188"/>
      <c r="F56" s="188"/>
      <c r="G56" s="160"/>
      <c r="H56" s="1574"/>
      <c r="I56" s="1575"/>
      <c r="J56" s="1576"/>
      <c r="K56" s="224"/>
    </row>
    <row r="57" spans="1:11" ht="12.75" customHeight="1">
      <c r="A57" s="188"/>
      <c r="B57" s="188"/>
      <c r="C57" s="188"/>
      <c r="D57" s="188"/>
      <c r="E57" s="188"/>
      <c r="F57" s="188"/>
      <c r="G57" s="160"/>
      <c r="H57" s="1574"/>
      <c r="I57" s="1575"/>
      <c r="J57" s="1576"/>
      <c r="K57" s="224"/>
    </row>
    <row r="58" spans="1:11" ht="19.5" customHeight="1">
      <c r="A58" s="188"/>
      <c r="B58" s="188"/>
      <c r="C58" s="188"/>
      <c r="D58" s="188"/>
      <c r="E58" s="188"/>
      <c r="F58" s="188"/>
      <c r="G58" s="160"/>
      <c r="H58" s="1574"/>
      <c r="I58" s="1575"/>
      <c r="J58" s="1576"/>
      <c r="K58" s="224"/>
    </row>
    <row r="59" spans="1:11">
      <c r="A59" s="188"/>
      <c r="B59" s="188"/>
      <c r="C59" s="188"/>
      <c r="D59" s="188"/>
      <c r="E59" s="188"/>
      <c r="F59" s="188"/>
      <c r="G59" s="160"/>
      <c r="H59" s="1574"/>
      <c r="I59" s="1575"/>
      <c r="J59" s="1576"/>
      <c r="K59" s="188"/>
    </row>
    <row r="60" spans="1:11" hidden="1">
      <c r="A60" s="188"/>
      <c r="B60" s="188"/>
      <c r="C60" s="188"/>
      <c r="G60" s="974"/>
      <c r="H60" s="1571"/>
      <c r="I60" s="1572"/>
      <c r="J60" s="1573"/>
      <c r="K60" s="188"/>
    </row>
    <row r="61" spans="1:11" hidden="1">
      <c r="A61" s="188"/>
      <c r="B61" s="188"/>
      <c r="C61" s="188"/>
      <c r="G61" s="188"/>
      <c r="H61" s="188"/>
      <c r="I61" s="188"/>
      <c r="J61" s="188"/>
      <c r="K61" s="188"/>
    </row>
    <row r="62" spans="1:11" hidden="1">
      <c r="A62" s="188"/>
      <c r="B62" s="188"/>
      <c r="C62" s="188"/>
    </row>
    <row r="63" spans="1:11" hidden="1"/>
    <row r="64" spans="1:11" hidden="1"/>
    <row r="65" hidden="1"/>
    <row r="66" hidden="1"/>
    <row r="67" hidden="1"/>
    <row r="68" hidden="1"/>
    <row r="69" hidden="1"/>
    <row r="70" hidden="1"/>
    <row r="71" hidden="1"/>
    <row r="72" hidden="1"/>
    <row r="73" hidden="1"/>
    <row r="74" ht="12.75" customHeight="1"/>
  </sheetData>
  <mergeCells count="9">
    <mergeCell ref="G30:G33"/>
    <mergeCell ref="I45:J45"/>
    <mergeCell ref="G47:H47"/>
    <mergeCell ref="G49:H49"/>
    <mergeCell ref="I4:J4"/>
    <mergeCell ref="I14:I15"/>
    <mergeCell ref="J14:J15"/>
    <mergeCell ref="G17:G19"/>
    <mergeCell ref="G23:G26"/>
  </mergeCells>
  <conditionalFormatting sqref="C38">
    <cfRule type="cellIs" dxfId="191" priority="2" stopIfTrue="1" operator="lessThan">
      <formula>-5</formula>
    </cfRule>
  </conditionalFormatting>
  <dataValidations count="10">
    <dataValidation type="decimal" operator="greaterThanOrEqual" allowBlank="1" showInputMessage="1" showErrorMessage="1" error="Belopp anges utan minustecken" sqref="C23:C27" xr:uid="{00000000-0002-0000-0100-000000000000}">
      <formula1>0</formula1>
    </dataValidation>
    <dataValidation type="decimal" operator="lessThan" allowBlank="1" showInputMessage="1" showErrorMessage="1" error="Beloppet ska vara i tusental kronor" sqref="C14:D15" xr:uid="{00000000-0002-0000-0100-000001000000}">
      <formula1>99999999</formula1>
    </dataValidation>
    <dataValidation type="decimal" operator="lessThan" allowBlank="1" showInputMessage="1" showErrorMessage="1" error="Beloppet ska vara i 1000 tal kronoer" sqref="C7:D9" xr:uid="{00000000-0002-0000-0100-000002000000}">
      <formula1>99999999</formula1>
    </dataValidation>
    <dataValidation type="decimal" operator="lessThan" allowBlank="1" showInputMessage="1" showErrorMessage="1" error="Beloppet ska vara i 1000 tal kronor" sqref="C34 C17:D17 C43:C44" xr:uid="{00000000-0002-0000-0100-000003000000}">
      <formula1>99999999</formula1>
    </dataValidation>
    <dataValidation type="decimal" allowBlank="1" showInputMessage="1" showErrorMessage="1" error="Beloppet ska vara i 1000 tal kronor. Inget minusbelopp anges." sqref="C31" xr:uid="{00000000-0002-0000-0100-000004000000}">
      <formula1>0</formula1>
      <formula2>99999999</formula2>
    </dataValidation>
    <dataValidation type="decimal" allowBlank="1" showInputMessage="1" showErrorMessage="1" error="Beloppet ska vara i 1000 tal kronor_x000a_Inget minusbelopp anges." sqref="C32" xr:uid="{00000000-0002-0000-0100-000005000000}">
      <formula1>0</formula1>
      <formula2>99999999</formula2>
    </dataValidation>
    <dataValidation type="decimal" operator="lessThan" allowBlank="1" showInputMessage="1" showErrorMessage="1" error="Beloppet ska vara i 1000 tal kronor._x000a_Inget minustecken anges." sqref="C33" xr:uid="{00000000-0002-0000-0100-000006000000}">
      <formula1>99999999</formula1>
    </dataValidation>
    <dataValidation type="decimal" allowBlank="1" showInputMessage="1" showErrorMessage="1" error="Beloppet ska vara i 1000 tal kronor_x000a_Inget minustecken ska anges_x000a_" sqref="C37" xr:uid="{00000000-0002-0000-0100-000007000000}">
      <formula1>0</formula1>
      <formula2>99999999</formula2>
    </dataValidation>
    <dataValidation type="decimal" allowBlank="1" showInputMessage="1" showErrorMessage="1" error="Beloppet ska vara i 1000 tal kronor_x000a_Inget minustecken ska anges." sqref="C38" xr:uid="{00000000-0002-0000-0100-000008000000}">
      <formula1>0</formula1>
      <formula2>99999999</formula2>
    </dataValidation>
    <dataValidation type="decimal" allowBlank="1" showInputMessage="1" showErrorMessage="1" error="Beloppet ska vara i 1000 tal kronor_x000a_Inget minustecken anges." sqref="C41:C42" xr:uid="{00000000-0002-0000-0100-000009000000}">
      <formula1>0</formula1>
      <formula2>99999999</formula2>
    </dataValidation>
  </dataValidations>
  <pageMargins left="0.70866141732283472" right="0.70866141732283472" top="0.74803149606299213" bottom="0.52" header="0.31496062992125984" footer="0.31496062992125984"/>
  <pageSetup paperSize="9" scale="85" orientation="landscape" r:id="rId1"/>
  <headerFooter>
    <oddHeader>&amp;L&amp;8Statistiska Centralbyrån
Offentlig ekonomi&amp;R&amp;P</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tabColor rgb="FFFFFF00"/>
  </sheetPr>
  <dimension ref="A1:U116"/>
  <sheetViews>
    <sheetView showGridLines="0" tabSelected="1" zoomScaleNormal="100" workbookViewId="0">
      <pane ySplit="1" topLeftCell="A2" activePane="bottomLeft" state="frozen"/>
      <selection activeCell="F36" sqref="F36"/>
      <selection pane="bottomLeft" activeCell="I6" sqref="I6"/>
    </sheetView>
  </sheetViews>
  <sheetFormatPr defaultColWidth="0" defaultRowHeight="12.75" zeroHeight="1"/>
  <cols>
    <col min="1" max="1" width="4" style="157" customWidth="1"/>
    <col min="2" max="2" width="10.5703125" style="157" customWidth="1"/>
    <col min="3" max="3" width="36.140625" style="157" customWidth="1"/>
    <col min="4" max="4" width="10.5703125" style="157" customWidth="1"/>
    <col min="5" max="5" width="10.42578125" style="157" customWidth="1"/>
    <col min="6" max="6" width="23" style="187" customWidth="1"/>
    <col min="7" max="7" width="4.5703125" style="187" customWidth="1"/>
    <col min="8" max="8" width="7.42578125" style="187" customWidth="1"/>
    <col min="9" max="9" width="31.5703125" style="187" customWidth="1"/>
    <col min="10" max="10" width="11.42578125" style="187" customWidth="1"/>
    <col min="11" max="11" width="12.42578125" style="187" customWidth="1"/>
    <col min="12" max="12" width="45.85546875" style="187" customWidth="1"/>
    <col min="13" max="14" width="9.5703125" style="187" customWidth="1"/>
    <col min="15" max="15" width="2.42578125" style="187" customWidth="1"/>
    <col min="16" max="16" width="6" style="187" customWidth="1"/>
    <col min="17" max="17" width="10.5703125" style="157" customWidth="1"/>
    <col min="18" max="18" width="3.5703125" style="157" customWidth="1"/>
    <col min="19" max="20" width="6" style="187" customWidth="1"/>
    <col min="21" max="21" width="0" hidden="1" customWidth="1"/>
    <col min="22" max="16384" width="0" style="187" hidden="1"/>
  </cols>
  <sheetData>
    <row r="1" spans="1:20" ht="20.25">
      <c r="A1" s="99" t="str">
        <f>"Balansräkning "&amp;År&amp;", 1 000 tal kr"</f>
        <v>Balansräkning 2023, 1 000 tal kr</v>
      </c>
      <c r="B1" s="100"/>
      <c r="C1" s="100"/>
      <c r="D1" s="101"/>
      <c r="E1" s="628">
        <f>Information!B3</f>
        <v>0</v>
      </c>
      <c r="F1" s="629">
        <f>Information!B2</f>
        <v>0</v>
      </c>
      <c r="G1" s="629"/>
      <c r="H1" s="629"/>
      <c r="I1" s="629"/>
      <c r="J1" s="186"/>
      <c r="K1" s="186"/>
      <c r="L1" s="186"/>
      <c r="M1" s="186"/>
      <c r="N1" s="186"/>
      <c r="O1" s="213"/>
      <c r="P1" s="213"/>
      <c r="Q1" s="1877"/>
      <c r="R1" s="1877"/>
      <c r="S1" s="213"/>
      <c r="T1" s="186"/>
    </row>
    <row r="2" spans="1:20" ht="12.75" customHeight="1">
      <c r="A2" s="1487"/>
      <c r="E2" s="160" t="s">
        <v>1052</v>
      </c>
      <c r="I2" s="5"/>
      <c r="J2" s="430"/>
      <c r="K2" s="88" t="s">
        <v>996</v>
      </c>
      <c r="M2" s="48"/>
      <c r="N2" s="5"/>
      <c r="P2" s="189"/>
    </row>
    <row r="3" spans="1:20" ht="12.75" customHeight="1" thickBot="1">
      <c r="D3" s="1703"/>
      <c r="E3" s="160" t="s">
        <v>1076</v>
      </c>
      <c r="I3" s="224"/>
      <c r="J3" s="5"/>
      <c r="K3" s="5"/>
      <c r="L3" s="5"/>
      <c r="M3" s="5"/>
      <c r="N3" s="5"/>
      <c r="P3" s="189"/>
    </row>
    <row r="4" spans="1:20" s="201" customFormat="1">
      <c r="A4" s="793" t="s">
        <v>882</v>
      </c>
      <c r="B4" s="2776" t="str">
        <f>"BAS "&amp;År-2000&amp;""</f>
        <v>BAS 23</v>
      </c>
      <c r="C4" s="794" t="s">
        <v>981</v>
      </c>
      <c r="D4" s="812" t="s">
        <v>875</v>
      </c>
      <c r="E4" s="813" t="s">
        <v>979</v>
      </c>
      <c r="H4" s="200"/>
      <c r="I4" s="200"/>
      <c r="J4" s="200"/>
      <c r="K4" s="200"/>
      <c r="L4" s="200"/>
      <c r="M4" s="2852" t="s">
        <v>514</v>
      </c>
      <c r="N4" s="2867"/>
      <c r="O4" s="1656"/>
      <c r="P4" s="1566"/>
      <c r="Q4" s="1878"/>
      <c r="R4" s="1655"/>
      <c r="S4" s="1567"/>
      <c r="T4" s="1567"/>
    </row>
    <row r="5" spans="1:20" s="201" customFormat="1" ht="32.25" customHeight="1">
      <c r="A5" s="1875" t="s">
        <v>876</v>
      </c>
      <c r="B5" s="2886"/>
      <c r="C5" s="796"/>
      <c r="D5" s="814"/>
      <c r="E5" s="815"/>
      <c r="F5" s="200"/>
      <c r="G5" s="200"/>
      <c r="H5" s="200"/>
      <c r="I5" s="200"/>
      <c r="J5" s="200"/>
      <c r="K5" s="200"/>
      <c r="L5" s="200"/>
      <c r="M5" s="823" t="s">
        <v>875</v>
      </c>
      <c r="N5" s="824" t="s">
        <v>979</v>
      </c>
      <c r="O5" s="1656"/>
      <c r="P5" s="1566"/>
      <c r="Q5" s="1567"/>
      <c r="R5" s="1567"/>
      <c r="S5" s="2884"/>
      <c r="T5" s="2882"/>
    </row>
    <row r="6" spans="1:20" ht="15">
      <c r="A6" s="797"/>
      <c r="B6" s="2887"/>
      <c r="C6" s="798"/>
      <c r="D6" s="816"/>
      <c r="E6" s="817"/>
      <c r="F6" s="5"/>
      <c r="G6" s="5"/>
      <c r="H6" s="5"/>
      <c r="I6" s="5"/>
      <c r="J6" s="5"/>
      <c r="K6" s="5"/>
      <c r="L6" s="5"/>
      <c r="M6" s="825"/>
      <c r="N6" s="826"/>
      <c r="O6" s="1657"/>
      <c r="P6" s="1566"/>
      <c r="Q6" s="1664"/>
      <c r="R6" s="1664"/>
      <c r="S6" s="2884"/>
      <c r="T6" s="2883"/>
    </row>
    <row r="7" spans="1:20" ht="15">
      <c r="A7" s="799"/>
      <c r="B7" s="800"/>
      <c r="C7" s="801" t="s">
        <v>883</v>
      </c>
      <c r="D7" s="818"/>
      <c r="E7" s="819"/>
      <c r="F7" s="76"/>
      <c r="G7" s="5"/>
      <c r="H7" s="5"/>
      <c r="I7" s="5"/>
      <c r="J7" s="5"/>
      <c r="K7" s="5"/>
      <c r="L7" s="5"/>
      <c r="M7" s="827"/>
      <c r="N7" s="828"/>
      <c r="O7" s="81"/>
      <c r="P7" s="267"/>
      <c r="Q7" s="1879"/>
      <c r="R7" s="267"/>
    </row>
    <row r="8" spans="1:20" ht="7.5" customHeight="1">
      <c r="A8" s="799"/>
      <c r="B8" s="800"/>
      <c r="C8" s="802"/>
      <c r="D8" s="820"/>
      <c r="E8" s="821"/>
      <c r="F8" s="76"/>
      <c r="G8" s="5"/>
      <c r="H8" s="5"/>
      <c r="I8" s="5"/>
      <c r="J8" s="5"/>
      <c r="K8" s="5"/>
      <c r="L8" s="5"/>
      <c r="M8" s="827"/>
      <c r="N8" s="828"/>
      <c r="O8" s="81"/>
      <c r="P8" s="267"/>
      <c r="Q8" s="1879"/>
      <c r="R8" s="267"/>
    </row>
    <row r="9" spans="1:20" ht="14.85" customHeight="1">
      <c r="A9" s="2610" t="s">
        <v>304</v>
      </c>
      <c r="B9" s="803">
        <v>10</v>
      </c>
      <c r="C9" s="804" t="s">
        <v>884</v>
      </c>
      <c r="D9" s="205"/>
      <c r="E9" s="556"/>
      <c r="F9" s="197" t="str">
        <f>IF(OR(D9="",E9=""),"Skriv belopp eller 0","")</f>
        <v>Skriv belopp eller 0</v>
      </c>
      <c r="G9" s="5"/>
      <c r="H9" s="5"/>
      <c r="I9" s="5"/>
      <c r="J9" s="5"/>
      <c r="K9" s="5"/>
      <c r="L9" s="5"/>
      <c r="M9" s="829"/>
      <c r="N9" s="830"/>
      <c r="O9" s="1618"/>
      <c r="P9" s="1665"/>
      <c r="Q9" s="1880"/>
      <c r="R9" s="1881"/>
    </row>
    <row r="10" spans="1:20" ht="14.85" customHeight="1">
      <c r="A10" s="2610" t="s">
        <v>305</v>
      </c>
      <c r="B10" s="2611">
        <v>11</v>
      </c>
      <c r="C10" s="693" t="s">
        <v>885</v>
      </c>
      <c r="D10" s="205"/>
      <c r="E10" s="822"/>
      <c r="F10" s="76"/>
      <c r="G10" s="5"/>
      <c r="H10" s="5"/>
      <c r="I10" s="5"/>
      <c r="J10" s="5"/>
      <c r="K10" s="5"/>
      <c r="L10" s="5"/>
      <c r="M10" s="831"/>
      <c r="N10" s="832"/>
      <c r="O10" s="1618"/>
      <c r="P10" s="1665"/>
      <c r="Q10" s="1665"/>
      <c r="R10" s="1665"/>
    </row>
    <row r="11" spans="1:20" ht="14.85" customHeight="1">
      <c r="A11" s="2610" t="s">
        <v>306</v>
      </c>
      <c r="B11" s="2611">
        <v>12</v>
      </c>
      <c r="C11" s="693" t="s">
        <v>886</v>
      </c>
      <c r="D11" s="205"/>
      <c r="E11" s="822"/>
      <c r="F11" s="76"/>
      <c r="G11" s="85" t="s">
        <v>515</v>
      </c>
      <c r="H11" s="5"/>
      <c r="I11" s="5"/>
      <c r="J11" s="5"/>
      <c r="K11" s="5"/>
      <c r="L11" s="5"/>
      <c r="M11" s="831"/>
      <c r="N11" s="832"/>
      <c r="O11" s="1618"/>
      <c r="P11" s="1665"/>
      <c r="Q11" s="1665"/>
      <c r="R11" s="1665"/>
    </row>
    <row r="12" spans="1:20" ht="14.85" customHeight="1">
      <c r="A12" s="2610" t="s">
        <v>297</v>
      </c>
      <c r="B12" s="2612">
        <v>11.12</v>
      </c>
      <c r="C12" s="933" t="s">
        <v>1750</v>
      </c>
      <c r="D12" s="423">
        <f>SUM(D10:D11)</f>
        <v>0</v>
      </c>
      <c r="E12" s="206"/>
      <c r="F12" s="197" t="str">
        <f>IF(D12&gt;E12,"konc. &lt; kom.",IF(OR(D12=0,E12=0),"Belopp saknas",""))</f>
        <v>Belopp saknas</v>
      </c>
      <c r="G12" s="1836" t="s">
        <v>649</v>
      </c>
      <c r="H12" s="2579" t="str">
        <f>"BAS "&amp;År-2000&amp;""</f>
        <v>BAS 23</v>
      </c>
      <c r="I12" s="1834"/>
      <c r="J12" s="1835"/>
      <c r="K12" s="189"/>
      <c r="L12" s="5"/>
      <c r="M12" s="760" t="e">
        <f>(D9+D12)*1000/invanare</f>
        <v>#DIV/0!</v>
      </c>
      <c r="N12" s="761" t="e">
        <f>(E9+E12)*1000/invanare</f>
        <v>#DIV/0!</v>
      </c>
      <c r="O12" s="1576"/>
      <c r="P12" s="1665"/>
      <c r="Q12" s="1881"/>
      <c r="R12" s="1881"/>
      <c r="S12" s="160"/>
      <c r="T12" s="160"/>
    </row>
    <row r="13" spans="1:20" ht="14.85" customHeight="1">
      <c r="A13" s="2610" t="s">
        <v>307</v>
      </c>
      <c r="B13" s="2613" t="s">
        <v>1091</v>
      </c>
      <c r="C13" s="748" t="s">
        <v>887</v>
      </c>
      <c r="D13" s="207"/>
      <c r="E13" s="822"/>
      <c r="F13" s="76"/>
      <c r="G13" s="839" t="s">
        <v>311</v>
      </c>
      <c r="H13" s="840" t="s">
        <v>648</v>
      </c>
      <c r="I13" s="841" t="s">
        <v>0</v>
      </c>
      <c r="J13" s="326"/>
      <c r="K13" s="2645"/>
      <c r="L13" s="5"/>
      <c r="M13" s="833"/>
      <c r="N13" s="834"/>
      <c r="O13" s="1576"/>
      <c r="P13" s="1665"/>
      <c r="Q13" s="1654"/>
      <c r="R13" s="1665"/>
      <c r="S13" s="369"/>
      <c r="T13" s="369"/>
    </row>
    <row r="14" spans="1:20" ht="14.85" customHeight="1">
      <c r="A14" s="2610" t="s">
        <v>308</v>
      </c>
      <c r="B14" s="2613" t="s">
        <v>1090</v>
      </c>
      <c r="C14" s="698" t="s">
        <v>9</v>
      </c>
      <c r="D14" s="207"/>
      <c r="E14" s="822"/>
      <c r="F14" s="76"/>
      <c r="G14" s="202"/>
      <c r="H14" s="5"/>
      <c r="I14" s="5"/>
      <c r="J14" s="155" t="str">
        <f>IF(AND(D13=0,J13=0),"",IF(SUM(J13)&gt;D13,"Däravrad 031 &gt; rad 036",IF(AND(D13&gt;10,J13=""),"Rad 031: skriv belopp eller 0","")))</f>
        <v/>
      </c>
      <c r="K14" s="155"/>
      <c r="L14" s="5"/>
      <c r="M14" s="833"/>
      <c r="N14" s="834"/>
      <c r="O14" s="1576"/>
      <c r="P14" s="1665"/>
      <c r="Q14" s="1654"/>
      <c r="R14" s="1665"/>
    </row>
    <row r="15" spans="1:20" ht="14.85" customHeight="1">
      <c r="A15" s="2610" t="s">
        <v>309</v>
      </c>
      <c r="B15" s="2614" t="s">
        <v>2</v>
      </c>
      <c r="C15" s="705" t="s">
        <v>888</v>
      </c>
      <c r="D15" s="205"/>
      <c r="E15" s="822"/>
      <c r="F15" s="76"/>
      <c r="G15" s="839" t="s">
        <v>312</v>
      </c>
      <c r="H15" s="840" t="s">
        <v>982</v>
      </c>
      <c r="I15" s="1589" t="s">
        <v>1</v>
      </c>
      <c r="J15" s="326"/>
      <c r="K15" s="2645"/>
      <c r="L15" s="5"/>
      <c r="M15" s="835"/>
      <c r="N15" s="836"/>
      <c r="O15" s="2528"/>
      <c r="P15" s="1665"/>
      <c r="Q15" s="1665"/>
      <c r="R15" s="1665"/>
      <c r="S15" s="369"/>
      <c r="T15" s="369"/>
    </row>
    <row r="16" spans="1:20" ht="14.85" customHeight="1">
      <c r="A16" s="2610" t="s">
        <v>310</v>
      </c>
      <c r="B16" s="2611" t="s">
        <v>1088</v>
      </c>
      <c r="C16" s="693" t="s">
        <v>1089</v>
      </c>
      <c r="D16" s="205"/>
      <c r="E16" s="822"/>
      <c r="F16" s="76"/>
      <c r="G16" s="202"/>
      <c r="H16" s="5"/>
      <c r="I16" s="5"/>
      <c r="J16" s="155" t="str">
        <f>IF(AND(D15=0,J15=0),"",IF(SUM(J15)&gt;D15,"Däravrad 034 &gt; rad 033",IF(AND(D15&gt;10,J15=""),"Rad 034: skriv belopp eller 0","")))</f>
        <v/>
      </c>
      <c r="K16" s="155"/>
      <c r="L16" s="5"/>
      <c r="M16" s="835"/>
      <c r="N16" s="836"/>
      <c r="O16" s="1576"/>
      <c r="P16" s="1665"/>
      <c r="Q16" s="1665"/>
      <c r="R16" s="1882"/>
    </row>
    <row r="17" spans="1:20" ht="14.85" customHeight="1">
      <c r="A17" s="2610" t="s">
        <v>313</v>
      </c>
      <c r="B17" s="2615" t="s">
        <v>5</v>
      </c>
      <c r="C17" s="714" t="s">
        <v>1751</v>
      </c>
      <c r="D17" s="423">
        <f>SUM(D13:D16)</f>
        <v>0</v>
      </c>
      <c r="E17" s="208"/>
      <c r="F17" s="197" t="str">
        <f>IF(OR(D17=0,E17=""),"Belopp saknas","")</f>
        <v>Belopp saknas</v>
      </c>
      <c r="G17" s="202"/>
      <c r="H17" s="5"/>
      <c r="I17" s="5"/>
      <c r="J17" s="5"/>
      <c r="K17" s="5"/>
      <c r="L17" s="5"/>
      <c r="M17" s="760" t="e">
        <f>D17*1000/invanare</f>
        <v>#DIV/0!</v>
      </c>
      <c r="N17" s="761" t="e">
        <f>E17*1000/invanare</f>
        <v>#DIV/0!</v>
      </c>
      <c r="O17" s="1576"/>
      <c r="P17" s="1665"/>
      <c r="Q17" s="1882"/>
      <c r="R17" s="1882"/>
    </row>
    <row r="18" spans="1:20" ht="14.85" customHeight="1" thickBot="1">
      <c r="A18" s="2616" t="s">
        <v>314</v>
      </c>
      <c r="B18" s="2617" t="s">
        <v>6</v>
      </c>
      <c r="C18" s="707" t="s">
        <v>889</v>
      </c>
      <c r="D18" s="424">
        <f>SUM(D9,D12,D17)</f>
        <v>0</v>
      </c>
      <c r="E18" s="425">
        <f>SUM(E9,E12,E17)</f>
        <v>0</v>
      </c>
      <c r="F18" s="76"/>
      <c r="G18" s="202"/>
      <c r="H18" s="5"/>
      <c r="I18" s="5"/>
      <c r="J18" s="5"/>
      <c r="K18" s="5"/>
      <c r="L18" s="5"/>
      <c r="M18" s="833"/>
      <c r="N18" s="834"/>
      <c r="O18" s="1576"/>
      <c r="P18" s="1665"/>
      <c r="Q18" s="1882"/>
      <c r="R18" s="1882"/>
    </row>
    <row r="19" spans="1:20" ht="14.85" customHeight="1" thickBot="1">
      <c r="A19" s="2618" t="s">
        <v>324</v>
      </c>
      <c r="B19" s="2775" t="s">
        <v>4</v>
      </c>
      <c r="C19" s="678" t="s">
        <v>1311</v>
      </c>
      <c r="D19" s="1670"/>
      <c r="E19" s="331"/>
      <c r="F19" s="197" t="str">
        <f>IF(D19&lt;0,"inga minusbelopp",IF(D19&lt;&gt;E19,"koncernen och kommunens belopp borde vara lika",""))</f>
        <v/>
      </c>
      <c r="G19" s="5"/>
      <c r="H19" s="5"/>
      <c r="I19" s="5"/>
      <c r="J19" s="5"/>
      <c r="K19" s="5"/>
      <c r="L19" s="5"/>
      <c r="M19" s="760" t="e">
        <f>D19*1000/invanare</f>
        <v>#DIV/0!</v>
      </c>
      <c r="N19" s="767" t="e">
        <f>E19*1000/invanare</f>
        <v>#DIV/0!</v>
      </c>
      <c r="O19" s="1576"/>
      <c r="P19" s="1665"/>
      <c r="Q19" s="1665"/>
      <c r="R19" s="1665"/>
    </row>
    <row r="20" spans="1:20" ht="14.85" customHeight="1">
      <c r="A20" s="2619"/>
      <c r="B20" s="2620"/>
      <c r="C20" s="808" t="s">
        <v>832</v>
      </c>
      <c r="D20" s="849"/>
      <c r="E20" s="850"/>
      <c r="F20" s="76"/>
      <c r="G20" s="1756" t="s">
        <v>1198</v>
      </c>
      <c r="H20" s="1757" t="s">
        <v>1189</v>
      </c>
      <c r="I20" s="1589" t="s">
        <v>1754</v>
      </c>
      <c r="J20" s="2657"/>
      <c r="K20" s="2655"/>
      <c r="L20" s="5"/>
      <c r="M20" s="837"/>
      <c r="N20" s="838"/>
      <c r="O20" s="1658"/>
      <c r="P20" s="369"/>
      <c r="Q20" s="369"/>
      <c r="R20" s="369"/>
      <c r="S20" s="369"/>
    </row>
    <row r="21" spans="1:20" ht="14.85" customHeight="1">
      <c r="A21" s="2610" t="s">
        <v>299</v>
      </c>
      <c r="B21" s="803">
        <v>14</v>
      </c>
      <c r="C21" s="714" t="s">
        <v>1752</v>
      </c>
      <c r="D21" s="71"/>
      <c r="E21" s="209"/>
      <c r="F21" s="256" t="str">
        <f>IF(D21&gt;E21,"konc. &lt; kom.",IF(OR(D21="",E21=""),"Belopp saknas",IF(OR(D21&lt;-100,E21&lt;-100),"Kommentera varför minuspost","")))</f>
        <v>Belopp saknas</v>
      </c>
      <c r="G21" s="1819"/>
      <c r="H21" s="1820"/>
      <c r="I21" s="1821"/>
      <c r="J21" s="155" t="str">
        <f>IF(AND(D21=0,J20=0),"",IF(SUM(J20)&gt;D21,"Däravrad 042 &gt; rad040",IF(AND(D21&gt;10,J20=""),"Rad 042: skriv belopp eller 0","")))</f>
        <v/>
      </c>
      <c r="K21" s="155"/>
      <c r="L21" s="204"/>
      <c r="M21" s="837"/>
      <c r="N21" s="838"/>
      <c r="O21" s="1658"/>
      <c r="P21" s="1665"/>
      <c r="Q21" s="1881"/>
      <c r="R21" s="1881"/>
    </row>
    <row r="22" spans="1:20" ht="14.85" customHeight="1">
      <c r="A22" s="2610" t="s">
        <v>315</v>
      </c>
      <c r="B22" s="2611" t="s">
        <v>890</v>
      </c>
      <c r="C22" s="693" t="s">
        <v>891</v>
      </c>
      <c r="D22" s="58"/>
      <c r="E22" s="822"/>
      <c r="F22" s="1534"/>
      <c r="G22" s="2650" t="s">
        <v>316</v>
      </c>
      <c r="H22" s="2651" t="s">
        <v>1006</v>
      </c>
      <c r="I22" s="2652" t="s">
        <v>1</v>
      </c>
      <c r="J22" s="2656"/>
      <c r="K22" s="155"/>
      <c r="L22" s="5"/>
      <c r="M22" s="837"/>
      <c r="N22" s="838"/>
      <c r="O22" s="1658"/>
      <c r="P22" s="1665"/>
      <c r="Q22" s="1665"/>
      <c r="R22" s="1665"/>
      <c r="S22" s="369"/>
      <c r="T22" s="369"/>
    </row>
    <row r="23" spans="1:20" ht="14.85" customHeight="1">
      <c r="A23" s="2610" t="s">
        <v>300</v>
      </c>
      <c r="B23" s="2611" t="s">
        <v>892</v>
      </c>
      <c r="C23" s="693" t="s">
        <v>893</v>
      </c>
      <c r="D23" s="58"/>
      <c r="E23" s="822"/>
      <c r="F23" s="1535"/>
      <c r="G23" s="1819"/>
      <c r="H23" s="1819"/>
      <c r="I23" s="2654"/>
      <c r="J23" s="155" t="str">
        <f>IF(AND(D22=0,J22=0),"",IF(SUM(J22)&gt;D22,"Däravrad 046 &gt; rad 045",IF(AND(D22&gt;10,J22=""),"Rad 046: skriv belopp eller 0","")))</f>
        <v/>
      </c>
      <c r="K23" s="155"/>
      <c r="L23" s="5"/>
      <c r="M23" s="837"/>
      <c r="N23" s="838"/>
      <c r="O23" s="1658"/>
      <c r="P23" s="1665"/>
      <c r="Q23" s="1665"/>
      <c r="R23" s="1665"/>
    </row>
    <row r="24" spans="1:20" ht="14.85" customHeight="1">
      <c r="A24" s="2610" t="s">
        <v>318</v>
      </c>
      <c r="B24" s="2611" t="s">
        <v>190</v>
      </c>
      <c r="C24" s="693" t="s">
        <v>1753</v>
      </c>
      <c r="D24" s="205"/>
      <c r="E24" s="822"/>
      <c r="F24" s="1535"/>
      <c r="G24" s="2653" t="s">
        <v>317</v>
      </c>
      <c r="H24" s="807" t="s">
        <v>894</v>
      </c>
      <c r="I24" s="896" t="s">
        <v>1692</v>
      </c>
      <c r="J24" s="1897"/>
      <c r="K24" s="155"/>
      <c r="M24" s="2658"/>
      <c r="N24" s="2659"/>
      <c r="O24" s="5"/>
      <c r="P24" s="1665"/>
      <c r="Q24" s="1665"/>
      <c r="R24" s="1665"/>
      <c r="S24" s="369"/>
      <c r="T24" s="369"/>
    </row>
    <row r="25" spans="1:20" ht="14.85" customHeight="1">
      <c r="A25" s="2610" t="s">
        <v>326</v>
      </c>
      <c r="B25" s="2611" t="s">
        <v>221</v>
      </c>
      <c r="C25" s="693" t="s">
        <v>541</v>
      </c>
      <c r="D25" s="205"/>
      <c r="E25" s="822"/>
      <c r="F25" s="1535"/>
      <c r="G25" s="847" t="s">
        <v>325</v>
      </c>
      <c r="H25" s="2507" t="s">
        <v>1538</v>
      </c>
      <c r="I25" s="848" t="s">
        <v>1</v>
      </c>
      <c r="J25" s="2806"/>
      <c r="L25" s="5"/>
      <c r="M25" s="837"/>
      <c r="N25" s="838"/>
      <c r="O25" s="1658"/>
      <c r="P25" s="1665"/>
      <c r="Q25" s="1665"/>
      <c r="R25" s="1665"/>
      <c r="S25" s="369"/>
      <c r="T25" s="369"/>
    </row>
    <row r="26" spans="1:20" ht="14.85" customHeight="1">
      <c r="A26" s="2610" t="s">
        <v>1381</v>
      </c>
      <c r="B26" s="803" t="s">
        <v>1382</v>
      </c>
      <c r="C26" s="714" t="s">
        <v>1383</v>
      </c>
      <c r="D26" s="423">
        <f>SUM(D22:D25)</f>
        <v>0</v>
      </c>
      <c r="E26" s="2447"/>
      <c r="F26" s="256" t="str">
        <f>IF(OR(D26=0,E26=""),"Belopp saknas","")</f>
        <v>Belopp saknas</v>
      </c>
      <c r="G26" s="1665"/>
      <c r="H26" s="1665"/>
      <c r="I26" s="1566"/>
      <c r="J26" s="2310" t="str">
        <f>IF(AND(D23=0,SUM(J24+J25)=0),"",IF(SUM(J24:J25)&gt;D23,"Däravr.051+ 052&gt;rad 050",IF(AND(D23&gt;10,J24=""),"Rad 051: skriv belopp eller 0",IF(AND(D23&gt;10,J25=""),"Rad 052: skriv belopp eller 0 ",""))))</f>
        <v/>
      </c>
      <c r="K26" s="155"/>
      <c r="L26" s="5"/>
      <c r="M26" s="837"/>
      <c r="N26" s="838"/>
      <c r="O26" s="1658"/>
      <c r="P26" s="1665"/>
      <c r="Q26" s="1665"/>
      <c r="R26" s="1665"/>
      <c r="S26" s="369"/>
      <c r="T26" s="369"/>
    </row>
    <row r="27" spans="1:20" ht="14.85" customHeight="1">
      <c r="A27" s="2610" t="s">
        <v>319</v>
      </c>
      <c r="B27" s="2613" t="s">
        <v>895</v>
      </c>
      <c r="C27" s="698" t="s">
        <v>1712</v>
      </c>
      <c r="D27" s="205"/>
      <c r="E27" s="822"/>
      <c r="F27" s="1535"/>
      <c r="G27" s="2553"/>
      <c r="H27" s="1895"/>
      <c r="I27" s="160"/>
      <c r="J27" s="155"/>
      <c r="K27" s="1811"/>
      <c r="L27" s="5"/>
      <c r="M27" s="837"/>
      <c r="N27" s="838"/>
      <c r="O27" s="1658"/>
      <c r="P27" s="1665"/>
      <c r="Q27" s="1654"/>
      <c r="R27" s="1665"/>
      <c r="S27" s="369"/>
      <c r="T27" s="369"/>
    </row>
    <row r="28" spans="1:20" ht="14.85" customHeight="1">
      <c r="A28" s="2610" t="s">
        <v>320</v>
      </c>
      <c r="B28" s="2613" t="s">
        <v>896</v>
      </c>
      <c r="C28" s="698" t="s">
        <v>1719</v>
      </c>
      <c r="D28" s="205"/>
      <c r="E28" s="822"/>
      <c r="F28" s="1535"/>
      <c r="G28" s="1895"/>
      <c r="H28" s="1895"/>
      <c r="I28" s="160"/>
      <c r="K28" s="155"/>
      <c r="L28" s="5"/>
      <c r="M28" s="837"/>
      <c r="N28" s="838"/>
      <c r="O28" s="1658"/>
      <c r="P28" s="1665"/>
      <c r="Q28" s="1654"/>
      <c r="R28" s="1665"/>
    </row>
    <row r="29" spans="1:20" ht="14.85" customHeight="1">
      <c r="A29" s="2610" t="s">
        <v>321</v>
      </c>
      <c r="B29" s="2613" t="s">
        <v>897</v>
      </c>
      <c r="C29" s="698" t="s">
        <v>898</v>
      </c>
      <c r="D29" s="205"/>
      <c r="E29" s="822"/>
      <c r="F29" s="1535"/>
      <c r="G29" s="2553"/>
      <c r="H29" s="1895"/>
      <c r="I29" s="160"/>
      <c r="J29" s="155"/>
      <c r="K29" s="5"/>
      <c r="L29" s="5"/>
      <c r="M29" s="837"/>
      <c r="N29" s="838"/>
      <c r="O29" s="1658"/>
      <c r="P29" s="1665"/>
      <c r="Q29" s="1654"/>
      <c r="R29" s="1665"/>
    </row>
    <row r="30" spans="1:20" ht="14.85" customHeight="1">
      <c r="A30" s="2610" t="s">
        <v>301</v>
      </c>
      <c r="B30" s="803" t="s">
        <v>1384</v>
      </c>
      <c r="C30" s="714" t="s">
        <v>1556</v>
      </c>
      <c r="D30" s="423">
        <f>SUM(D27:D29)</f>
        <v>0</v>
      </c>
      <c r="E30" s="209"/>
      <c r="F30" s="256" t="str">
        <f>IF(OR(D27="",D28="",D29=""),"Skriv belopp eller 0 på raderna 053-056 för kommunen",IF(E30="","Skriv belopp eller 0 för koncernen",""))</f>
        <v>Skriv belopp eller 0 på raderna 053-056 för kommunen</v>
      </c>
      <c r="G30" s="1895"/>
      <c r="H30" s="1895"/>
      <c r="I30" s="160"/>
      <c r="J30" s="1665"/>
      <c r="K30" s="5"/>
      <c r="L30" s="5"/>
      <c r="M30" s="837"/>
      <c r="N30" s="838"/>
      <c r="O30" s="1658"/>
      <c r="P30" s="1665"/>
      <c r="Q30" s="1881"/>
      <c r="R30" s="1881"/>
    </row>
    <row r="31" spans="1:20" ht="14.85" customHeight="1">
      <c r="A31" s="2610" t="s">
        <v>322</v>
      </c>
      <c r="B31" s="803">
        <v>19</v>
      </c>
      <c r="C31" s="714" t="s">
        <v>1557</v>
      </c>
      <c r="D31" s="205"/>
      <c r="E31" s="209"/>
      <c r="F31" s="256" t="str">
        <f>IF(D31&gt;E31,"konc. &lt; kom.",IF(OR(D31&lt;0,E31&lt;0),"Varför minusbelopp?",IF(OR(D31=0,E31=0),"Belopp saknas","")))</f>
        <v>Belopp saknas</v>
      </c>
      <c r="G31" s="1895"/>
      <c r="H31" s="1895"/>
      <c r="I31" s="160"/>
      <c r="K31" s="5"/>
      <c r="L31" s="5"/>
      <c r="M31" s="837"/>
      <c r="N31" s="838"/>
      <c r="O31" s="1658"/>
      <c r="P31" s="1665"/>
      <c r="Q31" s="1881"/>
      <c r="R31" s="1881"/>
    </row>
    <row r="32" spans="1:20" ht="14.85" customHeight="1" thickBot="1">
      <c r="A32" s="2621" t="s">
        <v>323</v>
      </c>
      <c r="B32" s="809" t="s">
        <v>899</v>
      </c>
      <c r="C32" s="678" t="s">
        <v>1755</v>
      </c>
      <c r="D32" s="426">
        <f>SUM(D21,D26,D30,D31)</f>
        <v>0</v>
      </c>
      <c r="E32" s="427">
        <f>SUM(E21,E26,E30,E31)</f>
        <v>0</v>
      </c>
      <c r="F32" s="1535"/>
      <c r="G32" s="189"/>
      <c r="H32" s="189"/>
      <c r="I32" s="189"/>
      <c r="J32" s="189"/>
      <c r="K32" s="5"/>
      <c r="L32" s="5"/>
      <c r="M32" s="763" t="e">
        <f>D32*1000/invanare</f>
        <v>#DIV/0!</v>
      </c>
      <c r="N32" s="770" t="e">
        <f>E32*1000/invanare</f>
        <v>#DIV/0!</v>
      </c>
      <c r="O32" s="1576"/>
      <c r="P32" s="1665"/>
      <c r="Q32" s="1881"/>
      <c r="R32" s="1881"/>
    </row>
    <row r="33" spans="1:19" ht="14.85" customHeight="1" thickBot="1">
      <c r="A33" s="2622" t="s">
        <v>302</v>
      </c>
      <c r="B33" s="810" t="s">
        <v>900</v>
      </c>
      <c r="C33" s="811" t="s">
        <v>901</v>
      </c>
      <c r="D33" s="429">
        <f>SUM(D18,D19,D32)</f>
        <v>0</v>
      </c>
      <c r="E33" s="428">
        <f>SUM(E18,E19,E32)</f>
        <v>0</v>
      </c>
      <c r="F33" s="1535"/>
      <c r="G33" s="189"/>
      <c r="H33" s="189"/>
      <c r="I33" s="189"/>
      <c r="J33" s="189"/>
      <c r="K33" s="5"/>
      <c r="L33" s="5"/>
      <c r="M33" s="5"/>
      <c r="N33" s="5"/>
      <c r="P33" s="1665"/>
      <c r="Q33" s="1881"/>
      <c r="R33" s="1881"/>
    </row>
    <row r="34" spans="1:19" ht="14.85" customHeight="1">
      <c r="A34" s="1665"/>
      <c r="B34" s="1881"/>
      <c r="C34" s="19"/>
      <c r="D34" s="1618"/>
      <c r="E34" s="1618"/>
      <c r="F34" s="1535"/>
      <c r="G34" s="189"/>
      <c r="H34" s="189"/>
      <c r="I34" s="189"/>
      <c r="J34" s="189"/>
      <c r="K34" s="5"/>
      <c r="L34" s="5"/>
      <c r="M34" s="5"/>
      <c r="N34" s="5"/>
      <c r="P34" s="1665"/>
      <c r="Q34" s="1881"/>
      <c r="R34" s="1881"/>
    </row>
    <row r="35" spans="1:19" ht="14.85" customHeight="1">
      <c r="A35" s="7"/>
      <c r="B35" s="8"/>
      <c r="C35" s="9"/>
      <c r="D35" s="10"/>
      <c r="E35" s="10"/>
      <c r="F35" s="1535"/>
      <c r="G35" s="189"/>
      <c r="H35" s="189"/>
      <c r="I35" s="189"/>
      <c r="J35" s="189"/>
      <c r="K35" s="5"/>
      <c r="L35" s="5"/>
      <c r="M35" s="5"/>
      <c r="N35" s="5"/>
      <c r="Q35" s="1664"/>
      <c r="R35" s="1566"/>
    </row>
    <row r="36" spans="1:19" ht="14.85" customHeight="1" thickBot="1">
      <c r="A36" s="1"/>
      <c r="B36" s="8"/>
      <c r="C36" s="9"/>
      <c r="D36" s="10"/>
      <c r="E36" s="10"/>
      <c r="F36" s="1535"/>
      <c r="G36" s="189"/>
      <c r="H36" s="189"/>
      <c r="I36" s="189"/>
      <c r="J36" s="189"/>
      <c r="K36" s="5"/>
      <c r="L36" s="5"/>
      <c r="M36" s="5"/>
      <c r="N36" s="5"/>
      <c r="Q36" s="1664"/>
      <c r="R36" s="1566"/>
    </row>
    <row r="37" spans="1:19" ht="14.85" customHeight="1">
      <c r="A37" s="793" t="s">
        <v>882</v>
      </c>
      <c r="B37" s="2776" t="str">
        <f>"BAS "&amp;År-2000&amp;""</f>
        <v>BAS 23</v>
      </c>
      <c r="C37" s="851" t="s">
        <v>374</v>
      </c>
      <c r="D37" s="812" t="s">
        <v>875</v>
      </c>
      <c r="E37" s="813" t="s">
        <v>979</v>
      </c>
      <c r="F37" s="1535"/>
      <c r="G37" s="189"/>
      <c r="H37" s="189"/>
      <c r="I37" s="189"/>
      <c r="J37" s="189"/>
      <c r="K37" s="5"/>
      <c r="L37" s="5"/>
      <c r="M37" s="2868" t="s">
        <v>514</v>
      </c>
      <c r="N37" s="2869"/>
      <c r="O37" s="1659"/>
      <c r="P37" s="1566"/>
      <c r="Q37" s="1655"/>
      <c r="R37" s="1881"/>
      <c r="S37" s="1655"/>
    </row>
    <row r="38" spans="1:19" ht="14.85" customHeight="1">
      <c r="A38" s="1876" t="s">
        <v>876</v>
      </c>
      <c r="B38" s="852"/>
      <c r="C38" s="853"/>
      <c r="D38" s="854"/>
      <c r="E38" s="855"/>
      <c r="F38" s="1535"/>
      <c r="G38" s="189"/>
      <c r="H38" s="189"/>
      <c r="I38" s="189"/>
      <c r="J38" s="189"/>
      <c r="K38" s="5"/>
      <c r="L38" s="5"/>
      <c r="M38" s="869" t="s">
        <v>875</v>
      </c>
      <c r="N38" s="870" t="s">
        <v>979</v>
      </c>
      <c r="O38" s="1660"/>
      <c r="P38" s="1566"/>
      <c r="Q38" s="1655"/>
      <c r="R38" s="1881"/>
      <c r="S38" s="1883"/>
    </row>
    <row r="39" spans="1:19" ht="14.85" customHeight="1">
      <c r="A39" s="722" t="s">
        <v>327</v>
      </c>
      <c r="B39" s="805">
        <v>201</v>
      </c>
      <c r="C39" s="693" t="s">
        <v>902</v>
      </c>
      <c r="D39" s="430"/>
      <c r="E39" s="427"/>
      <c r="F39" s="2091"/>
      <c r="G39" s="189"/>
      <c r="H39" s="189"/>
      <c r="I39" s="189"/>
      <c r="J39" s="189"/>
      <c r="K39" s="5"/>
      <c r="L39" s="5"/>
      <c r="M39" s="871"/>
      <c r="N39" s="872"/>
      <c r="O39" s="1618"/>
      <c r="P39" s="1665"/>
      <c r="Q39" s="1665"/>
      <c r="R39" s="1665"/>
      <c r="S39" s="1863"/>
    </row>
    <row r="40" spans="1:19" ht="14.85" customHeight="1">
      <c r="A40" s="722" t="s">
        <v>1616</v>
      </c>
      <c r="B40" s="805" t="s">
        <v>1546</v>
      </c>
      <c r="C40" s="693" t="s">
        <v>1758</v>
      </c>
      <c r="D40" s="2530"/>
      <c r="E40" s="2531"/>
      <c r="F40" s="1536" t="str">
        <f>IF(OR(D40&lt;-1000,E40&lt;-1000),"Kommentera i kommentarrutan nedan vad justering av IB Eget kapital avser",IF(OR(D40&gt;1000,E40&gt;1000),"Kommentera i kommentarrutan nedan vad justering av IB Eget kapital avser",""))</f>
        <v/>
      </c>
      <c r="G40" s="189"/>
      <c r="H40" s="189"/>
      <c r="I40" s="189"/>
      <c r="J40" s="189"/>
      <c r="K40" s="5"/>
      <c r="L40" s="5"/>
      <c r="M40" s="871"/>
      <c r="N40" s="872"/>
      <c r="O40" s="1618"/>
      <c r="P40" s="1665"/>
      <c r="Q40" s="1665"/>
      <c r="R40" s="1665"/>
      <c r="S40" s="2529"/>
    </row>
    <row r="41" spans="1:19" ht="14.85" customHeight="1">
      <c r="A41" s="722" t="s">
        <v>328</v>
      </c>
      <c r="B41" s="805">
        <v>202</v>
      </c>
      <c r="C41" s="693" t="s">
        <v>881</v>
      </c>
      <c r="D41" s="107">
        <f>RR!C18</f>
        <v>0</v>
      </c>
      <c r="E41" s="1486">
        <f>RR!D18</f>
        <v>0</v>
      </c>
      <c r="F41" s="256"/>
      <c r="G41" s="5"/>
      <c r="H41" s="5"/>
      <c r="I41" s="5"/>
      <c r="J41" s="5"/>
      <c r="K41" s="5"/>
      <c r="L41" s="5"/>
      <c r="M41" s="871"/>
      <c r="N41" s="872"/>
      <c r="O41" s="1618"/>
      <c r="P41" s="1665"/>
      <c r="Q41" s="1665"/>
      <c r="R41" s="1665"/>
    </row>
    <row r="42" spans="1:19" ht="14.85" customHeight="1">
      <c r="A42" s="724" t="s">
        <v>1074</v>
      </c>
      <c r="B42" s="2539"/>
      <c r="C42" s="698" t="s">
        <v>1759</v>
      </c>
      <c r="D42" s="58"/>
      <c r="E42" s="195"/>
      <c r="F42" s="256" t="str">
        <f>IF(OR(D42&lt;-1000,E42&lt;-1000),"Kommentera i kommentarrutan nedan vad övrig justeringen i EK avser",IF(OR(D42&gt;1000,E42&gt;1000),"Kommentera i kommentarrutan nedan vad övrig justering i EK avser",""))</f>
        <v/>
      </c>
      <c r="G42" s="5"/>
      <c r="H42" s="5"/>
      <c r="I42" s="5"/>
      <c r="J42" s="5"/>
      <c r="K42" s="5"/>
      <c r="L42" s="5"/>
      <c r="M42" s="871"/>
      <c r="N42" s="872"/>
      <c r="O42" s="1618"/>
      <c r="P42" s="1665"/>
      <c r="Q42" s="1665"/>
      <c r="R42" s="1665"/>
    </row>
    <row r="43" spans="1:19" ht="17.25" customHeight="1">
      <c r="A43" s="724" t="s">
        <v>329</v>
      </c>
      <c r="B43" s="861" t="s">
        <v>1134</v>
      </c>
      <c r="C43" s="862" t="s">
        <v>1757</v>
      </c>
      <c r="D43" s="430">
        <f>SUM(D39:D42)</f>
        <v>0</v>
      </c>
      <c r="E43" s="427">
        <f>SUM(E39:E42)</f>
        <v>0</v>
      </c>
      <c r="F43" s="256" t="str">
        <f>IF(ABS(SUM(D33-D43-D49-D69))&gt;100,(ROUND((D33-D43-D49-D69),0))&amp;" tkr differens mellan kommunens UB EK här och summan tillgångar - summa skulder och avsättningar - måste åtgärdas!",IF(ABS(SUM(E33-E43-E49-E69))&gt;100,(ROUND((E33-E43-E49-E69),1))&amp;" tkr differens mellan koncernens UB EK här och summan tillgångar - summa skulder och avsättningar - måste åtgärdas!",""))</f>
        <v/>
      </c>
      <c r="G43" s="5"/>
      <c r="H43" s="5"/>
      <c r="I43" s="5"/>
      <c r="J43" s="5"/>
      <c r="K43" s="5"/>
      <c r="L43" s="5"/>
      <c r="M43" s="873" t="e">
        <f>D43*1000/invanare</f>
        <v>#DIV/0!</v>
      </c>
      <c r="N43" s="761" t="e">
        <f>E43*1000/invanare</f>
        <v>#DIV/0!</v>
      </c>
      <c r="O43" s="1618"/>
      <c r="P43" s="1665"/>
      <c r="Q43" s="1881"/>
      <c r="R43" s="1665"/>
    </row>
    <row r="44" spans="1:19" ht="15" customHeight="1" thickBot="1">
      <c r="A44" s="725" t="s">
        <v>1073</v>
      </c>
      <c r="B44" s="2687"/>
      <c r="C44" s="1222" t="s">
        <v>1760</v>
      </c>
      <c r="D44" s="2692"/>
      <c r="E44" s="2693"/>
      <c r="F44" s="256" t="str">
        <f>IF(D44="","Skriv 0 om RUR inte finns",IF(E44="","Skriv 0 i kol. E om RUR inte finns",IF(ABS(O44+RR!C37-RR!C38-D44)&gt;50,"se kontrolltext till höger",IF(ABS(E44-D44)&gt;100,"varför diff.mellan kommunen o.koncern?",""))))</f>
        <v>Skriv 0 om RUR inte finns</v>
      </c>
      <c r="G44" s="2888" t="str">
        <f>IF(ABS(O44+RR!C37-RR!C38-D44)&gt;50,"Belopp som efterfrågas på därav-rad 062 den sammanlagda RUR efter årets förändring, dvs. förra årets RUR som var "&amp;""&amp;(O44)&amp;" tkr + reservering av medel till RUR (rad 142 i RR) - användning av medel från RUR (rad 143 i RR). Differensen ska elimineras eller förklaras","")</f>
        <v/>
      </c>
      <c r="H44" s="2889"/>
      <c r="I44" s="2889"/>
      <c r="J44" s="2889"/>
      <c r="K44" s="2889"/>
      <c r="L44" s="5"/>
      <c r="M44" s="871"/>
      <c r="N44" s="872"/>
      <c r="O44" s="2528"/>
      <c r="P44" s="1665"/>
      <c r="Q44" s="1665"/>
      <c r="R44" s="1665"/>
    </row>
    <row r="45" spans="1:19" ht="18.75" customHeight="1">
      <c r="A45" s="746" t="s">
        <v>330</v>
      </c>
      <c r="B45" s="1767" t="s">
        <v>903</v>
      </c>
      <c r="C45" s="936" t="s">
        <v>1085</v>
      </c>
      <c r="D45" s="205"/>
      <c r="E45" s="2736"/>
      <c r="F45" s="256" t="str">
        <f>IF(D45=0,"Varför saknas avsättningar för pensioner?","")</f>
        <v>Varför saknas avsättningar för pensioner?</v>
      </c>
      <c r="G45" s="2889"/>
      <c r="H45" s="2889"/>
      <c r="I45" s="2889"/>
      <c r="J45" s="2889"/>
      <c r="K45" s="2889"/>
      <c r="L45" s="5"/>
      <c r="M45" s="1727"/>
      <c r="N45" s="766"/>
      <c r="O45" s="1576"/>
      <c r="P45" s="1665"/>
      <c r="Q45" s="1881"/>
      <c r="R45" s="1881"/>
    </row>
    <row r="46" spans="1:19" ht="14.85" customHeight="1">
      <c r="A46" s="722" t="s">
        <v>331</v>
      </c>
      <c r="B46" s="805" t="s">
        <v>904</v>
      </c>
      <c r="C46" s="693" t="s">
        <v>1086</v>
      </c>
      <c r="D46" s="205"/>
      <c r="E46" s="856"/>
      <c r="F46" s="256"/>
      <c r="G46" s="200" t="s">
        <v>1423</v>
      </c>
      <c r="H46" s="5"/>
      <c r="I46" s="5"/>
      <c r="J46" s="5"/>
      <c r="K46" s="5"/>
      <c r="L46" s="5"/>
      <c r="M46" s="874"/>
      <c r="N46" s="875"/>
      <c r="O46" s="1576"/>
      <c r="P46" s="1665"/>
      <c r="Q46" s="1665"/>
      <c r="R46" s="1665"/>
    </row>
    <row r="47" spans="1:19" ht="14.85" customHeight="1">
      <c r="A47" s="722" t="s">
        <v>332</v>
      </c>
      <c r="B47" s="857" t="s">
        <v>907</v>
      </c>
      <c r="C47" s="858" t="s">
        <v>1019</v>
      </c>
      <c r="D47" s="205"/>
      <c r="E47" s="856"/>
      <c r="F47" s="256" t="str">
        <f>IF(D47=0,"Varför saknas avsättningar för särskild löneskatt pens.?","")</f>
        <v>Varför saknas avsättningar för särskild löneskatt pens.?</v>
      </c>
      <c r="G47" s="85"/>
      <c r="H47" s="5"/>
      <c r="I47" s="5"/>
      <c r="J47" s="230"/>
      <c r="L47" s="5"/>
      <c r="M47" s="760" t="e">
        <f>SUM(D45:D47)*1000/invanare</f>
        <v>#DIV/0!</v>
      </c>
      <c r="N47" s="876"/>
      <c r="O47" s="1576"/>
      <c r="P47" s="1665"/>
      <c r="Q47" s="1665"/>
      <c r="R47" s="1665"/>
    </row>
    <row r="48" spans="1:19" ht="14.85" customHeight="1">
      <c r="A48" s="724" t="s">
        <v>333</v>
      </c>
      <c r="B48" s="2685" t="s">
        <v>908</v>
      </c>
      <c r="C48" s="2686" t="s">
        <v>909</v>
      </c>
      <c r="D48" s="205"/>
      <c r="E48" s="856"/>
      <c r="F48" s="256"/>
      <c r="G48" s="5"/>
      <c r="H48" s="5"/>
      <c r="I48" s="16"/>
      <c r="J48" s="2109" t="s">
        <v>875</v>
      </c>
      <c r="L48" s="2104"/>
      <c r="M48" s="877" t="e">
        <f>D48*1000/invanare</f>
        <v>#DIV/0!</v>
      </c>
      <c r="N48" s="2705"/>
      <c r="O48" s="1576"/>
      <c r="P48" s="1665"/>
      <c r="Q48" s="1665"/>
      <c r="R48" s="1665"/>
    </row>
    <row r="49" spans="1:20" ht="14.85" customHeight="1" thickBot="1">
      <c r="A49" s="2316" t="s">
        <v>334</v>
      </c>
      <c r="B49" s="2691" t="s">
        <v>1698</v>
      </c>
      <c r="C49" s="710" t="s">
        <v>911</v>
      </c>
      <c r="D49" s="2684">
        <f>SUM(D45:D48)</f>
        <v>0</v>
      </c>
      <c r="E49" s="2711"/>
      <c r="F49" s="256" t="str">
        <f>IF((D49-E49)&gt;1,"konc. &lt; komm.",IF(OR(D49=0,E49=0),"Belopp saknas",""))</f>
        <v>Belopp saknas</v>
      </c>
      <c r="G49" s="839" t="s">
        <v>303</v>
      </c>
      <c r="H49" s="840" t="s">
        <v>910</v>
      </c>
      <c r="I49" s="2100" t="s">
        <v>1762</v>
      </c>
      <c r="J49" s="2103"/>
      <c r="K49" s="2099"/>
      <c r="L49" s="2285"/>
      <c r="M49" s="760" t="e">
        <f>D49*1000/invanare</f>
        <v>#DIV/0!</v>
      </c>
      <c r="N49" s="2703" t="e">
        <f>E49*1000/invanare</f>
        <v>#DIV/0!</v>
      </c>
      <c r="O49" s="1576"/>
      <c r="P49" s="1665"/>
      <c r="Q49" s="1665"/>
      <c r="R49" s="1665"/>
      <c r="S49" s="369"/>
      <c r="T49" s="369"/>
    </row>
    <row r="50" spans="1:20" ht="14.85" customHeight="1">
      <c r="A50" s="2715" t="s">
        <v>1705</v>
      </c>
      <c r="B50" s="1767" t="s">
        <v>1699</v>
      </c>
      <c r="C50" s="693" t="s">
        <v>1700</v>
      </c>
      <c r="D50" s="2688"/>
      <c r="E50" s="2689"/>
      <c r="F50" s="2690" t="str">
        <f>IF(D50&gt;E50,"konc. &lt; komm.",IF(OR(D50="",E50=""),"Skriv belopp eller 0",""))</f>
        <v>Skriv belopp eller 0</v>
      </c>
      <c r="G50" s="1756" t="s">
        <v>1385</v>
      </c>
      <c r="H50" s="1757" t="s">
        <v>1432</v>
      </c>
      <c r="I50" s="2100" t="s">
        <v>1763</v>
      </c>
      <c r="J50" s="2103"/>
      <c r="K50" s="2099"/>
      <c r="M50" s="835"/>
      <c r="N50" s="2704"/>
      <c r="O50" s="2702"/>
      <c r="P50" s="1665"/>
      <c r="Q50" s="1881"/>
      <c r="R50" s="1881"/>
    </row>
    <row r="51" spans="1:20" ht="14.85" customHeight="1">
      <c r="A51" s="724" t="s">
        <v>335</v>
      </c>
      <c r="B51" s="805" t="s">
        <v>1734</v>
      </c>
      <c r="C51" s="693" t="s">
        <v>1756</v>
      </c>
      <c r="D51" s="205"/>
      <c r="E51" s="2447"/>
      <c r="F51" s="256" t="str">
        <f>IF(D51&gt;E51,"konc. &lt; komm.",IF(OR(D51="",E51=""),"Skriv belopp eller 0",""))</f>
        <v>Skriv belopp eller 0</v>
      </c>
      <c r="G51" s="202"/>
      <c r="H51" s="5"/>
      <c r="I51" s="189"/>
      <c r="J51" s="155" t="str">
        <f>IF(AND(D48=0,SUM(J49+J50)=0),"",IF(SUM(J49:J50)-D48&gt;1,"Däravr.080+ 131&gt;rad 078",IF(AND(D48&gt;10,J49=""),"Rad 080: skriv belopp eller 0",IF(AND(D48&gt;10,J50=""),"Rad 131: skriv belopp eller 0 ",""))))</f>
        <v/>
      </c>
      <c r="K51" s="189"/>
      <c r="L51" s="2285"/>
      <c r="M51" s="874"/>
      <c r="N51" s="875"/>
      <c r="O51" s="1576"/>
      <c r="P51" s="1665"/>
      <c r="Q51" s="1665"/>
      <c r="R51" s="1665"/>
    </row>
    <row r="52" spans="1:20" ht="14.85" customHeight="1">
      <c r="A52" s="722" t="s">
        <v>336</v>
      </c>
      <c r="B52" s="805" t="s">
        <v>1735</v>
      </c>
      <c r="C52" s="693" t="s">
        <v>1736</v>
      </c>
      <c r="D52" s="205"/>
      <c r="E52" s="2097"/>
      <c r="F52" s="256" t="str">
        <f>IF(OR(D52="",E52=""),"Skriv belopp eller 0","")</f>
        <v>Skriv belopp eller 0</v>
      </c>
      <c r="G52" s="202"/>
      <c r="H52" s="5"/>
      <c r="I52" s="189"/>
      <c r="J52" s="241"/>
      <c r="K52" s="2106"/>
      <c r="L52" s="2285"/>
      <c r="M52" s="874"/>
      <c r="N52" s="875"/>
      <c r="O52" s="1576"/>
      <c r="P52" s="1665"/>
      <c r="Q52" s="1665"/>
      <c r="R52" s="1665"/>
    </row>
    <row r="53" spans="1:20" ht="14.85" customHeight="1">
      <c r="A53" s="722" t="s">
        <v>337</v>
      </c>
      <c r="B53" s="805">
        <v>236</v>
      </c>
      <c r="C53" s="693" t="s">
        <v>912</v>
      </c>
      <c r="D53" s="205"/>
      <c r="E53" s="856"/>
      <c r="F53" s="1535"/>
      <c r="G53" s="202"/>
      <c r="H53" s="5"/>
      <c r="I53" s="2107"/>
      <c r="J53" s="2101" t="s">
        <v>875</v>
      </c>
      <c r="K53" s="2102" t="s">
        <v>979</v>
      </c>
      <c r="L53" s="224"/>
      <c r="M53" s="874"/>
      <c r="N53" s="875"/>
      <c r="O53" s="1576"/>
      <c r="P53" s="1665"/>
      <c r="Q53" s="1665"/>
      <c r="R53" s="1665"/>
    </row>
    <row r="54" spans="1:20" ht="14.85" customHeight="1">
      <c r="A54" s="722" t="s">
        <v>338</v>
      </c>
      <c r="B54" s="805" t="s">
        <v>1047</v>
      </c>
      <c r="C54" s="693" t="s">
        <v>1436</v>
      </c>
      <c r="D54" s="210"/>
      <c r="E54" s="2097"/>
      <c r="F54" s="256" t="str">
        <f>IF(OR(D54="",E54=""),"Skriv belopp eller 0","")</f>
        <v>Skriv belopp eller 0</v>
      </c>
      <c r="G54" s="1756" t="s">
        <v>1386</v>
      </c>
      <c r="H54" s="1976" t="s">
        <v>1430</v>
      </c>
      <c r="I54" s="2100" t="s">
        <v>1764</v>
      </c>
      <c r="J54" s="2103"/>
      <c r="K54" s="2103"/>
      <c r="L54" s="2285"/>
      <c r="M54" s="835"/>
      <c r="N54" s="875"/>
      <c r="O54" s="1576"/>
      <c r="P54" s="1665"/>
      <c r="Q54" s="1665"/>
      <c r="R54" s="1665"/>
      <c r="S54" s="1566"/>
      <c r="T54" s="1566"/>
    </row>
    <row r="55" spans="1:20" ht="19.5" customHeight="1">
      <c r="A55" s="722" t="s">
        <v>1072</v>
      </c>
      <c r="B55" s="805" t="s">
        <v>1046</v>
      </c>
      <c r="C55" s="730" t="s">
        <v>1626</v>
      </c>
      <c r="D55" s="210"/>
      <c r="E55" s="2097"/>
      <c r="F55" s="256" t="str">
        <f>IF(D55&gt;E55,"konc. &lt; komm.",IF(OR(D55="",E55=""),"Skriv belopp eller 0",""))</f>
        <v>Skriv belopp eller 0</v>
      </c>
      <c r="G55" s="2108"/>
      <c r="H55" s="2108"/>
      <c r="I55" s="1821"/>
      <c r="J55" s="155" t="str">
        <f>IF(AND(D55=0,J54=0),"",IF(SUM(J54)&gt;D55,"Däravrad 132 &gt; rad 087",IF(AND(D55&gt;10,J54=""),"Rad 132: skriv belopp eller 0","")))</f>
        <v/>
      </c>
      <c r="K55" s="155" t="str">
        <f>IF(AND(E55=0,K54=0),"",IF(SUM(K54)&gt;E55,"Däravrad 132 &gt; rad 087",IF(AND(E55&gt;10,K54=""),"Rad 132: skriv belopp eller 0",IF(J54&gt;K54,"konc.&lt;kommun",""))))</f>
        <v/>
      </c>
      <c r="L55" s="204"/>
      <c r="M55" s="835"/>
      <c r="N55" s="875"/>
      <c r="O55" s="1576"/>
      <c r="P55" s="1665"/>
      <c r="Q55" s="1665"/>
      <c r="R55" s="1665"/>
      <c r="S55" s="1566"/>
      <c r="T55" s="1566"/>
    </row>
    <row r="56" spans="1:20" ht="14.85" customHeight="1">
      <c r="A56" s="722" t="s">
        <v>339</v>
      </c>
      <c r="B56" s="806" t="s">
        <v>913</v>
      </c>
      <c r="C56" s="748" t="s">
        <v>914</v>
      </c>
      <c r="D56" s="211"/>
      <c r="E56" s="2097"/>
      <c r="F56" s="256" t="str">
        <f>IF(OR(D56="",E56=""),"Skriv belopp eller 0","")</f>
        <v>Skriv belopp eller 0</v>
      </c>
      <c r="G56" s="1759" t="s">
        <v>1387</v>
      </c>
      <c r="H56" s="1760" t="s">
        <v>1431</v>
      </c>
      <c r="I56" s="2744" t="s">
        <v>1765</v>
      </c>
      <c r="J56" s="2331"/>
      <c r="K56" s="2332"/>
      <c r="L56" s="1536" t="str">
        <f>IF(AND(D57=0,J56=0,E57=0,K56=0),"",IF(SUM(J56)&gt;D57,"Däravrad 133 &gt; rad 089",IF(AND(D57&gt;10,J56=""),"Rad 133,kommun: skriv belopp eller 0",IF(AND(E57=0,K56=0),"",IF(SUM(K56)&gt;E57,"Koncern:Däravrad 133&gt;rad 089",IF(AND(E57&gt;10,K56=""),"Rad 133,koncern:skriv belopp eller 0",""))))))</f>
        <v/>
      </c>
      <c r="M56" s="835"/>
      <c r="N56" s="875"/>
      <c r="O56" s="1576"/>
      <c r="P56" s="1665"/>
      <c r="Q56" s="1654"/>
      <c r="R56" s="1665"/>
      <c r="S56" s="1566"/>
      <c r="T56" s="1566"/>
    </row>
    <row r="57" spans="1:20" ht="14.85" customHeight="1" thickBot="1">
      <c r="A57" s="726" t="s">
        <v>340</v>
      </c>
      <c r="B57" s="859">
        <v>23</v>
      </c>
      <c r="C57" s="710" t="s">
        <v>915</v>
      </c>
      <c r="D57" s="426">
        <f>SUM(D50:D56)</f>
        <v>0</v>
      </c>
      <c r="E57" s="426">
        <f>SUM(E50:E52,E54:E56)</f>
        <v>0</v>
      </c>
      <c r="F57" s="256"/>
      <c r="G57" s="2316" t="s">
        <v>358</v>
      </c>
      <c r="H57" s="2320" t="s">
        <v>1431</v>
      </c>
      <c r="I57" s="2317" t="s">
        <v>1770</v>
      </c>
      <c r="J57" s="2270"/>
      <c r="K57" s="2339"/>
      <c r="L57" s="1536" t="str">
        <f>IF(AND(D57=0,J57=0),"",IF(SUM(J57)&gt;D57,"Däravrad 088 &gt; rad 089",IF(AND(D57&gt;10,J57=""),"Rad 088,kommun: skriv belopp eller 0","")))</f>
        <v/>
      </c>
      <c r="M57" s="760" t="e">
        <f>D57*1000/invanare</f>
        <v>#DIV/0!</v>
      </c>
      <c r="N57" s="761" t="e">
        <f>E57*1000/invanare</f>
        <v>#DIV/0!</v>
      </c>
      <c r="O57" s="1576"/>
      <c r="P57" s="1665"/>
      <c r="Q57" s="1881"/>
      <c r="R57" s="1881"/>
    </row>
    <row r="58" spans="1:20" ht="18" customHeight="1">
      <c r="A58" s="722" t="s">
        <v>341</v>
      </c>
      <c r="B58" s="860" t="s">
        <v>916</v>
      </c>
      <c r="C58" s="693" t="s">
        <v>917</v>
      </c>
      <c r="D58" s="205"/>
      <c r="E58" s="856"/>
      <c r="F58" s="256"/>
      <c r="G58" s="1580" t="s">
        <v>343</v>
      </c>
      <c r="H58" s="2580" t="s">
        <v>983</v>
      </c>
      <c r="I58" s="2777" t="s">
        <v>1766</v>
      </c>
      <c r="J58" s="2581"/>
      <c r="K58" s="2321" t="s">
        <v>1435</v>
      </c>
      <c r="L58" s="155" t="str">
        <f>IF(AND(D58=0,J58=0),"",IF(SUM(J58)&gt;D58,"Däravrad 091 &gt; rad 090",IF(AND(D58&gt;10,J58=""),"Rad 091: skriv belopp eller 0","")))</f>
        <v/>
      </c>
      <c r="M58" s="874"/>
      <c r="N58" s="875"/>
      <c r="O58" s="1576"/>
      <c r="P58" s="1665"/>
      <c r="Q58" s="1654"/>
      <c r="R58" s="1665"/>
      <c r="S58" s="369"/>
      <c r="T58" s="369"/>
    </row>
    <row r="59" spans="1:20" ht="14.85" customHeight="1">
      <c r="A59" s="722" t="s">
        <v>342</v>
      </c>
      <c r="B59" s="806" t="s">
        <v>918</v>
      </c>
      <c r="C59" s="698" t="s">
        <v>919</v>
      </c>
      <c r="D59" s="205"/>
      <c r="E59" s="856"/>
      <c r="F59" s="1535"/>
      <c r="G59" s="1756" t="s">
        <v>1388</v>
      </c>
      <c r="H59" s="2707" t="s">
        <v>1389</v>
      </c>
      <c r="I59" s="2708" t="s">
        <v>1767</v>
      </c>
      <c r="J59" s="2709"/>
      <c r="K59" s="2538" t="s">
        <v>1434</v>
      </c>
      <c r="L59" s="2076" t="str">
        <f>IF(AND(D58=0,J59=0),"",IF(SUM(J59)&gt;D58,"Däravrad 134 &gt; rad 090",IF(J59="","skriv belopp eller 0","")))</f>
        <v/>
      </c>
      <c r="M59" s="874"/>
      <c r="N59" s="875"/>
      <c r="O59" s="1576"/>
      <c r="P59" s="1665"/>
      <c r="Q59" s="1654"/>
      <c r="R59" s="1665"/>
      <c r="S59" s="369"/>
      <c r="T59" s="369"/>
    </row>
    <row r="60" spans="1:20" ht="14.85" customHeight="1" thickBot="1">
      <c r="A60" s="722" t="s">
        <v>359</v>
      </c>
      <c r="B60" s="806">
        <v>271</v>
      </c>
      <c r="C60" s="698" t="s">
        <v>10</v>
      </c>
      <c r="D60" s="205"/>
      <c r="E60" s="856"/>
      <c r="F60" s="1535"/>
      <c r="G60" s="2710" t="s">
        <v>2</v>
      </c>
      <c r="H60" s="2717" t="s">
        <v>1693</v>
      </c>
      <c r="I60" s="2716" t="s">
        <v>1769</v>
      </c>
      <c r="J60" s="2582"/>
      <c r="K60" s="2538"/>
      <c r="L60" s="2076" t="str">
        <f>IF(AND(D58=0,J60=0),"",IF(SUM(J60)&gt;D58,"Däravrad 135 &gt; rad 090",IF(J59="","skriv belopp eller 0","")))</f>
        <v/>
      </c>
      <c r="M60" s="874"/>
      <c r="N60" s="875"/>
      <c r="O60" s="1576"/>
      <c r="P60" s="1665"/>
      <c r="Q60" s="1654"/>
      <c r="R60" s="1665"/>
    </row>
    <row r="61" spans="1:20" ht="14.85" customHeight="1">
      <c r="A61" s="722" t="s">
        <v>1743</v>
      </c>
      <c r="B61" s="806">
        <v>272</v>
      </c>
      <c r="C61" s="698" t="s">
        <v>1737</v>
      </c>
      <c r="D61" s="2752"/>
      <c r="E61" s="2753"/>
      <c r="F61" s="256" t="str">
        <f>IF(D61&lt;&gt;0,"","Belopp saknas för kommunen")</f>
        <v>Belopp saknas för kommunen</v>
      </c>
      <c r="G61" s="847" t="s">
        <v>344</v>
      </c>
      <c r="H61" s="1755" t="s">
        <v>1007</v>
      </c>
      <c r="I61" s="2778" t="s">
        <v>1768</v>
      </c>
      <c r="J61" s="2582"/>
      <c r="K61" s="2765"/>
      <c r="L61" s="2076" t="str">
        <f>IF(AND(D59=0,J61=0),"",IF(SUM(J61)&gt;D59,"Däravrad 092 &gt; rad 086",IF(J61="","skriv belopp eller 0","")))</f>
        <v/>
      </c>
      <c r="M61" s="874"/>
      <c r="N61" s="875"/>
      <c r="O61" s="1576"/>
      <c r="P61" s="1665"/>
      <c r="Q61" s="1654"/>
      <c r="R61" s="1665"/>
    </row>
    <row r="62" spans="1:20" ht="14.85" customHeight="1">
      <c r="A62" s="722" t="s">
        <v>345</v>
      </c>
      <c r="B62" s="806">
        <v>281</v>
      </c>
      <c r="C62" s="698" t="s">
        <v>1691</v>
      </c>
      <c r="D62" s="212"/>
      <c r="E62" s="867"/>
      <c r="F62" s="1535"/>
      <c r="J62" s="2764"/>
      <c r="K62" s="2763"/>
      <c r="L62" s="1536"/>
      <c r="M62" s="874"/>
      <c r="N62" s="836"/>
      <c r="O62" s="1576"/>
      <c r="P62" s="1665"/>
      <c r="Q62" s="1654"/>
      <c r="R62" s="1665"/>
    </row>
    <row r="63" spans="1:20" ht="14.85" customHeight="1">
      <c r="A63" s="722" t="s">
        <v>346</v>
      </c>
      <c r="B63" s="806" t="s">
        <v>920</v>
      </c>
      <c r="C63" s="698" t="s">
        <v>921</v>
      </c>
      <c r="D63" s="211"/>
      <c r="E63" s="868"/>
      <c r="F63" s="256" t="str">
        <f>IF(D63&lt;&gt;0,"","Belopp saknas för kommunen")</f>
        <v>Belopp saknas för kommunen</v>
      </c>
      <c r="G63" s="5"/>
      <c r="H63" s="12"/>
      <c r="I63" s="189"/>
      <c r="J63" s="2109" t="s">
        <v>875</v>
      </c>
      <c r="K63" s="2079"/>
      <c r="L63" s="224"/>
      <c r="M63" s="874"/>
      <c r="N63" s="836"/>
      <c r="O63" s="1576"/>
      <c r="P63" s="1665"/>
      <c r="Q63" s="1654"/>
      <c r="R63" s="1665"/>
    </row>
    <row r="64" spans="1:20" ht="14.85" customHeight="1">
      <c r="A64" s="722" t="s">
        <v>1092</v>
      </c>
      <c r="B64" s="806">
        <v>293</v>
      </c>
      <c r="C64" s="698" t="s">
        <v>1048</v>
      </c>
      <c r="D64" s="210"/>
      <c r="E64" s="866"/>
      <c r="F64" s="256" t="str">
        <f>IF(D64&lt;&gt;0,"","Belopp saknas för kommunen")</f>
        <v>Belopp saknas för kommunen</v>
      </c>
      <c r="G64" s="1756" t="s">
        <v>347</v>
      </c>
      <c r="H64" s="1757" t="s">
        <v>922</v>
      </c>
      <c r="I64" s="2100" t="s">
        <v>1771</v>
      </c>
      <c r="J64" s="2103"/>
      <c r="K64" s="189"/>
      <c r="L64" s="224"/>
      <c r="M64" s="874"/>
      <c r="N64" s="836"/>
      <c r="O64" s="1576"/>
      <c r="P64" s="1665"/>
      <c r="Q64" s="1654"/>
      <c r="R64" s="1665"/>
      <c r="S64" s="369"/>
    </row>
    <row r="65" spans="1:19" ht="14.85" customHeight="1">
      <c r="A65" s="722" t="s">
        <v>348</v>
      </c>
      <c r="B65" s="806" t="s">
        <v>923</v>
      </c>
      <c r="C65" s="698" t="s">
        <v>1020</v>
      </c>
      <c r="D65" s="210"/>
      <c r="E65" s="866"/>
      <c r="F65" s="256" t="str">
        <f>IF(D65&lt;&gt;0,"","Belopp saknas för kommunen")</f>
        <v>Belopp saknas för kommunen</v>
      </c>
      <c r="J65" s="2766" t="str">
        <f>IF(AND(D64=0,J64=0),"",IF(SUM(J64)&gt;D64,"Däravrad 095 &gt; rad 104",IF(J64="","skriv belopp eller 0","")))</f>
        <v/>
      </c>
      <c r="K65" s="1811"/>
      <c r="L65" s="2076"/>
      <c r="M65" s="874"/>
      <c r="N65" s="836"/>
      <c r="O65" s="1576"/>
      <c r="P65" s="1665"/>
      <c r="Q65" s="1654"/>
      <c r="R65" s="1665"/>
    </row>
    <row r="66" spans="1:19" ht="14.85" customHeight="1">
      <c r="A66" s="722" t="s">
        <v>502</v>
      </c>
      <c r="B66" s="806" t="s">
        <v>11</v>
      </c>
      <c r="C66" s="698" t="s">
        <v>12</v>
      </c>
      <c r="D66" s="210"/>
      <c r="E66" s="866"/>
      <c r="F66" s="1535"/>
      <c r="G66" s="5"/>
      <c r="H66" s="5"/>
      <c r="I66" s="5"/>
      <c r="J66" s="155"/>
      <c r="K66" s="155"/>
      <c r="L66" s="224"/>
      <c r="M66" s="874"/>
      <c r="N66" s="836"/>
      <c r="O66" s="1576"/>
      <c r="P66" s="1665"/>
      <c r="Q66" s="1654"/>
      <c r="R66" s="1665"/>
    </row>
    <row r="67" spans="1:19" ht="14.85" customHeight="1">
      <c r="A67" s="722" t="s">
        <v>349</v>
      </c>
      <c r="B67" s="805" t="s">
        <v>924</v>
      </c>
      <c r="C67" s="693" t="s">
        <v>926</v>
      </c>
      <c r="D67" s="210"/>
      <c r="E67" s="866"/>
      <c r="F67" s="1535"/>
      <c r="G67" s="5"/>
      <c r="H67" s="203"/>
      <c r="I67" s="5"/>
      <c r="J67" s="201"/>
      <c r="K67" s="2109" t="s">
        <v>979</v>
      </c>
      <c r="L67" s="224"/>
      <c r="M67" s="874"/>
      <c r="N67" s="836"/>
      <c r="O67" s="1576"/>
      <c r="P67" s="1665"/>
      <c r="Q67" s="1665"/>
      <c r="R67" s="1665"/>
    </row>
    <row r="68" spans="1:19" ht="14.85" customHeight="1" thickBot="1">
      <c r="A68" s="724" t="s">
        <v>350</v>
      </c>
      <c r="B68" s="861" t="s">
        <v>927</v>
      </c>
      <c r="C68" s="862" t="s">
        <v>928</v>
      </c>
      <c r="D68" s="430">
        <f>SUM(D58:D67)</f>
        <v>0</v>
      </c>
      <c r="E68" s="208"/>
      <c r="F68" s="256" t="str">
        <f>IF(E68="","Skriv belopp eller 0 för koncernen","")</f>
        <v>Skriv belopp eller 0 för koncernen</v>
      </c>
      <c r="G68" s="839" t="s">
        <v>341</v>
      </c>
      <c r="H68" s="2779">
        <v>24</v>
      </c>
      <c r="I68" s="2542" t="s">
        <v>1773</v>
      </c>
      <c r="J68" s="2543"/>
      <c r="K68" s="2329"/>
      <c r="L68" s="2076" t="str">
        <f>IF(AND(E68=0,K68=0),"",IF(SUM(K68)&gt;E68,"Därav-rad 090&gt;rad 098 (Excel K68&gt;E68)",IF(AND(E68&gt;100,K68=""),"Rad 090: skriv belopp eller 0","")))</f>
        <v/>
      </c>
      <c r="M68" s="878" t="e">
        <f>D68*1000/invanare</f>
        <v>#DIV/0!</v>
      </c>
      <c r="N68" s="879" t="e">
        <f>E68*1000/invanare</f>
        <v>#DIV/0!</v>
      </c>
      <c r="O68" s="1576"/>
      <c r="P68" s="1665"/>
      <c r="Q68" s="1881"/>
      <c r="R68" s="1881"/>
    </row>
    <row r="69" spans="1:19" ht="14.25" customHeight="1" thickBot="1">
      <c r="A69" s="715" t="s">
        <v>351</v>
      </c>
      <c r="B69" s="809" t="s">
        <v>929</v>
      </c>
      <c r="C69" s="678" t="s">
        <v>930</v>
      </c>
      <c r="D69" s="419">
        <f>SUM(D57,D68)</f>
        <v>0</v>
      </c>
      <c r="E69" s="431">
        <f>SUM(E57,E68)</f>
        <v>0</v>
      </c>
      <c r="F69" s="1535"/>
      <c r="G69" s="1756" t="s">
        <v>1388</v>
      </c>
      <c r="H69" s="2375" t="s">
        <v>1389</v>
      </c>
      <c r="I69" s="2319" t="s">
        <v>1772</v>
      </c>
      <c r="J69" s="2318"/>
      <c r="K69" s="2330"/>
      <c r="L69" s="2076" t="str">
        <f>IF(AND(K68=0,K69=0),"",IF(SUM(K69)&gt;K68,"Varav-rad 134&gt;rad 090",IF(AND(K68&gt;100,K69=""),"Rad 134, skriv belopp eller 0","")))</f>
        <v/>
      </c>
      <c r="M69" s="1576"/>
      <c r="N69" s="1576"/>
      <c r="O69" s="1576"/>
      <c r="P69" s="1665"/>
      <c r="Q69" s="1881"/>
      <c r="R69" s="1881"/>
    </row>
    <row r="70" spans="1:19" ht="14.85" customHeight="1" thickBot="1">
      <c r="A70" s="863">
        <v>100</v>
      </c>
      <c r="B70" s="864" t="s">
        <v>931</v>
      </c>
      <c r="C70" s="865" t="s">
        <v>1761</v>
      </c>
      <c r="D70" s="432">
        <f>SUM(D43,D49,D57,D68)</f>
        <v>0</v>
      </c>
      <c r="E70" s="428">
        <f>SUM(E43,E49,E57,E68)</f>
        <v>0</v>
      </c>
      <c r="F70" s="1535"/>
      <c r="G70" s="5"/>
      <c r="H70" s="204"/>
      <c r="I70" s="5"/>
      <c r="J70" s="2076"/>
      <c r="K70" s="2076"/>
      <c r="L70" s="2076"/>
      <c r="M70" s="74"/>
      <c r="N70" s="74"/>
      <c r="O70" s="243"/>
      <c r="P70" s="1665"/>
      <c r="Q70" s="1881"/>
      <c r="R70" s="1881"/>
    </row>
    <row r="71" spans="1:19">
      <c r="A71" s="1671" t="s">
        <v>1738</v>
      </c>
      <c r="B71" s="158"/>
      <c r="C71" s="160"/>
      <c r="D71" s="13"/>
      <c r="E71" s="13"/>
      <c r="F71" s="1535"/>
      <c r="G71" s="881" t="s">
        <v>631</v>
      </c>
      <c r="H71" s="882"/>
      <c r="I71" s="882"/>
      <c r="J71" s="883"/>
      <c r="L71" s="224"/>
      <c r="M71" s="764" t="e">
        <f>J57*1000/invanare</f>
        <v>#DIV/0!</v>
      </c>
      <c r="N71" s="880"/>
      <c r="O71" s="1618"/>
      <c r="P71" s="1884"/>
      <c r="Q71" s="1885"/>
      <c r="R71" s="1885"/>
    </row>
    <row r="72" spans="1:19">
      <c r="A72" s="1671"/>
      <c r="B72" s="158"/>
      <c r="C72" s="160"/>
      <c r="D72" s="13"/>
      <c r="E72" s="13"/>
      <c r="F72" s="1535"/>
      <c r="G72" s="884" t="s">
        <v>624</v>
      </c>
      <c r="H72" s="885"/>
      <c r="I72" s="885"/>
      <c r="J72" s="886"/>
      <c r="L72" s="224"/>
      <c r="M72" s="2284" t="e">
        <f>SUM(D57-J57)*1000/invanare</f>
        <v>#DIV/0!</v>
      </c>
      <c r="N72" s="832"/>
      <c r="O72" s="1618"/>
      <c r="Q72" s="2885"/>
      <c r="R72" s="2885"/>
      <c r="S72" s="2885"/>
    </row>
    <row r="73" spans="1:19" ht="15" customHeight="1">
      <c r="A73" s="188"/>
      <c r="B73" s="11"/>
      <c r="C73" s="9"/>
      <c r="D73" s="13"/>
      <c r="E73" s="13"/>
      <c r="F73" s="1535"/>
      <c r="G73" s="887" t="s">
        <v>608</v>
      </c>
      <c r="H73" s="888"/>
      <c r="I73" s="888"/>
      <c r="J73" s="886"/>
      <c r="M73" s="760" t="str">
        <f>IF(D33=0,"",D43*100/D33)</f>
        <v/>
      </c>
      <c r="N73" s="761" t="str">
        <f>IF(E33=0,"",E43*100/E33)</f>
        <v/>
      </c>
      <c r="O73" s="1576"/>
      <c r="Q73" s="2885"/>
      <c r="R73" s="2885"/>
      <c r="S73" s="2885"/>
    </row>
    <row r="74" spans="1:19" ht="18" customHeight="1" thickBot="1">
      <c r="A74" s="2564" t="s">
        <v>995</v>
      </c>
      <c r="D74" s="13"/>
      <c r="E74" s="13"/>
      <c r="F74" s="1535"/>
      <c r="G74" s="2870" t="s">
        <v>623</v>
      </c>
      <c r="H74" s="2871"/>
      <c r="I74" s="2871"/>
      <c r="J74" s="2872"/>
      <c r="K74" s="324"/>
      <c r="L74" s="188"/>
      <c r="M74" s="763" t="str">
        <f>IF(D33=0,"",(D43-E80)*100/D33)</f>
        <v/>
      </c>
      <c r="N74" s="879" t="str">
        <f>IF(E33=0,"",(E43-E80)*100/E33)</f>
        <v/>
      </c>
      <c r="O74" s="1576"/>
      <c r="Q74" s="158"/>
      <c r="R74" s="158"/>
    </row>
    <row r="75" spans="1:19" ht="27">
      <c r="A75" s="2755" t="s">
        <v>1741</v>
      </c>
      <c r="B75" s="2559" t="s">
        <v>874</v>
      </c>
      <c r="C75" s="2560"/>
      <c r="D75" s="2756" t="str">
        <f>"Kommunen  "&amp;År-1&amp;"  "</f>
        <v xml:space="preserve">Kommunen  2022  </v>
      </c>
      <c r="E75" s="813" t="s">
        <v>875</v>
      </c>
      <c r="F75" s="1535"/>
      <c r="G75" s="5"/>
      <c r="H75" s="5"/>
      <c r="I75" s="5"/>
      <c r="J75" s="5"/>
      <c r="K75" s="5"/>
      <c r="L75" s="188"/>
      <c r="M75" s="889" t="str">
        <f>"Föränd. %  "&amp;År-1&amp;" - "&amp;År&amp;" "</f>
        <v xml:space="preserve">Föränd. %  2022 - 2023 </v>
      </c>
      <c r="N75" s="889" t="s">
        <v>1740</v>
      </c>
    </row>
    <row r="76" spans="1:19" ht="17.25" customHeight="1">
      <c r="A76" s="722" t="s">
        <v>353</v>
      </c>
      <c r="B76" s="894" t="s">
        <v>932</v>
      </c>
      <c r="C76" s="2561"/>
      <c r="D76" s="895"/>
      <c r="E76" s="108"/>
      <c r="F76" s="2324" t="str">
        <f>IF(E76="","Skriv belopp eller 0","")</f>
        <v>Skriv belopp eller 0</v>
      </c>
      <c r="G76" s="5"/>
      <c r="H76" s="5"/>
      <c r="I76" s="5"/>
      <c r="J76" s="5"/>
      <c r="K76" s="5"/>
      <c r="L76" s="5"/>
      <c r="M76" s="890" t="str">
        <f t="shared" ref="M76:M81" si="0">IF(AND(D76=0,E76=0),"",IF(E76=0,1,IF(D76=0,-1,E76/D76-1)))</f>
        <v/>
      </c>
      <c r="N76" s="891" t="e">
        <f t="shared" ref="N76:N81" si="1">E76*1000/invanare</f>
        <v>#DIV/0!</v>
      </c>
      <c r="O76" s="1661"/>
      <c r="Q76" s="1566"/>
      <c r="R76" s="1566"/>
    </row>
    <row r="77" spans="1:19" ht="15.75" customHeight="1">
      <c r="A77" s="722" t="s">
        <v>354</v>
      </c>
      <c r="B77" s="896" t="s">
        <v>1774</v>
      </c>
      <c r="C77" s="705"/>
      <c r="D77" s="897"/>
      <c r="E77" s="108"/>
      <c r="F77" s="2324" t="str">
        <f t="shared" ref="F77:F79" si="2">IF(E77="","Skriv belopp eller 0","")</f>
        <v>Skriv belopp eller 0</v>
      </c>
      <c r="G77" s="5"/>
      <c r="H77" s="5"/>
      <c r="I77" s="5"/>
      <c r="J77" s="5"/>
      <c r="K77" s="5"/>
      <c r="L77" s="5"/>
      <c r="M77" s="892" t="str">
        <f t="shared" si="0"/>
        <v/>
      </c>
      <c r="N77" s="891" t="e">
        <f t="shared" si="1"/>
        <v>#DIV/0!</v>
      </c>
      <c r="O77" s="1576"/>
      <c r="Q77" s="1566"/>
      <c r="R77" s="1566"/>
    </row>
    <row r="78" spans="1:19" ht="18.75" customHeight="1">
      <c r="A78" s="722" t="s">
        <v>229</v>
      </c>
      <c r="B78" s="896" t="s">
        <v>933</v>
      </c>
      <c r="C78" s="705"/>
      <c r="D78" s="897"/>
      <c r="E78" s="108"/>
      <c r="F78" s="2324" t="str">
        <f t="shared" si="2"/>
        <v>Skriv belopp eller 0</v>
      </c>
      <c r="G78" s="5"/>
      <c r="H78" s="5"/>
      <c r="I78" s="5"/>
      <c r="J78" s="5"/>
      <c r="K78" s="5"/>
      <c r="L78" s="5"/>
      <c r="M78" s="892" t="str">
        <f t="shared" si="0"/>
        <v/>
      </c>
      <c r="N78" s="891" t="e">
        <f t="shared" si="1"/>
        <v>#DIV/0!</v>
      </c>
      <c r="O78" s="1576"/>
      <c r="Q78" s="1566"/>
      <c r="R78" s="1566"/>
    </row>
    <row r="79" spans="1:19" ht="18">
      <c r="A79" s="722" t="s">
        <v>355</v>
      </c>
      <c r="B79" s="2562" t="s">
        <v>1775</v>
      </c>
      <c r="C79" s="2563" t="s">
        <v>1371</v>
      </c>
      <c r="D79" s="897"/>
      <c r="E79" s="108"/>
      <c r="F79" s="2324" t="str">
        <f t="shared" si="2"/>
        <v>Skriv belopp eller 0</v>
      </c>
      <c r="G79" s="5"/>
      <c r="H79" s="5"/>
      <c r="I79" s="5"/>
      <c r="J79" s="5"/>
      <c r="K79" s="5"/>
      <c r="L79" s="5"/>
      <c r="M79" s="892" t="str">
        <f t="shared" si="0"/>
        <v/>
      </c>
      <c r="N79" s="891" t="e">
        <f t="shared" si="1"/>
        <v>#DIV/0!</v>
      </c>
      <c r="O79" s="1576"/>
      <c r="Q79" s="1566"/>
      <c r="R79" s="1566"/>
    </row>
    <row r="80" spans="1:19" ht="18.75" customHeight="1">
      <c r="A80" s="722" t="s">
        <v>356</v>
      </c>
      <c r="B80" s="2540" t="s">
        <v>1372</v>
      </c>
      <c r="C80" s="2541" t="s">
        <v>1373</v>
      </c>
      <c r="D80" s="897"/>
      <c r="E80" s="206">
        <v>0</v>
      </c>
      <c r="F80" s="256" t="str">
        <f>IF(E80=0,"Belopp saknas","")</f>
        <v>Belopp saknas</v>
      </c>
      <c r="G80" s="5"/>
      <c r="H80" s="5"/>
      <c r="I80" s="5"/>
      <c r="J80" s="5"/>
      <c r="K80" s="224"/>
      <c r="L80" s="5"/>
      <c r="M80" s="892" t="str">
        <f t="shared" si="0"/>
        <v/>
      </c>
      <c r="N80" s="891" t="e">
        <f t="shared" si="1"/>
        <v>#DIV/0!</v>
      </c>
      <c r="O80" s="1576"/>
      <c r="Q80" s="1566"/>
      <c r="R80" s="1566"/>
    </row>
    <row r="81" spans="1:18" ht="15" customHeight="1" thickBot="1">
      <c r="A81" s="726" t="s">
        <v>357</v>
      </c>
      <c r="B81" s="898" t="s">
        <v>934</v>
      </c>
      <c r="C81" s="899"/>
      <c r="D81" s="900">
        <f>SUM(D76:D80)</f>
        <v>0</v>
      </c>
      <c r="E81" s="433">
        <f>SUM(E76:E80)</f>
        <v>0</v>
      </c>
      <c r="F81" s="256"/>
      <c r="G81" s="1759" t="s">
        <v>1201</v>
      </c>
      <c r="H81" s="1760"/>
      <c r="I81" s="894" t="s">
        <v>1196</v>
      </c>
      <c r="J81" s="328"/>
      <c r="K81" s="155" t="str">
        <f>IF(AND(E81=0,J81=0),"",IF(J81="","rad 161: skriv belopp eller 0",IF(SUM(E76:E79)-J81&gt;1, "Raderna 121-140 summerar inte till därav-rad 161. Kontrollera så att allt som avser lån är specificerat",IF(SUM(J81)&gt;(SUM(E76:E79)),"Däravrad 161 &gt; Summa av raderna 121, 122, 130 och 140",""))))</f>
        <v/>
      </c>
      <c r="L81" s="5"/>
      <c r="M81" s="893" t="str">
        <f t="shared" si="0"/>
        <v/>
      </c>
      <c r="N81" s="776" t="e">
        <f t="shared" si="1"/>
        <v>#DIV/0!</v>
      </c>
      <c r="O81" s="1576"/>
      <c r="Q81" s="1566"/>
      <c r="R81" s="1566"/>
    </row>
    <row r="82" spans="1:18">
      <c r="A82" s="14"/>
      <c r="B82" s="1"/>
      <c r="C82" s="1"/>
      <c r="D82" s="1"/>
      <c r="E82" s="1"/>
      <c r="F82" s="1535"/>
      <c r="G82" s="1868" t="s">
        <v>1202</v>
      </c>
      <c r="H82" s="1755"/>
      <c r="I82" s="1826" t="s">
        <v>1199</v>
      </c>
      <c r="J82" s="327"/>
      <c r="K82" s="155" t="str">
        <f>IF(AND(J81=0,J82=0),"",IF(J82="","rad 162: skriv belopp eller 0",IF(SUM(J82)&gt;J81,"Varav-rad 162 &gt; rad 161 ",IF(J82&gt;SUM(E76+E78),"varför är rad 162   " &amp;" "&amp;(ROUND(J82-SUM(E76+E78),0))&amp; "tkr större än summan av raderna 121 och 130 (offentligt ägda bolag)?",""))))</f>
        <v/>
      </c>
      <c r="L82" s="5"/>
      <c r="M82" s="5"/>
      <c r="N82" s="5"/>
      <c r="O82" s="1576"/>
      <c r="Q82" s="156"/>
      <c r="R82" s="156"/>
    </row>
    <row r="83" spans="1:18">
      <c r="A83" s="14"/>
      <c r="B83" s="1"/>
      <c r="C83" s="1"/>
      <c r="D83" s="1"/>
      <c r="E83" s="1"/>
      <c r="F83" s="1535"/>
      <c r="G83" s="1665"/>
      <c r="H83" s="1890"/>
      <c r="I83" s="1566"/>
      <c r="J83" s="1811"/>
      <c r="K83" s="155"/>
      <c r="L83" s="5"/>
      <c r="M83" s="5"/>
      <c r="N83" s="5"/>
      <c r="O83" s="1576"/>
      <c r="Q83" s="156"/>
      <c r="R83" s="156"/>
    </row>
    <row r="84" spans="1:18" ht="16.5" thickBot="1">
      <c r="A84" s="83" t="s">
        <v>206</v>
      </c>
      <c r="B84" s="5"/>
      <c r="C84" s="5"/>
      <c r="D84" s="5"/>
      <c r="E84" s="5"/>
      <c r="F84" s="1535"/>
      <c r="G84" s="5"/>
      <c r="H84" s="5"/>
      <c r="I84" s="5"/>
      <c r="J84" s="155"/>
      <c r="K84" s="2099"/>
      <c r="L84" s="406"/>
      <c r="M84" s="5"/>
      <c r="N84" s="5"/>
    </row>
    <row r="85" spans="1:18" ht="13.5" thickBot="1">
      <c r="A85" s="2757" t="s">
        <v>352</v>
      </c>
      <c r="B85" s="2758" t="str">
        <f>"Ackumulerat  ej återställt negativt balanskravsresultat inkl. "&amp;År&amp;" års balanskravsresultat"</f>
        <v>Ackumulerat  ej återställt negativt balanskravsresultat inkl. 2023 års balanskravsresultat</v>
      </c>
      <c r="C85" s="2759"/>
      <c r="D85" s="2760"/>
      <c r="E85" s="2761"/>
      <c r="F85" s="256" t="str">
        <f>IF(E85="","Skriv belopp eller 0 på rad 108",IF(E85&lt;0,"Inga minustecken ska anges på rad 108",""))</f>
        <v>Skriv belopp eller 0 på rad 108</v>
      </c>
      <c r="G85" s="5"/>
      <c r="H85" s="5"/>
      <c r="I85" s="5"/>
      <c r="J85" s="5"/>
      <c r="K85" s="155"/>
      <c r="L85" s="5"/>
      <c r="M85" s="5"/>
      <c r="N85" s="5"/>
      <c r="Q85" s="1566"/>
      <c r="R85" s="1566"/>
    </row>
    <row r="86" spans="1:18">
      <c r="A86" s="2423"/>
      <c r="B86" s="2424"/>
      <c r="C86" s="2424"/>
      <c r="D86" s="2425"/>
      <c r="E86" s="2422"/>
      <c r="F86" s="256"/>
      <c r="G86" s="5"/>
      <c r="H86" s="5"/>
      <c r="I86" s="5"/>
      <c r="J86" s="5"/>
      <c r="K86" s="5"/>
      <c r="L86" s="5"/>
      <c r="M86" s="5"/>
      <c r="N86" s="5"/>
      <c r="Q86" s="1566"/>
      <c r="R86" s="1566"/>
    </row>
    <row r="87" spans="1:18">
      <c r="A87" s="144" t="s">
        <v>632</v>
      </c>
      <c r="B87" s="1"/>
      <c r="C87" s="1"/>
      <c r="D87" s="1"/>
      <c r="E87" s="1"/>
      <c r="F87" s="224"/>
      <c r="G87" s="5"/>
      <c r="H87" s="5"/>
      <c r="I87" s="5"/>
      <c r="J87" s="5"/>
      <c r="K87" s="5"/>
      <c r="L87" s="5"/>
      <c r="M87" s="5"/>
      <c r="N87" s="5"/>
      <c r="Q87" s="187"/>
      <c r="R87" s="187"/>
    </row>
    <row r="88" spans="1:18">
      <c r="A88" s="2873"/>
      <c r="B88" s="2874"/>
      <c r="C88" s="2874"/>
      <c r="D88" s="2874"/>
      <c r="E88" s="2875"/>
      <c r="F88" s="224"/>
      <c r="G88" s="5"/>
      <c r="H88" s="5"/>
      <c r="I88" s="5"/>
      <c r="J88" s="5"/>
      <c r="K88" s="5"/>
      <c r="L88" s="5"/>
      <c r="M88" s="5"/>
      <c r="N88" s="5"/>
    </row>
    <row r="89" spans="1:18">
      <c r="A89" s="2876"/>
      <c r="B89" s="2877"/>
      <c r="C89" s="2877"/>
      <c r="D89" s="2877"/>
      <c r="E89" s="2878"/>
      <c r="F89" s="224"/>
      <c r="G89" s="5"/>
      <c r="H89" s="5"/>
      <c r="I89" s="5"/>
      <c r="J89" s="5"/>
      <c r="K89" s="5"/>
      <c r="L89" s="5"/>
      <c r="M89" s="5"/>
      <c r="N89" s="5"/>
      <c r="P89" s="189"/>
      <c r="Q89" s="187"/>
      <c r="R89" s="187"/>
    </row>
    <row r="90" spans="1:18">
      <c r="A90" s="2876"/>
      <c r="B90" s="2877"/>
      <c r="C90" s="2877"/>
      <c r="D90" s="2877"/>
      <c r="E90" s="2878"/>
      <c r="F90" s="224"/>
      <c r="G90" s="5"/>
      <c r="H90" s="5"/>
      <c r="I90" s="5"/>
      <c r="J90" s="5"/>
      <c r="K90" s="5"/>
      <c r="L90" s="5"/>
      <c r="M90" s="5"/>
      <c r="N90" s="5"/>
      <c r="P90" s="189"/>
      <c r="Q90" s="187"/>
      <c r="R90" s="187"/>
    </row>
    <row r="91" spans="1:18">
      <c r="A91" s="2879"/>
      <c r="B91" s="2880"/>
      <c r="C91" s="2880"/>
      <c r="D91" s="2880"/>
      <c r="E91" s="2881"/>
      <c r="K91" s="5"/>
      <c r="L91" s="5"/>
      <c r="P91" s="189"/>
      <c r="Q91" s="187"/>
      <c r="R91" s="187"/>
    </row>
    <row r="92" spans="1:18">
      <c r="L92" s="5"/>
      <c r="Q92" s="187"/>
      <c r="R92" s="187"/>
    </row>
    <row r="93" spans="1:18"/>
    <row r="96" spans="1:18"/>
    <row r="97"/>
    <row r="112"/>
    <row r="114"/>
    <row r="115"/>
    <row r="116"/>
  </sheetData>
  <customSheetViews>
    <customSheetView guid="{97D6DB71-3F4C-4C5F-8C5B-51E3EBF78932}" showPageBreaks="1" showGridLines="0" hiddenRows="1" hiddenColumns="1" topLeftCell="A37">
      <selection activeCell="F38" sqref="F38"/>
      <pageMargins left="0.11811023622047245" right="0.11811023622047245" top="0.74803149606299213" bottom="0.74803149606299213" header="0.31496062992125984" footer="0.31496062992125984"/>
      <pageSetup paperSize="9" scale="80" orientation="landscape" r:id="rId1"/>
      <headerFooter>
        <oddHeader>&amp;L&amp;8Statistiska Centralbyrån
Offentlig ekonomi&amp;R&amp;P</oddHeader>
      </headerFooter>
    </customSheetView>
    <customSheetView guid="{99FBDEB7-DD08-4F57-81F4-3C180403E153}" showGridLines="0" hiddenRows="1" hiddenColumns="1" topLeftCell="A37">
      <selection activeCell="F38" sqref="F38"/>
      <pageMargins left="0.11811023622047245" right="0.11811023622047245" top="0.74803149606299213" bottom="0.74803149606299213" header="0.31496062992125984" footer="0.31496062992125984"/>
      <pageSetup paperSize="9" scale="80" orientation="landscape" r:id="rId2"/>
      <headerFooter>
        <oddHeader>&amp;L&amp;8Statistiska Centralbyrån
Offentlig ekonomi&amp;R&amp;P</oddHeader>
      </headerFooter>
    </customSheetView>
    <customSheetView guid="{27C9E95B-0E2B-454F-B637-1CECC9579A10}" showGridLines="0" hiddenRows="1" showRuler="0">
      <selection activeCell="I75" sqref="I75"/>
      <pageMargins left="0.11811023622047245" right="0.11811023622047245" top="0.74803149606299213" bottom="0.74803149606299213" header="0.31496062992125984" footer="0.31496062992125984"/>
      <pageSetup paperSize="9" scale="80" orientation="landscape" r:id="rId3"/>
      <headerFooter alignWithMargins="0">
        <oddHeader>&amp;L&amp;8Statistiska Centralbyrån
Offentlig ekonomi&amp;R&amp;P</oddHeader>
      </headerFooter>
    </customSheetView>
  </customSheetViews>
  <mergeCells count="9">
    <mergeCell ref="M4:N4"/>
    <mergeCell ref="M37:N37"/>
    <mergeCell ref="G74:J74"/>
    <mergeCell ref="A88:E91"/>
    <mergeCell ref="T5:T6"/>
    <mergeCell ref="S5:S6"/>
    <mergeCell ref="Q72:S73"/>
    <mergeCell ref="B5:B6"/>
    <mergeCell ref="G44:K45"/>
  </mergeCells>
  <phoneticPr fontId="95" type="noConversion"/>
  <conditionalFormatting sqref="D19:E19 D9:D11 D13:D15 E9 E12 E17 E30:E31 D31 E86 D46:D48 E50 J13:K13 J15:K15 J22 M24:N24 J27:K27 J49:K49 E68 E76:E80 J56:K56 D58:D67 D21:E21 D23:D25 D27:D29 J58:K61 D51:D56 K65 J64">
    <cfRule type="cellIs" dxfId="190" priority="25" stopIfTrue="1" operator="lessThan">
      <formula>-500</formula>
    </cfRule>
  </conditionalFormatting>
  <conditionalFormatting sqref="D22">
    <cfRule type="cellIs" dxfId="189" priority="23" stopIfTrue="1" operator="lessThan">
      <formula>-500</formula>
    </cfRule>
  </conditionalFormatting>
  <conditionalFormatting sqref="K84 J81:J83">
    <cfRule type="cellIs" dxfId="188" priority="18" stopIfTrue="1" operator="lessThan">
      <formula>0</formula>
    </cfRule>
    <cfRule type="cellIs" dxfId="187" priority="22" stopIfTrue="1" operator="lessThan">
      <formula>-500</formula>
    </cfRule>
  </conditionalFormatting>
  <conditionalFormatting sqref="J20:K20">
    <cfRule type="cellIs" dxfId="186" priority="21" stopIfTrue="1" operator="lessThan">
      <formula>-500</formula>
    </cfRule>
  </conditionalFormatting>
  <conditionalFormatting sqref="D19:E19">
    <cfRule type="cellIs" dxfId="185" priority="20" stopIfTrue="1" operator="lessThan">
      <formula>0</formula>
    </cfRule>
  </conditionalFormatting>
  <conditionalFormatting sqref="E86">
    <cfRule type="cellIs" dxfId="184" priority="19" stopIfTrue="1" operator="lessThan">
      <formula>0</formula>
    </cfRule>
  </conditionalFormatting>
  <conditionalFormatting sqref="J50:K50">
    <cfRule type="cellIs" dxfId="183" priority="17" stopIfTrue="1" operator="lessThan">
      <formula>-500</formula>
    </cfRule>
  </conditionalFormatting>
  <conditionalFormatting sqref="J25">
    <cfRule type="cellIs" dxfId="182" priority="16" stopIfTrue="1" operator="lessThan">
      <formula>-500</formula>
    </cfRule>
  </conditionalFormatting>
  <conditionalFormatting sqref="J57:K57">
    <cfRule type="cellIs" dxfId="181" priority="15" stopIfTrue="1" operator="lessThan">
      <formula>-500</formula>
    </cfRule>
  </conditionalFormatting>
  <conditionalFormatting sqref="J54:K54">
    <cfRule type="cellIs" dxfId="180" priority="14" stopIfTrue="1" operator="lessThan">
      <formula>-500</formula>
    </cfRule>
  </conditionalFormatting>
  <conditionalFormatting sqref="J62:K62">
    <cfRule type="cellIs" dxfId="179" priority="12" stopIfTrue="1" operator="lessThan">
      <formula>-500</formula>
    </cfRule>
  </conditionalFormatting>
  <conditionalFormatting sqref="J26">
    <cfRule type="cellIs" dxfId="178" priority="10" stopIfTrue="1" operator="lessThan">
      <formula>-500</formula>
    </cfRule>
  </conditionalFormatting>
  <conditionalFormatting sqref="M24">
    <cfRule type="cellIs" dxfId="177" priority="8" stopIfTrue="1" operator="lessThan">
      <formula>-500</formula>
    </cfRule>
  </conditionalFormatting>
  <conditionalFormatting sqref="J26">
    <cfRule type="cellIs" dxfId="176" priority="7" stopIfTrue="1" operator="lessThan">
      <formula>-500</formula>
    </cfRule>
  </conditionalFormatting>
  <conditionalFormatting sqref="J25">
    <cfRule type="cellIs" dxfId="175" priority="6" stopIfTrue="1" operator="lessThan">
      <formula>-500</formula>
    </cfRule>
  </conditionalFormatting>
  <conditionalFormatting sqref="J24">
    <cfRule type="cellIs" dxfId="174" priority="5" stopIfTrue="1" operator="lessThan">
      <formula>-500</formula>
    </cfRule>
  </conditionalFormatting>
  <conditionalFormatting sqref="D50">
    <cfRule type="cellIs" dxfId="173" priority="4" stopIfTrue="1" operator="lessThan">
      <formula>-500</formula>
    </cfRule>
  </conditionalFormatting>
  <conditionalFormatting sqref="D45">
    <cfRule type="cellIs" dxfId="172" priority="3" stopIfTrue="1" operator="lessThan">
      <formula>-500</formula>
    </cfRule>
  </conditionalFormatting>
  <conditionalFormatting sqref="E45">
    <cfRule type="cellIs" dxfId="171" priority="1" stopIfTrue="1" operator="lessThan">
      <formula>-500</formula>
    </cfRule>
  </conditionalFormatting>
  <dataValidations count="5">
    <dataValidation type="decimal" operator="lessThan" allowBlank="1" showInputMessage="1" showErrorMessage="1" error="Beloppet ska vara i 1000 tal kronor" sqref="D9:E9 E76:E80 J49:K50 J13 J20 E68 J15 D50:D56 E50:E52 J22 D58:D67 D31 E30:E31 D46:D48 D21:E21 D19:E19 E17 D13:D16 E12 D10:D11 D39:E42 D22:D29 K56:K57 K62 K68:K69 J81:J83 E26 E54:E56 J56:J62 M24 J24 D44:E45 E85:E86 J64 K65" xr:uid="{00000000-0002-0000-0200-000000000000}">
      <formula1>999999999</formula1>
    </dataValidation>
    <dataValidation type="decimal" operator="lessThan" allowBlank="1" showInputMessage="1" showErrorMessage="1" error="Beloppet ska vara i 1000-tal kronor" sqref="J54:K54" xr:uid="{00000000-0002-0000-0200-000001000000}">
      <formula1>999999999</formula1>
    </dataValidation>
    <dataValidation type="decimal" operator="lessThan" allowBlank="1" showInputMessage="1" error="Beloppet ska vara i 1000 tal kronor" sqref="K13" xr:uid="{00000000-0002-0000-0200-000002000000}">
      <formula1>999999</formula1>
    </dataValidation>
    <dataValidation type="decimal" operator="lessThan" allowBlank="1" showInputMessage="1" error="Beloppet ska vara i 1000 tal kronor" sqref="K15" xr:uid="{00000000-0002-0000-0200-000003000000}">
      <formula1>999999999</formula1>
    </dataValidation>
    <dataValidation allowBlank="1" showInputMessage="1" sqref="K20:K21 N24 K23:K24 K26:K31" xr:uid="{00000000-0002-0000-0200-000004000000}"/>
  </dataValidations>
  <pageMargins left="0.11811023622047245" right="0.11811023622047245" top="0.74803149606299213" bottom="0.74803149606299213" header="0.31496062992125984" footer="0.31496062992125984"/>
  <pageSetup paperSize="9" scale="80" orientation="landscape" r:id="rId4"/>
  <headerFooter>
    <oddHeader>&amp;L&amp;8Statistiska Centralbyrån
Offentlig ekonomi&amp;R&amp;P</oddHeader>
  </headerFooter>
  <rowBreaks count="1" manualBreakCount="1">
    <brk id="50" max="16383" man="1"/>
  </rowBreaks>
  <ignoredErrors>
    <ignoredError sqref="B15:B16 A22:B23 A9:A21 B19 B25 B27:B30 A24:A33 H13 G15:H15 G20:H20 G22 A39:A44 B40 B43 A51:A60 B55:B56 B58:B59 A62:A69 B63 B65:B66 G49:H49 G54 H58:H59 G68:G69 H69 A76:A81 A85 G56:G60" numberStoredAsText="1"/>
  </ignoredErrors>
  <drawing r:id="rId5"/>
  <legacyDrawing r:id="rId6"/>
  <extLst>
    <ext xmlns:x14="http://schemas.microsoft.com/office/spreadsheetml/2009/9/main" uri="{78C0D931-6437-407d-A8EE-F0AAD7539E65}">
      <x14:conditionalFormattings>
        <x14:conditionalFormatting xmlns:xm="http://schemas.microsoft.com/office/excel/2006/main">
          <x14:cfRule type="expression" priority="11" id="{89A593CB-DD23-418B-BE85-5879A9E23E30}">
            <xm:f>ABS(O44+RR!C37-RR!C38-D44)&gt;50</xm:f>
            <x14:dxf>
              <font>
                <color auto="1"/>
              </font>
              <fill>
                <patternFill>
                  <bgColor theme="9" tint="0.59996337778862885"/>
                </patternFill>
              </fill>
            </x14:dxf>
          </x14:cfRule>
          <xm:sqref>G44:K45</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93"/>
  <sheetViews>
    <sheetView showGridLines="0" topLeftCell="B1" zoomScale="96" zoomScaleNormal="96" workbookViewId="0">
      <pane ySplit="1" topLeftCell="A2" activePane="bottomLeft" state="frozen"/>
      <selection activeCell="F36" sqref="F36"/>
      <selection pane="bottomLeft" activeCell="I45" sqref="I45"/>
    </sheetView>
  </sheetViews>
  <sheetFormatPr defaultColWidth="0" defaultRowHeight="0" customHeight="1" zeroHeight="1"/>
  <cols>
    <col min="1" max="1" width="4" style="187" customWidth="1"/>
    <col min="2" max="2" width="14.42578125" style="187" customWidth="1"/>
    <col min="3" max="3" width="40.42578125" style="187" customWidth="1"/>
    <col min="4" max="4" width="11.5703125" style="187" customWidth="1"/>
    <col min="5" max="5" width="26.28515625" style="187" customWidth="1"/>
    <col min="6" max="6" width="4" style="187" customWidth="1"/>
    <col min="7" max="7" width="8.42578125" style="187" customWidth="1"/>
    <col min="8" max="8" width="30.5703125" style="187" customWidth="1"/>
    <col min="9" max="9" width="9.42578125" style="187" customWidth="1"/>
    <col min="10" max="10" width="29.42578125" style="187" customWidth="1"/>
    <col min="11" max="11" width="1.5703125" style="187" customWidth="1"/>
    <col min="12" max="12" width="4.42578125" style="187" customWidth="1"/>
    <col min="13" max="13" width="9.42578125" style="187" customWidth="1"/>
    <col min="14" max="14" width="9.140625" style="187" customWidth="1"/>
    <col min="15" max="15" width="15" style="187" customWidth="1"/>
    <col min="16" max="16" width="1.5703125" style="187" customWidth="1"/>
    <col min="17" max="17" width="3.5703125" style="187" customWidth="1"/>
    <col min="18" max="18" width="13.5703125" style="519" customWidth="1"/>
    <col min="19" max="19" width="4.42578125" style="519" customWidth="1"/>
    <col min="20" max="20" width="8.42578125" style="187" customWidth="1"/>
    <col min="21" max="21" width="8" style="187" customWidth="1"/>
    <col min="22" max="22" width="16" style="187" customWidth="1"/>
    <col min="23" max="25" width="9.42578125" style="187" customWidth="1"/>
    <col min="26" max="16384" width="0" style="187" hidden="1"/>
  </cols>
  <sheetData>
    <row r="1" spans="1:20" s="224" customFormat="1" ht="20.25">
      <c r="A1" s="102" t="str">
        <f>"Verksamhetens intäkter och kostnader "&amp;År&amp;", 1 000 tal kr"</f>
        <v>Verksamhetens intäkter och kostnader 2023, 1 000 tal kr</v>
      </c>
      <c r="B1" s="186"/>
      <c r="C1" s="186"/>
      <c r="D1" s="186"/>
      <c r="E1" s="186"/>
      <c r="F1" s="186"/>
      <c r="G1" s="186"/>
      <c r="H1" s="630"/>
      <c r="I1" s="626">
        <f>Information!B3</f>
        <v>0</v>
      </c>
      <c r="J1" s="627">
        <f>Information!B2</f>
        <v>0</v>
      </c>
      <c r="K1" s="627"/>
      <c r="L1" s="627"/>
      <c r="M1" s="627"/>
      <c r="N1" s="627"/>
      <c r="O1" s="627"/>
      <c r="P1" s="1650"/>
      <c r="Q1" s="187"/>
      <c r="R1" s="187"/>
      <c r="S1" s="187"/>
      <c r="T1" s="187"/>
    </row>
    <row r="2" spans="1:20" s="224" customFormat="1" ht="12.75" customHeight="1">
      <c r="A2" s="1489"/>
      <c r="D2" s="435"/>
      <c r="E2" s="48" t="s">
        <v>628</v>
      </c>
      <c r="F2" s="5"/>
      <c r="G2" s="5"/>
      <c r="I2" s="430"/>
      <c r="J2" s="88" t="s">
        <v>996</v>
      </c>
      <c r="K2" s="48"/>
      <c r="Q2" s="187"/>
      <c r="R2" s="187"/>
      <c r="S2" s="187"/>
      <c r="T2" s="187"/>
    </row>
    <row r="3" spans="1:20" s="224" customFormat="1" ht="12.75" customHeight="1">
      <c r="D3" s="1704"/>
      <c r="E3" s="88" t="s">
        <v>1076</v>
      </c>
      <c r="F3" s="5"/>
      <c r="G3" s="5"/>
      <c r="I3" s="107"/>
      <c r="J3" s="48" t="s">
        <v>627</v>
      </c>
      <c r="K3" s="48"/>
      <c r="Q3" s="187"/>
      <c r="R3" s="187"/>
      <c r="S3" s="187"/>
      <c r="T3" s="187"/>
    </row>
    <row r="4" spans="1:20" s="224" customFormat="1" ht="16.5" customHeight="1" thickBot="1">
      <c r="A4" s="83" t="s">
        <v>375</v>
      </c>
      <c r="B4" s="5"/>
      <c r="C4" s="5"/>
      <c r="D4" s="5"/>
      <c r="E4" s="88" t="s">
        <v>1052</v>
      </c>
      <c r="H4" s="5"/>
      <c r="I4" s="5"/>
      <c r="J4" s="5"/>
      <c r="K4" s="5"/>
      <c r="L4" s="1568" t="str">
        <f>"Kontroller av förändring mellan "&amp;År-1&amp;" och "&amp;År&amp;""</f>
        <v>Kontroller av förändring mellan 2022 och 2023</v>
      </c>
      <c r="Q4" s="187"/>
      <c r="R4" s="187"/>
      <c r="S4" s="187"/>
      <c r="T4" s="187"/>
    </row>
    <row r="5" spans="1:20" s="224" customFormat="1" ht="12.75" customHeight="1">
      <c r="A5" s="739" t="s">
        <v>873</v>
      </c>
      <c r="B5" s="2784" t="str">
        <f>"BAS "&amp;År-2000&amp;""</f>
        <v>BAS 23</v>
      </c>
      <c r="C5" s="738"/>
      <c r="D5" s="915"/>
      <c r="E5" s="5"/>
      <c r="H5" s="5"/>
      <c r="I5" s="5"/>
      <c r="J5" s="5"/>
      <c r="K5" s="5"/>
      <c r="L5" s="739" t="s">
        <v>873</v>
      </c>
      <c r="M5" s="917" t="s">
        <v>516</v>
      </c>
      <c r="N5" s="917" t="s">
        <v>992</v>
      </c>
      <c r="O5" s="918" t="s">
        <v>40</v>
      </c>
      <c r="P5" s="1651"/>
      <c r="Q5" s="98"/>
      <c r="R5" s="526"/>
      <c r="S5" s="98"/>
      <c r="T5" s="1567"/>
    </row>
    <row r="6" spans="1:20" s="224" customFormat="1" ht="15.75" customHeight="1">
      <c r="A6" s="901" t="s">
        <v>876</v>
      </c>
      <c r="B6" s="2890"/>
      <c r="C6" s="903"/>
      <c r="D6" s="916"/>
      <c r="E6" s="5"/>
      <c r="H6" s="74"/>
      <c r="I6" s="74"/>
      <c r="J6" s="5"/>
      <c r="K6" s="5"/>
      <c r="L6" s="901" t="s">
        <v>876</v>
      </c>
      <c r="M6" s="919">
        <f>År-1</f>
        <v>2022</v>
      </c>
      <c r="N6" s="919" t="str">
        <f>År-1&amp;-År</f>
        <v>2022-2023</v>
      </c>
      <c r="O6" s="920"/>
      <c r="P6" s="1651"/>
      <c r="Q6" s="1886"/>
      <c r="R6" s="1654"/>
      <c r="S6" s="293"/>
      <c r="T6" s="2565"/>
    </row>
    <row r="7" spans="1:20" s="224" customFormat="1" ht="15" customHeight="1">
      <c r="A7" s="904"/>
      <c r="B7" s="2891"/>
      <c r="C7" s="905"/>
      <c r="D7" s="826"/>
      <c r="E7" s="5"/>
      <c r="H7" s="74"/>
      <c r="I7" s="74"/>
      <c r="J7" s="5"/>
      <c r="K7" s="5"/>
      <c r="L7" s="904"/>
      <c r="M7" s="921"/>
      <c r="N7" s="922" t="s">
        <v>993</v>
      </c>
      <c r="O7" s="923"/>
      <c r="P7" s="1651"/>
      <c r="Q7" s="96"/>
      <c r="R7" s="1887"/>
      <c r="S7" s="1605"/>
      <c r="T7" s="1888"/>
    </row>
    <row r="8" spans="1:20" s="224" customFormat="1" ht="13.5" thickBot="1">
      <c r="A8" s="688">
        <v>130</v>
      </c>
      <c r="B8" s="2781" t="s">
        <v>1008</v>
      </c>
      <c r="C8" s="2780" t="s">
        <v>1780</v>
      </c>
      <c r="D8" s="244"/>
      <c r="E8" s="197"/>
      <c r="F8" s="5"/>
      <c r="G8" s="5"/>
      <c r="H8" s="74"/>
      <c r="I8" s="74"/>
      <c r="J8" s="5"/>
      <c r="K8" s="5"/>
      <c r="L8" s="688">
        <v>130</v>
      </c>
      <c r="M8" s="1544"/>
      <c r="N8" s="924">
        <f>IF(ISERROR((D8-M8)/M8),0,((D8-M8)/M8))</f>
        <v>0</v>
      </c>
      <c r="O8" s="2800" t="str">
        <f>IF(AND(ABS(N8)&gt;50%,ABS(D8-M8)&gt;50000),"Kommentera förändringen",IF(AND(ABS(N8)&gt;40%,ABS(D8-M8)&gt;20000),"Kontrollera förändringen",""))</f>
        <v/>
      </c>
      <c r="P8" s="1652"/>
      <c r="Q8" s="1654"/>
      <c r="R8" s="1654"/>
      <c r="S8" s="1654"/>
      <c r="T8" s="187"/>
    </row>
    <row r="9" spans="1:20" s="224" customFormat="1" ht="12.75">
      <c r="A9" s="907">
        <v>200</v>
      </c>
      <c r="B9" s="908">
        <v>311</v>
      </c>
      <c r="C9" s="909" t="s">
        <v>935</v>
      </c>
      <c r="D9" s="194"/>
      <c r="E9" s="197"/>
      <c r="F9" s="5"/>
      <c r="G9" s="5"/>
      <c r="H9" s="74"/>
      <c r="I9" s="74"/>
      <c r="J9" s="5"/>
      <c r="K9" s="5"/>
      <c r="L9" s="1497"/>
      <c r="M9" s="1545"/>
      <c r="N9" s="1494"/>
      <c r="O9" s="1502"/>
      <c r="P9" s="1652"/>
      <c r="Q9" s="1590"/>
      <c r="R9" s="1590"/>
      <c r="S9" s="1590"/>
      <c r="T9" s="187"/>
    </row>
    <row r="10" spans="1:20" s="224" customFormat="1" ht="12.75">
      <c r="A10" s="910">
        <v>210</v>
      </c>
      <c r="B10" s="806">
        <v>312</v>
      </c>
      <c r="C10" s="913" t="s">
        <v>1627</v>
      </c>
      <c r="D10" s="194"/>
      <c r="E10" s="197"/>
      <c r="F10" s="5"/>
      <c r="G10" s="5"/>
      <c r="H10" s="74"/>
      <c r="I10" s="74"/>
      <c r="J10" s="5"/>
      <c r="K10" s="5"/>
      <c r="L10" s="1498"/>
      <c r="M10" s="1237"/>
      <c r="N10" s="1495"/>
      <c r="O10" s="1503"/>
      <c r="P10" s="1652"/>
      <c r="Q10" s="1590"/>
      <c r="R10" s="1590"/>
      <c r="S10" s="1590"/>
      <c r="T10" s="187"/>
    </row>
    <row r="11" spans="1:20" s="224" customFormat="1" ht="19.5" customHeight="1">
      <c r="A11" s="910">
        <v>280</v>
      </c>
      <c r="B11" s="2532">
        <v>313</v>
      </c>
      <c r="C11" s="909" t="s">
        <v>936</v>
      </c>
      <c r="D11" s="194"/>
      <c r="E11" s="197"/>
      <c r="F11" s="5"/>
      <c r="G11" s="5"/>
      <c r="H11" s="74"/>
      <c r="I11" s="74"/>
      <c r="J11" s="5"/>
      <c r="K11" s="5"/>
      <c r="L11" s="907"/>
      <c r="M11" s="1465"/>
      <c r="N11" s="1518"/>
      <c r="O11" s="1504"/>
      <c r="P11" s="1652"/>
      <c r="Q11" s="1590"/>
      <c r="R11" s="1889"/>
      <c r="S11" s="1889"/>
      <c r="T11" s="187"/>
    </row>
    <row r="12" spans="1:20" s="224" customFormat="1" ht="13.5" thickBot="1">
      <c r="A12" s="911">
        <v>290</v>
      </c>
      <c r="B12" s="2782"/>
      <c r="C12" s="912" t="s">
        <v>937</v>
      </c>
      <c r="D12" s="436">
        <f>SUM(D9:D11)</f>
        <v>0</v>
      </c>
      <c r="E12" s="197"/>
      <c r="F12" s="188"/>
      <c r="G12" s="5"/>
      <c r="H12" s="74"/>
      <c r="I12" s="74"/>
      <c r="J12" s="5"/>
      <c r="K12" s="5"/>
      <c r="L12" s="911">
        <v>290</v>
      </c>
      <c r="M12" s="1473">
        <v>0</v>
      </c>
      <c r="N12" s="1517">
        <f>IF(ISERROR((D12-M12)/M12),0,((D12-M12)/M12))</f>
        <v>0</v>
      </c>
      <c r="O12" s="2801" t="str">
        <f>IF(AND(ABS(N12)&gt;50%,ABS(D12-M12)&gt;50000),"Kommentera förändringen",IF(AND(ABS(N12)&gt;20%,ABS(D12-M12)&gt;20000),"Kontrollera förändringen",""))</f>
        <v/>
      </c>
      <c r="P12" s="1652"/>
      <c r="Q12" s="1590"/>
      <c r="R12" s="1590"/>
      <c r="S12" s="1590"/>
      <c r="T12" s="187"/>
    </row>
    <row r="13" spans="1:20" s="224" customFormat="1" ht="12.75">
      <c r="A13" s="692">
        <v>400</v>
      </c>
      <c r="B13" s="687">
        <v>341</v>
      </c>
      <c r="C13" s="913" t="s">
        <v>938</v>
      </c>
      <c r="D13" s="194"/>
      <c r="E13" s="197"/>
      <c r="F13" s="5"/>
      <c r="G13" s="5"/>
      <c r="H13" s="74"/>
      <c r="I13" s="74"/>
      <c r="J13" s="5"/>
      <c r="K13" s="5"/>
      <c r="L13" s="692">
        <v>400</v>
      </c>
      <c r="M13" s="1465"/>
      <c r="N13" s="926">
        <f>IF(ISERROR((D13-M13)/M13),0,((D13-M13)/M13))</f>
        <v>0</v>
      </c>
      <c r="O13" s="1504" t="str">
        <f>IF(AND(ABS(N13)&gt;20%,ABS(D13-M13)&gt;20000),"Kommentera förändringen","")</f>
        <v/>
      </c>
      <c r="P13" s="1652"/>
      <c r="Q13" s="1654"/>
      <c r="R13" s="1654"/>
      <c r="S13" s="1654"/>
      <c r="T13" s="187"/>
    </row>
    <row r="14" spans="1:20" s="224" customFormat="1" ht="12.75">
      <c r="A14" s="690">
        <v>420</v>
      </c>
      <c r="B14" s="806">
        <v>342</v>
      </c>
      <c r="C14" s="913" t="s">
        <v>939</v>
      </c>
      <c r="D14" s="194"/>
      <c r="E14" s="197"/>
      <c r="F14" s="5"/>
      <c r="G14" s="5"/>
      <c r="H14" s="74"/>
      <c r="I14" s="74"/>
      <c r="J14" s="5"/>
      <c r="K14" s="5"/>
      <c r="L14" s="694"/>
      <c r="M14" s="1246"/>
      <c r="N14" s="1499"/>
      <c r="O14" s="1505"/>
      <c r="P14" s="1652"/>
      <c r="Q14" s="1654"/>
      <c r="R14" s="1654"/>
      <c r="S14" s="1654"/>
      <c r="T14" s="187"/>
    </row>
    <row r="15" spans="1:20" s="224" customFormat="1" ht="12.75">
      <c r="A15" s="690">
        <v>480</v>
      </c>
      <c r="B15" s="806" t="s">
        <v>940</v>
      </c>
      <c r="C15" s="913" t="s">
        <v>1009</v>
      </c>
      <c r="D15" s="194"/>
      <c r="E15" s="197"/>
      <c r="G15" s="189"/>
      <c r="H15" s="240"/>
      <c r="I15" s="240"/>
      <c r="J15" s="5"/>
      <c r="K15" s="5"/>
      <c r="L15" s="935"/>
      <c r="M15" s="1237"/>
      <c r="N15" s="1495"/>
      <c r="O15" s="1503"/>
      <c r="P15" s="1652"/>
      <c r="Q15" s="1654"/>
      <c r="R15" s="1654"/>
      <c r="S15" s="1654"/>
      <c r="T15" s="187"/>
    </row>
    <row r="16" spans="1:20" s="224" customFormat="1" ht="13.5" thickBot="1">
      <c r="A16" s="701">
        <v>490</v>
      </c>
      <c r="B16" s="906"/>
      <c r="C16" s="914" t="s">
        <v>941</v>
      </c>
      <c r="D16" s="436">
        <f>SUM(D13:D15)</f>
        <v>0</v>
      </c>
      <c r="E16" s="197"/>
      <c r="F16" s="84" t="s">
        <v>1010</v>
      </c>
      <c r="G16" s="48"/>
      <c r="H16" s="368"/>
      <c r="I16" s="240"/>
      <c r="J16" s="5"/>
      <c r="K16" s="5"/>
      <c r="L16" s="688">
        <v>490</v>
      </c>
      <c r="M16" s="1546"/>
      <c r="N16" s="1496">
        <f>IF(ISERROR((D16-M16)/M16),0,((D16-M16)/M16))</f>
        <v>0</v>
      </c>
      <c r="O16" s="1506" t="str">
        <f>IF(AND(ABS(N16)&gt;50%,ABS(D16-M16)&gt;50000),"Kommentera förändringen",IF(AND(ABS(N16)&gt;20%,ABS(D16-M16)&gt;20000),"Kontrollera förändringen",""))</f>
        <v/>
      </c>
      <c r="P16" s="1652"/>
      <c r="Q16" s="1654"/>
      <c r="R16" s="1654"/>
      <c r="S16" s="1654"/>
      <c r="T16" s="187"/>
    </row>
    <row r="17" spans="1:22" s="224" customFormat="1" ht="12.75">
      <c r="A17" s="907">
        <v>500</v>
      </c>
      <c r="B17" s="908">
        <v>351</v>
      </c>
      <c r="C17" s="913" t="s">
        <v>1665</v>
      </c>
      <c r="D17" s="194"/>
      <c r="E17" s="255" t="str">
        <f>IF(ABS(Motpart!AA42)&gt;100,"Differens i Motpart kol.AA, kontrollera differensen där","")</f>
        <v/>
      </c>
      <c r="F17" s="1665"/>
      <c r="G17" s="1665"/>
      <c r="H17" s="1666"/>
      <c r="I17" s="81"/>
      <c r="J17" s="320"/>
      <c r="K17" s="5"/>
      <c r="L17" s="1497"/>
      <c r="M17" s="1545"/>
      <c r="N17" s="1494"/>
      <c r="O17" s="1502"/>
      <c r="P17" s="1652"/>
      <c r="Q17" s="1590"/>
      <c r="R17" s="1590"/>
      <c r="S17" s="1590"/>
      <c r="T17" s="187"/>
    </row>
    <row r="18" spans="1:22" s="224" customFormat="1" ht="12.75">
      <c r="A18" s="910">
        <v>510</v>
      </c>
      <c r="B18" s="683">
        <v>351</v>
      </c>
      <c r="C18" s="913" t="s">
        <v>1663</v>
      </c>
      <c r="D18" s="194"/>
      <c r="E18" s="197"/>
      <c r="G18" s="1663"/>
      <c r="H18" s="98"/>
      <c r="I18" s="161"/>
      <c r="J18" s="5"/>
      <c r="K18" s="5"/>
      <c r="L18" s="1498"/>
      <c r="M18" s="1237"/>
      <c r="N18" s="1495"/>
      <c r="O18" s="1503"/>
      <c r="P18" s="1652"/>
      <c r="Q18" s="1590"/>
      <c r="R18" s="1590"/>
      <c r="S18" s="1590"/>
      <c r="T18" s="187"/>
    </row>
    <row r="19" spans="1:22" s="224" customFormat="1" ht="12.75">
      <c r="A19" s="910">
        <v>520</v>
      </c>
      <c r="B19" s="683">
        <v>351</v>
      </c>
      <c r="C19" s="913" t="s">
        <v>1664</v>
      </c>
      <c r="D19" s="194"/>
      <c r="E19" s="197" t="str">
        <f>IF((D19-I19)&gt;10000, "Vad ingår på rad 520? Kommentera beloppet", "")</f>
        <v/>
      </c>
      <c r="F19" s="1756" t="s">
        <v>1617</v>
      </c>
      <c r="G19" s="1757" t="s">
        <v>429</v>
      </c>
      <c r="H19" s="1589" t="s">
        <v>1791</v>
      </c>
      <c r="I19" s="326"/>
      <c r="J19" s="1536" t="str">
        <f>IF(SUM(I19)&gt;D19,"Däravrad 524 &gt; rad 520",IF(D19=0,"",IF(I19="","Skriv belopp eller 0","")))</f>
        <v/>
      </c>
      <c r="K19" s="5"/>
      <c r="L19" s="1498"/>
      <c r="M19" s="1237"/>
      <c r="N19" s="1495"/>
      <c r="O19" s="1503"/>
      <c r="P19" s="1652"/>
      <c r="Q19" s="1590"/>
      <c r="R19" s="1590"/>
      <c r="S19" s="1590"/>
      <c r="T19" s="187"/>
    </row>
    <row r="20" spans="1:22" s="224" customFormat="1" ht="12.75">
      <c r="A20" s="910">
        <v>521</v>
      </c>
      <c r="B20" s="683">
        <v>351</v>
      </c>
      <c r="C20" s="913" t="s">
        <v>1744</v>
      </c>
      <c r="D20" s="194"/>
      <c r="E20" s="197"/>
      <c r="F20" s="1665"/>
      <c r="G20" s="1665"/>
      <c r="H20" s="1566"/>
      <c r="I20" s="1811"/>
      <c r="J20" s="1536"/>
      <c r="K20" s="5"/>
      <c r="L20" s="1498"/>
      <c r="M20" s="1237"/>
      <c r="N20" s="1495"/>
      <c r="O20" s="1503"/>
      <c r="P20" s="1652"/>
      <c r="Q20" s="1590"/>
      <c r="R20" s="1590"/>
      <c r="S20" s="1590"/>
      <c r="T20" s="187"/>
    </row>
    <row r="21" spans="1:22" s="224" customFormat="1" ht="12.75">
      <c r="A21" s="910">
        <v>525</v>
      </c>
      <c r="B21" s="683">
        <v>354</v>
      </c>
      <c r="C21" s="913" t="s">
        <v>1713</v>
      </c>
      <c r="D21" s="434"/>
      <c r="E21" s="197" t="str">
        <f>IF(D21&lt;&gt;0,"","Belopp saknas")</f>
        <v>Belopp saknas</v>
      </c>
      <c r="F21" s="1654"/>
      <c r="G21" s="1663"/>
      <c r="H21" s="1664"/>
      <c r="I21" s="161"/>
      <c r="J21" s="5"/>
      <c r="K21" s="5"/>
      <c r="L21" s="907"/>
      <c r="M21" s="1465"/>
      <c r="N21" s="926"/>
      <c r="O21" s="1504"/>
      <c r="P21" s="1652"/>
      <c r="Q21" s="1590"/>
      <c r="R21" s="1590"/>
      <c r="S21" s="1590"/>
      <c r="T21" s="187"/>
      <c r="V21" s="187"/>
    </row>
    <row r="22" spans="1:22" s="224" customFormat="1" ht="12.75">
      <c r="A22" s="910">
        <v>527</v>
      </c>
      <c r="B22" s="683">
        <v>356</v>
      </c>
      <c r="C22" s="913" t="s">
        <v>1781</v>
      </c>
      <c r="D22" s="245"/>
      <c r="E22" s="197" t="str">
        <f>IF(D22&lt;&gt;0,"","Belopp saknas")</f>
        <v>Belopp saknas</v>
      </c>
      <c r="F22" s="5"/>
      <c r="G22" s="74"/>
      <c r="H22" s="74"/>
      <c r="I22" s="74"/>
      <c r="J22" s="5"/>
      <c r="K22" s="5"/>
      <c r="L22" s="910">
        <v>527</v>
      </c>
      <c r="M22" s="1453">
        <v>0</v>
      </c>
      <c r="N22" s="927">
        <f>IF(ISERROR((D22-M22)/M22),0,((D22-M22)/M22))</f>
        <v>0</v>
      </c>
      <c r="O22" s="1537" t="str">
        <f>IF(AND(ABS(N22)&gt;20%,ABS(D22-M22)&gt;20000),"Kommentera förändringen","")</f>
        <v/>
      </c>
      <c r="P22" s="1652"/>
      <c r="Q22" s="1590"/>
      <c r="R22" s="1590"/>
      <c r="S22" s="1590"/>
      <c r="T22" s="187"/>
      <c r="V22" s="187"/>
    </row>
    <row r="23" spans="1:22" s="224" customFormat="1" ht="12.75">
      <c r="A23" s="910">
        <v>550</v>
      </c>
      <c r="B23" s="683">
        <v>358</v>
      </c>
      <c r="C23" s="913" t="s">
        <v>207</v>
      </c>
      <c r="D23" s="245"/>
      <c r="E23" s="256"/>
      <c r="F23" s="5"/>
      <c r="G23" s="5"/>
      <c r="H23" s="74"/>
      <c r="I23" s="74"/>
      <c r="J23" s="5"/>
      <c r="K23" s="5"/>
      <c r="L23" s="1500"/>
      <c r="M23" s="1246"/>
      <c r="N23" s="1499"/>
      <c r="O23" s="1505"/>
      <c r="P23" s="1652"/>
      <c r="Q23" s="1590"/>
      <c r="R23" s="1590"/>
      <c r="S23" s="1590"/>
      <c r="T23" s="187"/>
      <c r="V23" s="187"/>
    </row>
    <row r="24" spans="1:22" s="224" customFormat="1" ht="15" customHeight="1">
      <c r="A24" s="910">
        <v>560</v>
      </c>
      <c r="B24" s="683">
        <v>357</v>
      </c>
      <c r="C24" s="2608" t="s">
        <v>1628</v>
      </c>
      <c r="D24" s="245"/>
      <c r="E24" s="256"/>
      <c r="F24" s="1665"/>
      <c r="G24" s="1663"/>
      <c r="H24" s="1664"/>
      <c r="I24" s="161"/>
      <c r="J24" s="1569"/>
      <c r="K24" s="5"/>
      <c r="L24" s="907"/>
      <c r="M24" s="1465"/>
      <c r="N24" s="926"/>
      <c r="O24" s="1504"/>
      <c r="P24" s="1652"/>
      <c r="Q24" s="1590"/>
      <c r="R24" s="1890"/>
      <c r="S24" s="1891"/>
      <c r="T24" s="1892"/>
      <c r="V24" s="1654"/>
    </row>
    <row r="25" spans="1:22" s="224" customFormat="1" ht="12.75">
      <c r="A25" s="1500">
        <v>570</v>
      </c>
      <c r="B25" s="806" t="s">
        <v>1695</v>
      </c>
      <c r="C25" s="2718" t="s">
        <v>1776</v>
      </c>
      <c r="D25" s="110"/>
      <c r="E25" s="2660" t="str">
        <f>IF(D25=0,"",IF(OR(SUM(D25-I25)&gt;2000,SUM(D25-I25)/D26&gt;2%),"Kommentera övriga bidrag.",IF(ABS(Motpart!AC42)&gt;100,"Differens i Motpart kol.AC, kontrollera","")))</f>
        <v/>
      </c>
      <c r="F25" s="1756" t="s">
        <v>1622</v>
      </c>
      <c r="G25" s="1757" t="s">
        <v>1694</v>
      </c>
      <c r="H25" s="1589" t="s">
        <v>1707</v>
      </c>
      <c r="I25" s="2706"/>
      <c r="J25" s="1536" t="str">
        <f>IF(SUM(I25)&gt;D25,"Däravrad 577 &gt; rad 570",IF(D25=0,"",IF(I25="","Skriv belopp eller 0","")))</f>
        <v/>
      </c>
      <c r="K25" s="5"/>
      <c r="L25" s="1498"/>
      <c r="M25" s="1237"/>
      <c r="N25" s="1495"/>
      <c r="O25" s="1503"/>
      <c r="P25" s="1652"/>
      <c r="Q25" s="1590"/>
      <c r="R25" s="1890"/>
      <c r="S25" s="1891"/>
      <c r="T25" s="1892"/>
      <c r="V25" s="1654"/>
    </row>
    <row r="26" spans="1:22" s="224" customFormat="1" ht="15.75" customHeight="1" thickBot="1">
      <c r="A26" s="911">
        <v>590</v>
      </c>
      <c r="B26" s="689"/>
      <c r="C26" s="2767" t="s">
        <v>942</v>
      </c>
      <c r="D26" s="436">
        <f>SUM(D17:D25)</f>
        <v>0</v>
      </c>
      <c r="E26" s="2660" t="str">
        <f>IF(D25=0,"",IF(OR(SUM(D25-I25)&gt;2000,SUM(D25-I25)/D26&gt;2%),"OBS! Kostn.ers./bidrag från stat. myndigheter, t.ex. Migrationsverket eller Skolverket redovisas på rad 500!",""))</f>
        <v/>
      </c>
      <c r="F26" s="5"/>
      <c r="G26" s="48"/>
      <c r="H26" s="74"/>
      <c r="I26" s="74"/>
      <c r="J26" s="5"/>
      <c r="K26" s="5"/>
      <c r="L26" s="911">
        <v>590</v>
      </c>
      <c r="M26" s="1473">
        <v>0</v>
      </c>
      <c r="N26" s="928">
        <f>IF(ISERROR((D26-M26)/M26),0,((D26-M26)/M26))</f>
        <v>0</v>
      </c>
      <c r="O26" s="1506" t="str">
        <f>IF(AND(ABS(N26)&gt;50%,ABS(D26-M26)&gt;100000),"Kommentera förändringen",IF(AND(ABS(N26)&gt;30%,ABS(D26-M26)&gt;40000),"Kontrollera förändringen",""))</f>
        <v/>
      </c>
      <c r="P26" s="1652"/>
      <c r="Q26" s="1590"/>
      <c r="R26" s="1590"/>
      <c r="S26" s="1590"/>
      <c r="T26" s="187"/>
      <c r="V26" s="1654"/>
    </row>
    <row r="27" spans="1:22" s="224" customFormat="1" ht="12.75">
      <c r="A27" s="692">
        <v>310</v>
      </c>
      <c r="B27" s="687" t="s">
        <v>1063</v>
      </c>
      <c r="C27" s="913" t="s">
        <v>1553</v>
      </c>
      <c r="D27" s="245"/>
      <c r="E27" s="256"/>
      <c r="F27" s="1759" t="s">
        <v>1070</v>
      </c>
      <c r="G27" s="1760" t="s">
        <v>1065</v>
      </c>
      <c r="H27" s="894" t="s">
        <v>1011</v>
      </c>
      <c r="I27" s="328"/>
      <c r="J27" s="1536" t="str">
        <f>IF(SUM(I27)&gt;D27,"Däravrad 317 &gt; rad 310",IF(D27=0,"",IF(I27="","Skriv belopp eller 0","")))</f>
        <v/>
      </c>
      <c r="K27" s="5"/>
      <c r="L27" s="1501"/>
      <c r="M27" s="1545"/>
      <c r="N27" s="1494"/>
      <c r="O27" s="1502"/>
      <c r="P27" s="1652"/>
      <c r="Q27" s="1654"/>
      <c r="R27" s="1654"/>
      <c r="S27" s="1654"/>
      <c r="T27" s="1663"/>
      <c r="V27" s="1654"/>
    </row>
    <row r="28" spans="1:22" s="224" customFormat="1" ht="12.75">
      <c r="A28" s="692">
        <v>320</v>
      </c>
      <c r="B28" s="860" t="s">
        <v>1063</v>
      </c>
      <c r="C28" s="913" t="s">
        <v>1619</v>
      </c>
      <c r="D28" s="245"/>
      <c r="E28" s="256"/>
      <c r="F28" s="2575" t="s">
        <v>1071</v>
      </c>
      <c r="G28" s="697">
        <v>361</v>
      </c>
      <c r="H28" s="2576" t="s">
        <v>1555</v>
      </c>
      <c r="I28" s="2536"/>
      <c r="J28" s="1536" t="str">
        <f>IF(SUM(I28)&gt;D28,"Däravrad 327 &gt; rad 320",IF(D28=0,"",IF(I28="","Skriv belopp eller 0","")))</f>
        <v/>
      </c>
      <c r="K28" s="5"/>
      <c r="L28" s="935"/>
      <c r="M28" s="1237"/>
      <c r="N28" s="1495"/>
      <c r="O28" s="1503"/>
      <c r="P28" s="1652"/>
      <c r="Q28" s="1654"/>
      <c r="R28" s="1654"/>
      <c r="S28" s="1654"/>
      <c r="T28" s="1663"/>
      <c r="V28" s="1654"/>
    </row>
    <row r="29" spans="1:22" s="224" customFormat="1" ht="12.75">
      <c r="A29" s="692">
        <v>321</v>
      </c>
      <c r="B29" s="860" t="s">
        <v>1063</v>
      </c>
      <c r="C29" s="913" t="s">
        <v>1554</v>
      </c>
      <c r="D29" s="245"/>
      <c r="E29" s="256"/>
      <c r="F29" s="1869" t="s">
        <v>1618</v>
      </c>
      <c r="G29" s="2696">
        <v>361</v>
      </c>
      <c r="H29" s="2694" t="s">
        <v>1779</v>
      </c>
      <c r="I29" s="2700"/>
      <c r="J29" s="1536" t="str">
        <f>IF(SUM(I29)&gt;D29,"Däravrad 328 &gt; rad 321",IF(D29=0,"",IF(I29="","Skriv belopp eller 0","")))</f>
        <v/>
      </c>
      <c r="K29" s="5"/>
      <c r="L29" s="935"/>
      <c r="M29" s="1237"/>
      <c r="N29" s="1495"/>
      <c r="O29" s="1503"/>
      <c r="P29" s="1652"/>
      <c r="Q29" s="1654"/>
      <c r="R29" s="1654"/>
      <c r="S29" s="1654"/>
      <c r="T29" s="1663"/>
      <c r="V29" s="187"/>
    </row>
    <row r="30" spans="1:22" s="224" customFormat="1" ht="16.5" customHeight="1">
      <c r="A30" s="690">
        <v>380</v>
      </c>
      <c r="B30" s="1758" t="s">
        <v>1053</v>
      </c>
      <c r="C30" s="913" t="s">
        <v>1782</v>
      </c>
      <c r="D30" s="245"/>
      <c r="E30" s="256"/>
      <c r="F30" s="1869" t="s">
        <v>1704</v>
      </c>
      <c r="G30" s="2719">
        <v>365</v>
      </c>
      <c r="H30" s="2720" t="s">
        <v>1696</v>
      </c>
      <c r="I30" s="2701"/>
      <c r="J30" s="1569" t="str">
        <f>IF(SUM(I30)&gt;D30,"Däravrad 329 &gt; rad 380",IF(D30=0,"",IF(I30="","Skriv belopp eller 0","")))</f>
        <v/>
      </c>
      <c r="K30" s="5"/>
      <c r="L30" s="692"/>
      <c r="M30" s="1465"/>
      <c r="N30" s="926"/>
      <c r="O30" s="1504"/>
      <c r="P30" s="1652"/>
      <c r="Q30" s="1654"/>
      <c r="R30" s="1654"/>
      <c r="S30" s="1654"/>
      <c r="T30" s="187"/>
    </row>
    <row r="31" spans="1:22" s="224" customFormat="1" ht="13.5" thickBot="1">
      <c r="A31" s="694">
        <v>390</v>
      </c>
      <c r="B31" s="684"/>
      <c r="C31" s="914" t="s">
        <v>1014</v>
      </c>
      <c r="D31" s="437">
        <f>SUM(D27:D30)</f>
        <v>0</v>
      </c>
      <c r="E31" s="256"/>
      <c r="F31" s="2698"/>
      <c r="G31" s="5"/>
      <c r="H31" s="2699"/>
      <c r="I31" s="2699"/>
      <c r="J31" s="5"/>
      <c r="K31" s="5"/>
      <c r="L31" s="701">
        <v>390</v>
      </c>
      <c r="M31" s="1473">
        <v>0</v>
      </c>
      <c r="N31" s="928">
        <f>IF(ISERROR((D31-M31)/M31),0,((D31-M31)/M31))</f>
        <v>0</v>
      </c>
      <c r="O31" s="2772" t="str">
        <f>IF(AND(ABS(N31)&gt;50%,ABS(D31-M31)&gt;50000),"Kommentera förändringen",IF(AND(ABS(N31)&gt;30%,ABS(D31-M31)&gt;20000),"Kontrollera förändringen",""))</f>
        <v/>
      </c>
      <c r="P31" s="1652"/>
      <c r="Q31" s="1654"/>
      <c r="R31" s="1654"/>
      <c r="S31" s="1654"/>
      <c r="T31" s="187"/>
    </row>
    <row r="32" spans="1:22" s="224" customFormat="1" ht="13.5" customHeight="1" thickBot="1">
      <c r="A32" s="680">
        <v>891</v>
      </c>
      <c r="B32" s="681">
        <v>37</v>
      </c>
      <c r="C32" s="2722" t="s">
        <v>1697</v>
      </c>
      <c r="D32" s="246"/>
      <c r="E32" s="256" t="str">
        <f>IF(ABS(D32-Drift!W117)&gt;50,ROUND(D32-Drift!W117,0)&amp;" tkr differens mot Drift.","")</f>
        <v/>
      </c>
      <c r="F32" s="1756" t="s">
        <v>245</v>
      </c>
      <c r="G32" s="2721">
        <v>373</v>
      </c>
      <c r="H32" s="1100" t="s">
        <v>1701</v>
      </c>
      <c r="I32" s="2656"/>
      <c r="J32" s="1569" t="str">
        <f>IF(SUM(I32)&gt;D32,"Däravrad 330 &gt; rad 891",IF(D32=0,"",IF(I32="","Skriv belopp eller 0","")))</f>
        <v/>
      </c>
      <c r="K32" s="5"/>
      <c r="L32" s="1501"/>
      <c r="M32" s="1545"/>
      <c r="N32" s="1494"/>
      <c r="O32" s="1502"/>
      <c r="P32" s="1652"/>
      <c r="Q32" s="1890"/>
      <c r="R32" s="1893"/>
      <c r="S32" s="1893"/>
      <c r="T32" s="187"/>
    </row>
    <row r="33" spans="1:25" s="224" customFormat="1" ht="19.5" customHeight="1">
      <c r="A33" s="682">
        <v>892</v>
      </c>
      <c r="B33" s="2745">
        <v>38</v>
      </c>
      <c r="C33" s="913" t="s">
        <v>1191</v>
      </c>
      <c r="D33" s="246"/>
      <c r="E33" s="256" t="str">
        <f>IF(ABS(D33-Drift!W118)&gt;50,ROUND(D33-Drift!W118,0)&amp; " tkr differens mot beloppet på rad 985, kol. W i Driften - rätta eller kommentera","")</f>
        <v/>
      </c>
      <c r="F33" s="2697"/>
      <c r="G33" s="2697"/>
      <c r="H33" s="2695"/>
      <c r="I33" s="74"/>
      <c r="J33" s="5"/>
      <c r="K33" s="5"/>
      <c r="L33" s="935"/>
      <c r="M33" s="1237"/>
      <c r="N33" s="1495"/>
      <c r="O33" s="1503"/>
      <c r="P33" s="1652"/>
      <c r="Q33" s="1890"/>
      <c r="R33" s="1894"/>
      <c r="S33" s="1894"/>
      <c r="T33" s="187"/>
    </row>
    <row r="34" spans="1:25" s="224" customFormat="1" ht="13.5" thickBot="1">
      <c r="A34" s="679">
        <v>894</v>
      </c>
      <c r="B34" s="689"/>
      <c r="C34" s="685" t="s">
        <v>506</v>
      </c>
      <c r="D34" s="370"/>
      <c r="E34" s="256" t="str">
        <f>IF(D34&lt;50,"","Vad avser övr.periodiseringar?")</f>
        <v/>
      </c>
      <c r="F34" s="254" t="s">
        <v>96</v>
      </c>
      <c r="G34" s="1531"/>
      <c r="H34" s="1531"/>
      <c r="I34" s="1531"/>
      <c r="J34" s="1531"/>
      <c r="K34" s="5"/>
      <c r="L34" s="935"/>
      <c r="M34" s="1237"/>
      <c r="N34" s="1495"/>
      <c r="O34" s="1503"/>
      <c r="P34" s="1652"/>
      <c r="Q34" s="1890"/>
      <c r="R34" s="1654"/>
      <c r="S34" s="1654"/>
      <c r="T34" s="187"/>
    </row>
    <row r="35" spans="1:25" s="224" customFormat="1" ht="16.5" customHeight="1" thickBot="1">
      <c r="A35" s="686">
        <v>886</v>
      </c>
      <c r="B35" s="687"/>
      <c r="C35" s="2783" t="s">
        <v>1777</v>
      </c>
      <c r="D35" s="438">
        <f>SUM(D8+D12+D16+D26+D31+D32+D33+D34)</f>
        <v>0</v>
      </c>
      <c r="E35" s="2535"/>
      <c r="F35" s="2873"/>
      <c r="G35" s="2904"/>
      <c r="H35" s="2904"/>
      <c r="I35" s="2904"/>
      <c r="J35" s="2905"/>
      <c r="K35" s="5"/>
      <c r="L35" s="688"/>
      <c r="M35" s="1546"/>
      <c r="N35" s="1496"/>
      <c r="O35" s="1506"/>
      <c r="P35" s="1652"/>
      <c r="Q35" s="1654"/>
      <c r="R35" s="1654"/>
      <c r="S35" s="1654"/>
      <c r="T35" s="187"/>
    </row>
    <row r="36" spans="1:25" s="224" customFormat="1" ht="13.5" thickBot="1">
      <c r="A36" s="688">
        <v>896</v>
      </c>
      <c r="B36" s="689"/>
      <c r="C36" s="745" t="s">
        <v>92</v>
      </c>
      <c r="D36" s="371">
        <f>RR!C7</f>
        <v>0</v>
      </c>
      <c r="F36" s="2906"/>
      <c r="G36" s="2907"/>
      <c r="H36" s="2907"/>
      <c r="I36" s="2907"/>
      <c r="J36" s="2908"/>
      <c r="K36" s="5"/>
      <c r="M36" s="20"/>
      <c r="N36" s="187"/>
      <c r="Q36" s="1654"/>
      <c r="R36" s="1590"/>
      <c r="S36" s="1590"/>
      <c r="T36" s="187"/>
    </row>
    <row r="37" spans="1:25" s="224" customFormat="1" ht="45" customHeight="1" thickBot="1">
      <c r="A37" s="2537" t="s">
        <v>376</v>
      </c>
      <c r="B37" s="5"/>
      <c r="C37" s="5"/>
      <c r="D37" s="2583" t="str">
        <f>IF(ABS(D35-D36)&lt;50,"",IF(OR(D35=0,D36=0),"",IF((SUM(D35)/(D36))&lt;&gt;1,(ROUND(D35-D36,0))&amp;" tkr diff. mellan verks. intäkter i RR och verks.intäkter här - måste rättas!","")))</f>
        <v/>
      </c>
      <c r="E37" s="256"/>
      <c r="F37" s="188"/>
      <c r="G37" s="189"/>
      <c r="H37" s="240"/>
      <c r="I37" s="74"/>
      <c r="J37" s="5"/>
      <c r="K37" s="5"/>
      <c r="L37" s="1568" t="str">
        <f>"Kontroller av förändring mellan "&amp;År-1&amp;" och "&amp;År&amp;""</f>
        <v>Kontroller av förändring mellan 2022 och 2023</v>
      </c>
      <c r="Q37" s="187"/>
      <c r="R37" s="187"/>
      <c r="S37" s="187"/>
      <c r="T37" s="187"/>
    </row>
    <row r="38" spans="1:25" s="224" customFormat="1" ht="45" customHeight="1" thickBot="1">
      <c r="A38" s="2787" t="s">
        <v>1394</v>
      </c>
      <c r="B38" s="2784" t="str">
        <f>"BAS "&amp;År-2000&amp;""</f>
        <v>BAS 23</v>
      </c>
      <c r="C38" s="2785"/>
      <c r="D38" s="915"/>
      <c r="E38" s="256"/>
      <c r="F38" s="84" t="s">
        <v>991</v>
      </c>
      <c r="G38" s="230"/>
      <c r="H38" s="231"/>
      <c r="I38" s="242"/>
      <c r="J38" s="200"/>
      <c r="K38" s="200"/>
      <c r="L38" s="2805" t="s">
        <v>1394</v>
      </c>
      <c r="M38" s="2804" t="str">
        <f>"Värde tkr "&amp;År-1&amp;""</f>
        <v>Värde tkr 2022</v>
      </c>
      <c r="N38" s="2804" t="str">
        <f>"Förändring "&amp;År-1&amp;" - "&amp;År&amp;" procent"</f>
        <v>Förändring 2022 - 2023 procent</v>
      </c>
      <c r="O38" s="2803" t="s">
        <v>40</v>
      </c>
      <c r="P38" s="1651"/>
      <c r="Q38" s="98"/>
      <c r="R38" s="1655"/>
      <c r="S38" s="98"/>
      <c r="T38" s="1567"/>
      <c r="U38" s="223"/>
      <c r="V38" s="223"/>
      <c r="W38" s="223"/>
      <c r="X38" s="223"/>
      <c r="Y38" s="223"/>
    </row>
    <row r="39" spans="1:25" s="223" customFormat="1" ht="13.5" hidden="1" thickBot="1">
      <c r="A39" s="931" t="s">
        <v>876</v>
      </c>
      <c r="B39" s="2743"/>
      <c r="C39" s="933"/>
      <c r="D39" s="916"/>
      <c r="E39" s="256"/>
      <c r="F39" s="232"/>
      <c r="G39" s="8"/>
      <c r="H39" s="2544"/>
      <c r="I39" s="240"/>
      <c r="J39" s="200"/>
      <c r="K39" s="200"/>
      <c r="L39" s="937" t="s">
        <v>876</v>
      </c>
      <c r="M39" s="938">
        <f>År-1</f>
        <v>2022</v>
      </c>
      <c r="N39" s="938" t="str">
        <f>År-1&amp;-År</f>
        <v>2022-2023</v>
      </c>
      <c r="O39" s="939"/>
      <c r="P39" s="1651"/>
      <c r="Q39" s="293"/>
      <c r="R39" s="1664"/>
      <c r="S39" s="1605"/>
      <c r="T39" s="1888"/>
    </row>
    <row r="40" spans="1:25" s="224" customFormat="1" ht="18" customHeight="1" thickBot="1">
      <c r="A40" s="935">
        <v>600</v>
      </c>
      <c r="B40" s="2786">
        <v>451</v>
      </c>
      <c r="C40" s="2550" t="s">
        <v>943</v>
      </c>
      <c r="D40" s="1814"/>
      <c r="E40" s="256"/>
      <c r="F40" s="842">
        <v>602</v>
      </c>
      <c r="G40" s="843">
        <v>4513</v>
      </c>
      <c r="H40" s="844" t="s">
        <v>164</v>
      </c>
      <c r="I40" s="2754"/>
      <c r="J40" s="155" t="str">
        <f>IF(I40&gt;D40,"därav-rad 602&gt;rad 600",IF(I40&lt;0,"inga minusbelopp",""))</f>
        <v/>
      </c>
      <c r="K40" s="155"/>
      <c r="L40" s="1501"/>
      <c r="M40" s="1493"/>
      <c r="N40" s="1494"/>
      <c r="O40" s="1507"/>
      <c r="P40" s="1649"/>
      <c r="Q40" s="1654"/>
      <c r="R40" s="1663"/>
      <c r="S40" s="1663"/>
      <c r="T40" s="1654"/>
    </row>
    <row r="41" spans="1:25" s="224" customFormat="1" ht="12.75">
      <c r="A41" s="699">
        <v>610</v>
      </c>
      <c r="B41" s="700">
        <v>452</v>
      </c>
      <c r="C41" s="693" t="s">
        <v>944</v>
      </c>
      <c r="D41" s="108"/>
      <c r="E41" s="256"/>
      <c r="F41" s="940">
        <v>630</v>
      </c>
      <c r="G41" s="941">
        <v>4538</v>
      </c>
      <c r="H41" s="1662" t="s">
        <v>1715</v>
      </c>
      <c r="I41" s="442"/>
      <c r="J41" s="332" t="str">
        <f>IF(I41&gt;Drift!H75,"Kontrollera mot bidrag i avd. Drift",IF('Verks int o kostn'!I41="","Belopp saknas",""))</f>
        <v>Belopp saknas</v>
      </c>
      <c r="K41" s="332"/>
      <c r="L41" s="935"/>
      <c r="M41" s="902"/>
      <c r="N41" s="1495"/>
      <c r="O41" s="1508"/>
      <c r="P41" s="1649"/>
      <c r="Q41" s="1654"/>
      <c r="R41" s="1663"/>
      <c r="S41" s="1663"/>
      <c r="T41" s="1654"/>
    </row>
    <row r="42" spans="1:25" s="224" customFormat="1" ht="18" customHeight="1" thickBot="1">
      <c r="A42" s="699">
        <v>620</v>
      </c>
      <c r="B42" s="697">
        <v>453</v>
      </c>
      <c r="C42" s="698" t="s">
        <v>1714</v>
      </c>
      <c r="D42" s="195"/>
      <c r="E42" s="256"/>
      <c r="F42" s="716">
        <v>631</v>
      </c>
      <c r="G42" s="2226" t="s">
        <v>1421</v>
      </c>
      <c r="H42" s="2569" t="s">
        <v>1425</v>
      </c>
      <c r="I42" s="253"/>
      <c r="J42" s="155" t="str">
        <f>IF(AND(D42=0,I41=0,I42=0),"",IF(AND(I41&gt;10,I41=I42),"Ej ersättn.pers.assistent på rad 631",IF((SUM(I41:I42)-D42)&gt;1,"Däravraderna 630+631 &gt; rad 620","")))</f>
        <v/>
      </c>
      <c r="K42" s="155"/>
      <c r="L42" s="692"/>
      <c r="M42" s="925"/>
      <c r="N42" s="926"/>
      <c r="O42" s="1509"/>
      <c r="P42" s="1649"/>
      <c r="Q42" s="1654"/>
      <c r="R42" s="1663"/>
      <c r="S42" s="1663"/>
      <c r="T42" s="1654"/>
    </row>
    <row r="43" spans="1:25" s="224" customFormat="1" ht="20.25" customHeight="1">
      <c r="A43" s="806">
        <v>650</v>
      </c>
      <c r="B43" s="697">
        <v>454</v>
      </c>
      <c r="C43" s="698" t="s">
        <v>1311</v>
      </c>
      <c r="D43" s="195"/>
      <c r="E43" s="256" t="str">
        <f>IF(D43&lt;0,"inga minusbelopp","")</f>
        <v/>
      </c>
      <c r="F43" s="1766" t="s">
        <v>1069</v>
      </c>
      <c r="G43" s="1767" t="s">
        <v>1012</v>
      </c>
      <c r="H43" s="1662" t="s">
        <v>1312</v>
      </c>
      <c r="I43" s="1578"/>
      <c r="J43" s="2825" t="str">
        <f>IF(SUM(I43:I44)-D43&gt;1,"Summan av därav-raderna 651 och 652 är större än rad 650","")</f>
        <v/>
      </c>
      <c r="K43" s="155"/>
      <c r="L43" s="935"/>
      <c r="M43" s="902"/>
      <c r="N43" s="1495"/>
      <c r="O43" s="1508"/>
      <c r="P43" s="1649"/>
      <c r="Q43" s="1654"/>
      <c r="R43" s="1663"/>
      <c r="S43" s="1663"/>
      <c r="T43" s="1654"/>
    </row>
    <row r="44" spans="1:25" s="224" customFormat="1" ht="13.5" thickBot="1">
      <c r="A44" s="688">
        <v>690</v>
      </c>
      <c r="B44" s="702"/>
      <c r="C44" s="678" t="s">
        <v>1015</v>
      </c>
      <c r="D44" s="439">
        <f>SUM(D40,D41,D42,D43)</f>
        <v>0</v>
      </c>
      <c r="E44" s="256"/>
      <c r="F44" s="1768">
        <v>652</v>
      </c>
      <c r="G44" s="1769">
        <v>4542</v>
      </c>
      <c r="H44" s="1672" t="s">
        <v>1313</v>
      </c>
      <c r="I44" s="1579"/>
      <c r="J44" s="2825"/>
      <c r="L44" s="701">
        <v>690</v>
      </c>
      <c r="M44" s="1473">
        <v>0</v>
      </c>
      <c r="N44" s="928">
        <f>IF(ISERROR((D44-M44)/M44),0,((D44-M44)/M44))</f>
        <v>0</v>
      </c>
      <c r="O44" s="1510" t="str">
        <f>IF(AND(ABS(N44)&gt;50%,ABS(D44-M44)&gt;50000),"Kommentera förändringen",IF(AND(ABS(N44)&gt;20%,ABS(D44-M44)&gt;20000),"Kontrollera förändringen",""))</f>
        <v/>
      </c>
      <c r="P44" s="1653"/>
      <c r="Q44" s="1654"/>
      <c r="R44" s="1655"/>
      <c r="S44" s="1663"/>
      <c r="T44" s="1654"/>
      <c r="V44" s="1648"/>
    </row>
    <row r="45" spans="1:25" s="224" customFormat="1" ht="23.25" customHeight="1">
      <c r="A45" s="703">
        <v>100</v>
      </c>
      <c r="B45" s="1762" t="s">
        <v>1629</v>
      </c>
      <c r="C45" s="705" t="s">
        <v>945</v>
      </c>
      <c r="D45" s="108"/>
      <c r="E45" s="256"/>
      <c r="F45" s="1580">
        <v>102</v>
      </c>
      <c r="G45" s="1581">
        <v>512</v>
      </c>
      <c r="H45" s="1582" t="s">
        <v>165</v>
      </c>
      <c r="I45" s="1583"/>
      <c r="J45" s="155" t="str">
        <f>IF(SUM(I45)&gt;D45,"Däravrad 102 &gt; rad 100",IF(I45&gt;0,"","Belopp saknas"))</f>
        <v>Belopp saknas</v>
      </c>
      <c r="K45" s="155"/>
      <c r="L45" s="907">
        <v>100</v>
      </c>
      <c r="M45" s="1465"/>
      <c r="N45" s="926">
        <f>IF(ISERROR((D45-M45)/M45),0,((D45-M45)/M45))</f>
        <v>0</v>
      </c>
      <c r="O45" s="2802" t="str">
        <f>IF(AND(OR((N45)&lt;-2%,(N45)&gt;9%),ABS(D45-M45)&gt;60000),"Kommentera förändringen",IF(AND(OR((N45)&lt;-2%,(N45)&gt;6%),ABS(D45-M45)&gt;50000),"Kontrollera förändringen",""))</f>
        <v/>
      </c>
      <c r="P45" s="1649"/>
      <c r="Q45" s="1590"/>
      <c r="R45" s="2566"/>
      <c r="S45" s="1895"/>
      <c r="T45" s="1654"/>
    </row>
    <row r="46" spans="1:25" s="224" customFormat="1" ht="21" customHeight="1">
      <c r="A46" s="690">
        <v>110</v>
      </c>
      <c r="B46" s="2587" t="s">
        <v>1630</v>
      </c>
      <c r="C46" s="691" t="str">
        <f>"Sociala avg. enl. lag o. avtal (inkl. lönesk för "&amp;År&amp;"), exkl särskild löneskatt på avsättning för pensioner"</f>
        <v>Sociala avg. enl. lag o. avtal (inkl. lönesk för 2023), exkl särskild löneskatt på avsättning för pensioner</v>
      </c>
      <c r="D46" s="380"/>
      <c r="E46" s="256" t="str">
        <f>IF(SUM(D46/(D45+D49+D52))&gt;0.5,(ROUND((D46/(D45+D49+D52))*100,1))&amp;" % = höga sociala avgifter-rätta eller kommentera",IF(SUM(D46/(D45+D49+D52))&lt;0.2,(ROUND((D46/(D45+D49+D52))*100,1))&amp;"% = låga sociala avgifter-rätta eller kommentera",""))</f>
        <v>0% = låga sociala avgifter-rätta eller kommentera</v>
      </c>
      <c r="F46" s="718">
        <v>111</v>
      </c>
      <c r="G46" s="1560" t="s">
        <v>1005</v>
      </c>
      <c r="H46" s="719" t="s">
        <v>1801</v>
      </c>
      <c r="I46" s="330"/>
      <c r="J46" s="155" t="str">
        <f>IF(I46&gt;D46,"Däravrad 111 &gt; rad 110",IF(I46&lt;1,"Belopp saknas",IF(SUM(I46/(D49+D50+D52))&lt;0.2,(ROUND((I46/(D49+D50+D52))*100,1))&amp;" % = låg löneskatt-rätta eller kommentera",IF(SUM(I46/(D49+D50+D52))&gt;0.26,(ROUND((I46/(D49+D50+D52))*100,1))&amp;"% = hög löneskatt-rätta eller kommentera",""))))</f>
        <v>Belopp saknas</v>
      </c>
      <c r="K46" s="155"/>
      <c r="L46" s="1498"/>
      <c r="M46" s="1237"/>
      <c r="N46" s="1495"/>
      <c r="O46" s="1511"/>
      <c r="P46" s="1649"/>
      <c r="Q46" s="1590"/>
      <c r="R46" s="2590"/>
      <c r="S46" s="1895"/>
      <c r="T46" s="1654"/>
    </row>
    <row r="47" spans="1:25" s="224" customFormat="1" ht="13.5" customHeight="1">
      <c r="A47" s="2673">
        <v>103</v>
      </c>
      <c r="B47" s="2600">
        <v>591</v>
      </c>
      <c r="C47" s="693" t="s">
        <v>1783</v>
      </c>
      <c r="D47" s="108"/>
      <c r="E47" s="256" t="str">
        <f>IF(D47="","Skriv belopp (negativt) eller 0","")</f>
        <v>Skriv belopp (negativt) eller 0</v>
      </c>
      <c r="F47" s="2602"/>
      <c r="G47" s="2603"/>
      <c r="H47" s="2604"/>
      <c r="I47" s="2648"/>
      <c r="J47" s="155"/>
      <c r="K47" s="155"/>
      <c r="L47" s="1498"/>
      <c r="M47" s="1237"/>
      <c r="N47" s="1495"/>
      <c r="O47" s="1511"/>
      <c r="P47" s="1649"/>
      <c r="Q47" s="1590"/>
      <c r="R47" s="2590"/>
      <c r="S47" s="1895"/>
      <c r="T47" s="1654"/>
    </row>
    <row r="48" spans="1:25" s="224" customFormat="1" ht="18.75" customHeight="1">
      <c r="A48" s="692">
        <v>115</v>
      </c>
      <c r="B48" s="2588" t="s">
        <v>1631</v>
      </c>
      <c r="C48" s="693" t="s">
        <v>1784</v>
      </c>
      <c r="D48" s="108"/>
      <c r="E48" s="256" t="str">
        <f>IF(ABS(D48-Drift!P119)&gt;50,"beloppet avviker med" &amp;" "&amp;(ROUND(D48-Drift!P119,0))&amp;" tkr från beloppet på rad 980 i driften - rätta eller kommentera","")</f>
        <v/>
      </c>
      <c r="F48" s="2605"/>
      <c r="G48" s="2606"/>
      <c r="H48" s="2607"/>
      <c r="I48" s="2601"/>
      <c r="J48" s="155"/>
      <c r="L48" s="692">
        <v>115</v>
      </c>
      <c r="M48" s="1465"/>
      <c r="N48" s="926">
        <f>IF(ISERROR((D48-M48)/M48),0,((D48-M48)/M48))</f>
        <v>0</v>
      </c>
      <c r="O48" s="1509" t="str">
        <f>IF(AND(ABS(N48)&gt;50%,ABS(D48-M48)&gt;50000),"Kommentera förändringen",IF(AND(ABS(N48)&gt;20%,ABS(D48-M48)&gt;20000),"Kontrollera förändringen",""))</f>
        <v/>
      </c>
      <c r="P48" s="1649"/>
      <c r="Q48" s="1654"/>
      <c r="R48" s="1654"/>
      <c r="S48" s="1654"/>
      <c r="T48" s="1654"/>
    </row>
    <row r="49" spans="1:20" s="224" customFormat="1" ht="13.5" customHeight="1">
      <c r="A49" s="694">
        <v>120</v>
      </c>
      <c r="B49" s="695">
        <v>573</v>
      </c>
      <c r="C49" s="693" t="s">
        <v>1215</v>
      </c>
      <c r="D49" s="248">
        <v>5</v>
      </c>
      <c r="E49" s="256"/>
      <c r="F49" s="842">
        <v>121</v>
      </c>
      <c r="G49" s="843" t="s">
        <v>650</v>
      </c>
      <c r="H49" s="894" t="s">
        <v>1056</v>
      </c>
      <c r="I49" s="328">
        <v>1</v>
      </c>
      <c r="J49" s="1536" t="str">
        <f>IF(D49=0,"",IF(I49&lt;100,"beloppet på rad 121 borde vara högre",IF(I50&lt;I49,"rad 121  borde vara mindre än rad 122","")))</f>
        <v>beloppet på rad 121 borde vara högre</v>
      </c>
      <c r="L49" s="690">
        <v>120</v>
      </c>
      <c r="M49" s="1453">
        <v>0</v>
      </c>
      <c r="N49" s="927">
        <f>IF(ISERROR((D49-M49)/M49),0,((D49-M49)/M49))</f>
        <v>0</v>
      </c>
      <c r="O49" s="1537" t="str">
        <f>IF(AND(ABS(N49)&gt;50%,ABS(D49-M49)&gt;50000),"Kommentera förändringen",IF(AND(ABS(N49)&gt;20%,ABS(D49-M49)&gt;20000),"Kontrollera förändringen",""))</f>
        <v/>
      </c>
      <c r="P49" s="1652"/>
      <c r="Q49" s="1654"/>
      <c r="R49" s="1663"/>
      <c r="S49" s="1663"/>
      <c r="T49" s="1654"/>
    </row>
    <row r="50" spans="1:20" s="224" customFormat="1" ht="12.75">
      <c r="A50" s="694">
        <v>180</v>
      </c>
      <c r="B50" s="697">
        <v>571</v>
      </c>
      <c r="C50" s="693" t="s">
        <v>1016</v>
      </c>
      <c r="D50" s="195"/>
      <c r="E50" s="256"/>
      <c r="F50" s="845">
        <v>122</v>
      </c>
      <c r="G50" s="807" t="s">
        <v>651</v>
      </c>
      <c r="H50" s="896" t="s">
        <v>1792</v>
      </c>
      <c r="I50" s="329">
        <v>2</v>
      </c>
      <c r="J50" s="2518" t="str">
        <f>IF(SUM(I49:I51)&lt;D49-2,(ROUND(SUM((D49)-SUM(I49:I51)),0)&amp;" tkr för lite fördelat på raderna 121, 122 o 123"),"")</f>
        <v/>
      </c>
      <c r="K50" s="5"/>
      <c r="L50" s="694"/>
      <c r="M50" s="1246"/>
      <c r="N50" s="1499"/>
      <c r="O50" s="1511"/>
      <c r="P50" s="1649"/>
      <c r="Q50" s="1654"/>
      <c r="R50" s="1663"/>
      <c r="S50" s="1663"/>
      <c r="T50" s="1654"/>
    </row>
    <row r="51" spans="1:20" s="224" customFormat="1" ht="12.75">
      <c r="A51" s="699">
        <v>186</v>
      </c>
      <c r="B51" s="700">
        <v>574</v>
      </c>
      <c r="C51" s="693" t="s">
        <v>3</v>
      </c>
      <c r="D51" s="108"/>
      <c r="E51" s="256"/>
      <c r="F51" s="847">
        <v>123</v>
      </c>
      <c r="G51" s="944">
        <v>5733</v>
      </c>
      <c r="H51" s="717" t="s">
        <v>1793</v>
      </c>
      <c r="I51" s="330">
        <v>3</v>
      </c>
      <c r="J51" s="2518" t="str">
        <f>IF(I51="","Skriv belopp eller 0",IF((SUM(I49:I51)-D49)&gt;1,"Däravraderna 121+122+123 &gt; rad 120",""))</f>
        <v/>
      </c>
      <c r="K51" s="170"/>
      <c r="L51" s="935"/>
      <c r="M51" s="1237"/>
      <c r="N51" s="1495"/>
      <c r="O51" s="1508"/>
      <c r="P51" s="1649"/>
      <c r="Q51" s="1654"/>
      <c r="R51" s="1663"/>
      <c r="S51" s="1663"/>
      <c r="T51" s="1654"/>
    </row>
    <row r="52" spans="1:20" s="224" customFormat="1" ht="12.75">
      <c r="A52" s="699">
        <v>185</v>
      </c>
      <c r="B52" s="697">
        <v>575</v>
      </c>
      <c r="C52" s="698" t="str">
        <f>"Pensionskostnad, avgiftsbestämd ålderspension"</f>
        <v>Pensionskostnad, avgiftsbestämd ålderspension</v>
      </c>
      <c r="D52" s="195"/>
      <c r="E52" s="2481" t="e">
        <f>IF(SUM(D52/D45)&gt;0.06,(ROUND((D52/D45)*100,1))&amp;" % = hög pens.kostn.",IF(SUM(D52/D45)&lt;0.03,(ROUND((D52/D45)*100,1))&amp;"% = låg pensionskostnad - rätta eller kommentera",""))</f>
        <v>#DIV/0!</v>
      </c>
      <c r="F52" s="5"/>
      <c r="G52" s="5"/>
      <c r="H52" s="74"/>
      <c r="K52" s="5"/>
      <c r="L52" s="935"/>
      <c r="M52" s="1237"/>
      <c r="N52" s="1495"/>
      <c r="O52" s="1508"/>
      <c r="P52" s="1649"/>
      <c r="Q52" s="1654"/>
      <c r="R52" s="1663"/>
      <c r="S52" s="1663"/>
      <c r="T52" s="187"/>
    </row>
    <row r="53" spans="1:20" s="224" customFormat="1" ht="13.5" thickBot="1">
      <c r="A53" s="701">
        <v>189</v>
      </c>
      <c r="B53" s="702"/>
      <c r="C53" s="678" t="s">
        <v>946</v>
      </c>
      <c r="D53" s="439">
        <f>SUM(D45:D52)</f>
        <v>5</v>
      </c>
      <c r="E53" s="256"/>
      <c r="F53" s="5"/>
      <c r="G53" s="5"/>
      <c r="H53" s="74"/>
      <c r="I53" s="74"/>
      <c r="L53" s="701"/>
      <c r="M53" s="1473"/>
      <c r="N53" s="928"/>
      <c r="O53" s="1510"/>
      <c r="P53" s="1653"/>
      <c r="Q53" s="1654"/>
      <c r="R53" s="1655"/>
      <c r="S53" s="1655"/>
      <c r="T53" s="187"/>
    </row>
    <row r="54" spans="1:20" s="224" customFormat="1" ht="12.75">
      <c r="A54" s="703">
        <v>300</v>
      </c>
      <c r="B54" s="700" t="s">
        <v>1049</v>
      </c>
      <c r="C54" s="693" t="s">
        <v>1785</v>
      </c>
      <c r="D54" s="108"/>
      <c r="E54" s="256"/>
      <c r="F54" s="839">
        <v>318</v>
      </c>
      <c r="G54" s="942">
        <v>628</v>
      </c>
      <c r="H54" s="943" t="s">
        <v>166</v>
      </c>
      <c r="I54" s="252"/>
      <c r="J54" s="155" t="str">
        <f>IF(SUM(I54)&gt;D54,"Däravrad 318 &gt; rad 300",IF(I54="","Belopp saknas",""))</f>
        <v>Belopp saknas</v>
      </c>
      <c r="K54" s="155"/>
      <c r="L54" s="1501"/>
      <c r="M54" s="1545"/>
      <c r="N54" s="1494"/>
      <c r="O54" s="1507"/>
      <c r="P54" s="1649"/>
      <c r="Q54" s="1590"/>
      <c r="R54" s="1679"/>
      <c r="S54" s="1663"/>
      <c r="T54" s="1654"/>
    </row>
    <row r="55" spans="1:20" s="224" customFormat="1" ht="12.75">
      <c r="A55" s="699">
        <v>325</v>
      </c>
      <c r="B55" s="700">
        <v>644</v>
      </c>
      <c r="C55" s="693" t="s">
        <v>947</v>
      </c>
      <c r="D55" s="108"/>
      <c r="E55" s="256"/>
      <c r="F55" s="5"/>
      <c r="G55" s="5"/>
      <c r="H55" s="74"/>
      <c r="K55" s="5"/>
      <c r="L55" s="935"/>
      <c r="M55" s="1237"/>
      <c r="N55" s="1495"/>
      <c r="O55" s="1508"/>
      <c r="P55" s="1649"/>
      <c r="Q55" s="1654"/>
      <c r="R55" s="1663"/>
      <c r="S55" s="1663"/>
      <c r="T55" s="187"/>
    </row>
    <row r="56" spans="1:20" s="224" customFormat="1" ht="12.75">
      <c r="A56" s="699">
        <v>330</v>
      </c>
      <c r="B56" s="700">
        <v>651</v>
      </c>
      <c r="C56" s="693" t="s">
        <v>948</v>
      </c>
      <c r="D56" s="108"/>
      <c r="E56" s="256"/>
      <c r="F56" s="5"/>
      <c r="G56" s="5"/>
      <c r="H56" s="74"/>
      <c r="I56" s="74"/>
      <c r="L56" s="935"/>
      <c r="M56" s="1237"/>
      <c r="N56" s="1495"/>
      <c r="O56" s="1508"/>
      <c r="P56" s="1649"/>
      <c r="Q56" s="1654"/>
      <c r="R56" s="1663"/>
      <c r="S56" s="1663"/>
      <c r="T56" s="187"/>
    </row>
    <row r="57" spans="1:20" s="224" customFormat="1" ht="12.75">
      <c r="A57" s="699">
        <v>340</v>
      </c>
      <c r="B57" s="704" t="s">
        <v>924</v>
      </c>
      <c r="C57" s="705" t="s">
        <v>949</v>
      </c>
      <c r="D57" s="108"/>
      <c r="E57" s="256"/>
      <c r="F57" s="1759" t="s">
        <v>1068</v>
      </c>
      <c r="G57" s="2073">
        <v>641</v>
      </c>
      <c r="H57" s="2074" t="s">
        <v>1023</v>
      </c>
      <c r="I57" s="2075"/>
      <c r="J57" s="155" t="str">
        <f>IF(I57&gt;0.5*D57,"Högt belopp för förbrukningsinvent.",IF(SUM(I57:I58)&gt;D57,"Däravrad 341 och 342 &gt; rad 340",IF(I57&gt;0,"","Belopp saknas")))</f>
        <v>Belopp saknas</v>
      </c>
      <c r="K57" s="5"/>
      <c r="L57" s="692"/>
      <c r="M57" s="1465"/>
      <c r="N57" s="926"/>
      <c r="O57" s="1509"/>
      <c r="P57" s="1649"/>
      <c r="Q57" s="1654"/>
      <c r="R57" s="1679"/>
      <c r="S57" s="1663"/>
      <c r="T57" s="1679"/>
    </row>
    <row r="58" spans="1:20" s="224" customFormat="1" ht="13.5" thickBot="1">
      <c r="A58" s="701">
        <v>360</v>
      </c>
      <c r="B58" s="706"/>
      <c r="C58" s="707" t="s">
        <v>950</v>
      </c>
      <c r="D58" s="439">
        <f>SUM(D54,D55,D56,D57)</f>
        <v>0</v>
      </c>
      <c r="E58" s="256"/>
      <c r="F58" s="1761" t="s">
        <v>1346</v>
      </c>
      <c r="G58" s="2723">
        <v>418</v>
      </c>
      <c r="H58" s="2746" t="s">
        <v>1716</v>
      </c>
      <c r="I58" s="1628"/>
      <c r="J58" s="155" t="str">
        <f>IF(I58="","Skriv belopp eller 0","")</f>
        <v>Skriv belopp eller 0</v>
      </c>
      <c r="K58" s="5"/>
      <c r="L58" s="701">
        <v>360</v>
      </c>
      <c r="M58" s="1473">
        <v>0</v>
      </c>
      <c r="N58" s="928">
        <f>IF(ISERROR((D58-M58)/M58),0,((D58-M58)/M58))</f>
        <v>0</v>
      </c>
      <c r="O58" s="1510" t="str">
        <f>IF(AND(ABS(N58)&gt;50%,ABS(D58-M58)&gt;50000),"Kommentera förändringen",IF(AND(ABS(N58)&gt;20%,ABS(D58-M58)&gt;20000),"Kontrollera förändringen",""))</f>
        <v/>
      </c>
      <c r="P58" s="1653"/>
      <c r="Q58" s="1654"/>
      <c r="R58" s="18"/>
      <c r="S58" s="1663"/>
      <c r="T58" s="1679"/>
    </row>
    <row r="59" spans="1:20" s="224" customFormat="1" ht="12.75" customHeight="1">
      <c r="A59" s="699">
        <v>345</v>
      </c>
      <c r="B59" s="700" t="s">
        <v>1061</v>
      </c>
      <c r="C59" s="693" t="s">
        <v>1786</v>
      </c>
      <c r="D59" s="108"/>
      <c r="E59" s="256"/>
      <c r="F59" s="5"/>
      <c r="G59" s="5"/>
      <c r="H59" s="74"/>
      <c r="I59" s="74"/>
      <c r="K59" s="5"/>
      <c r="L59" s="1501"/>
      <c r="M59" s="1545"/>
      <c r="N59" s="1494"/>
      <c r="O59" s="1507"/>
      <c r="P59" s="1649"/>
      <c r="Q59" s="1654"/>
      <c r="R59" s="1663"/>
      <c r="S59" s="1663"/>
      <c r="T59" s="187"/>
    </row>
    <row r="60" spans="1:20" s="224" customFormat="1" ht="12.75">
      <c r="A60" s="699">
        <v>401</v>
      </c>
      <c r="B60" s="700">
        <v>46</v>
      </c>
      <c r="C60" s="693" t="s">
        <v>1017</v>
      </c>
      <c r="D60" s="108"/>
      <c r="E60" s="256"/>
      <c r="F60" s="5"/>
      <c r="G60" s="5"/>
      <c r="H60" s="74"/>
      <c r="I60" s="74"/>
      <c r="K60" s="5"/>
      <c r="L60" s="690">
        <v>401</v>
      </c>
      <c r="M60" s="1453">
        <v>0</v>
      </c>
      <c r="N60" s="927">
        <f>IF(ISERROR((D60-M60)/M60),0,((D60-M60)/M60))</f>
        <v>0</v>
      </c>
      <c r="O60" s="2802" t="str">
        <f>IF(AND(ABS(N60)&gt;50%,ABS(D60-M60)&gt;50000),"Kommentera förändringen",IF(AND(ABS(N60)&gt;20%,ABS(D60-M60)&gt;20000),"Kontrollera förändringen",""))</f>
        <v/>
      </c>
      <c r="P60" s="1649"/>
      <c r="Q60" s="1654"/>
      <c r="R60" s="1663"/>
      <c r="S60" s="1663"/>
      <c r="T60" s="187"/>
    </row>
    <row r="61" spans="1:20" s="224" customFormat="1" ht="12.75">
      <c r="A61" s="699">
        <v>410</v>
      </c>
      <c r="B61" s="700">
        <v>74</v>
      </c>
      <c r="C61" s="693" t="s">
        <v>1054</v>
      </c>
      <c r="D61" s="108"/>
      <c r="E61" s="256"/>
      <c r="F61" s="5"/>
      <c r="G61" s="5"/>
      <c r="H61" s="74"/>
      <c r="I61" s="74"/>
      <c r="K61" s="5"/>
      <c r="L61" s="935"/>
      <c r="M61" s="1237"/>
      <c r="N61" s="1495"/>
      <c r="O61" s="1508"/>
      <c r="P61" s="1649"/>
      <c r="Q61" s="1654"/>
      <c r="R61" s="1888"/>
      <c r="S61" s="1663"/>
      <c r="T61" s="187"/>
    </row>
    <row r="62" spans="1:20" s="224" customFormat="1" ht="17.25" customHeight="1">
      <c r="A62" s="699">
        <v>411</v>
      </c>
      <c r="B62" s="700">
        <v>75</v>
      </c>
      <c r="C62" s="693" t="s">
        <v>1560</v>
      </c>
      <c r="D62" s="108"/>
      <c r="E62" s="256"/>
      <c r="F62" s="5"/>
      <c r="G62" s="5"/>
      <c r="H62" s="74"/>
      <c r="I62" s="74"/>
      <c r="K62" s="5"/>
      <c r="L62" s="935"/>
      <c r="M62" s="1237"/>
      <c r="N62" s="1495"/>
      <c r="O62" s="1508"/>
      <c r="P62" s="1649"/>
      <c r="Q62" s="1654"/>
      <c r="R62" s="1663"/>
      <c r="S62" s="1663"/>
      <c r="T62" s="187"/>
    </row>
    <row r="63" spans="1:20" s="224" customFormat="1" ht="12.75">
      <c r="A63" s="699">
        <v>415</v>
      </c>
      <c r="B63" s="700" t="s">
        <v>1062</v>
      </c>
      <c r="C63" s="693" t="s">
        <v>1787</v>
      </c>
      <c r="D63" s="108"/>
      <c r="E63" s="256"/>
      <c r="F63" s="5"/>
      <c r="G63" s="5"/>
      <c r="H63" s="74"/>
      <c r="I63" s="74"/>
      <c r="K63" s="5"/>
      <c r="L63" s="935"/>
      <c r="M63" s="1237"/>
      <c r="N63" s="1495"/>
      <c r="O63" s="1508"/>
      <c r="P63" s="1649"/>
      <c r="Q63" s="1654"/>
      <c r="R63" s="1679"/>
      <c r="S63" s="1663"/>
      <c r="T63" s="187"/>
    </row>
    <row r="64" spans="1:20" s="224" customFormat="1" ht="12.75">
      <c r="A64" s="699">
        <v>416</v>
      </c>
      <c r="B64" s="704">
        <v>68</v>
      </c>
      <c r="C64" s="693" t="s">
        <v>1788</v>
      </c>
      <c r="D64" s="108"/>
      <c r="E64" s="256"/>
      <c r="F64" s="5"/>
      <c r="G64" s="5"/>
      <c r="H64" s="74"/>
      <c r="I64" s="74"/>
      <c r="K64" s="5"/>
      <c r="L64" s="935"/>
      <c r="M64" s="1237"/>
      <c r="N64" s="1495"/>
      <c r="O64" s="1508"/>
      <c r="P64" s="1649"/>
      <c r="Q64" s="1654"/>
      <c r="R64" s="1679"/>
      <c r="S64" s="1679"/>
      <c r="T64" s="187"/>
    </row>
    <row r="65" spans="1:25" s="224" customFormat="1" ht="12.75">
      <c r="A65" s="699">
        <v>430</v>
      </c>
      <c r="B65" s="704">
        <v>66</v>
      </c>
      <c r="C65" s="693" t="s">
        <v>1018</v>
      </c>
      <c r="D65" s="108"/>
      <c r="E65" s="256"/>
      <c r="F65" s="5"/>
      <c r="G65" s="5"/>
      <c r="H65" s="74"/>
      <c r="I65" s="74"/>
      <c r="K65" s="5"/>
      <c r="L65" s="935"/>
      <c r="M65" s="1237"/>
      <c r="N65" s="1495"/>
      <c r="O65" s="1508"/>
      <c r="P65" s="1649"/>
      <c r="Q65" s="1654"/>
      <c r="R65" s="1679"/>
      <c r="S65" s="1679"/>
      <c r="T65" s="187"/>
    </row>
    <row r="66" spans="1:25" s="224" customFormat="1" ht="12.75">
      <c r="A66" s="699">
        <v>440</v>
      </c>
      <c r="B66" s="704">
        <v>701</v>
      </c>
      <c r="C66" s="693" t="s">
        <v>1558</v>
      </c>
      <c r="D66" s="108"/>
      <c r="E66" s="256"/>
      <c r="F66" s="5"/>
      <c r="G66" s="5"/>
      <c r="H66" s="74"/>
      <c r="I66" s="74"/>
      <c r="K66" s="5"/>
      <c r="L66" s="692"/>
      <c r="M66" s="1465"/>
      <c r="N66" s="926"/>
      <c r="O66" s="1509"/>
      <c r="P66" s="1649"/>
      <c r="Q66" s="1654"/>
      <c r="R66" s="1663"/>
      <c r="S66" s="1679"/>
      <c r="T66" s="187"/>
    </row>
    <row r="67" spans="1:25" s="224" customFormat="1" ht="12.75">
      <c r="A67" s="699">
        <v>450</v>
      </c>
      <c r="B67" s="704">
        <v>601</v>
      </c>
      <c r="C67" s="693" t="s">
        <v>1559</v>
      </c>
      <c r="D67" s="108"/>
      <c r="E67" s="256"/>
      <c r="F67" s="5"/>
      <c r="G67" s="5"/>
      <c r="H67" s="74"/>
      <c r="I67" s="74"/>
      <c r="K67" s="5"/>
      <c r="L67" s="690">
        <v>450</v>
      </c>
      <c r="M67" s="1453">
        <v>0</v>
      </c>
      <c r="N67" s="927">
        <f>IF(ISERROR((D67-M67)/M67),0,((D67-M67)/M67))</f>
        <v>0</v>
      </c>
      <c r="O67" s="2802" t="str">
        <f>IF(AND(OR((N67)&lt;-10%,(N67)&gt;50%),ABS(D67-M67)&gt;50000),"Kommentera förändringen",IF(AND(OR((N67)&lt;-2%,(N67)&gt;20%),ABS(D67-M67)&gt;20000),"Kontrollera förändringen",""))</f>
        <v/>
      </c>
      <c r="P67" s="1649"/>
      <c r="Q67" s="1654"/>
      <c r="R67" s="1679"/>
      <c r="S67" s="1679"/>
      <c r="T67" s="187"/>
    </row>
    <row r="68" spans="1:25" s="224" customFormat="1" ht="18.75">
      <c r="A68" s="699">
        <v>460</v>
      </c>
      <c r="B68" s="704">
        <v>602</v>
      </c>
      <c r="C68" s="705" t="s">
        <v>951</v>
      </c>
      <c r="D68" s="108"/>
      <c r="E68" s="256"/>
      <c r="F68" s="2121">
        <v>469</v>
      </c>
      <c r="G68" s="2122" t="s">
        <v>1315</v>
      </c>
      <c r="H68" s="1899" t="s">
        <v>1794</v>
      </c>
      <c r="I68" s="1897"/>
      <c r="K68" s="5"/>
      <c r="L68" s="694"/>
      <c r="M68" s="1246"/>
      <c r="N68" s="1499"/>
      <c r="O68" s="1511"/>
      <c r="P68" s="1649"/>
      <c r="Q68" s="1654"/>
      <c r="R68" s="1679"/>
      <c r="S68" s="1679"/>
      <c r="T68" s="1654"/>
    </row>
    <row r="69" spans="1:25" s="224" customFormat="1" ht="20.25" customHeight="1">
      <c r="A69" s="699">
        <v>470</v>
      </c>
      <c r="B69" s="1762" t="s">
        <v>1562</v>
      </c>
      <c r="C69" s="730" t="s">
        <v>1789</v>
      </c>
      <c r="D69" s="249"/>
      <c r="E69" s="256"/>
      <c r="F69" s="845">
        <v>472</v>
      </c>
      <c r="G69" s="846">
        <v>731</v>
      </c>
      <c r="H69" s="2570" t="s">
        <v>1561</v>
      </c>
      <c r="I69" s="1898"/>
      <c r="K69" s="5"/>
      <c r="L69" s="935"/>
      <c r="M69" s="1237"/>
      <c r="N69" s="1495"/>
      <c r="O69" s="1508"/>
      <c r="P69" s="1649"/>
      <c r="Q69" s="1654"/>
      <c r="R69" s="1663"/>
      <c r="S69" s="1663"/>
      <c r="T69" s="1654"/>
    </row>
    <row r="70" spans="1:25" s="224" customFormat="1" ht="18.75" customHeight="1">
      <c r="A70" s="699">
        <v>471</v>
      </c>
      <c r="B70" s="700" t="s">
        <v>925</v>
      </c>
      <c r="C70" s="693" t="s">
        <v>952</v>
      </c>
      <c r="D70" s="109"/>
      <c r="E70" s="256"/>
      <c r="F70" s="845">
        <v>474</v>
      </c>
      <c r="G70" s="807">
        <v>732</v>
      </c>
      <c r="H70" s="896" t="s">
        <v>1482</v>
      </c>
      <c r="I70" s="329"/>
      <c r="K70" s="5"/>
      <c r="L70" s="692"/>
      <c r="M70" s="1465"/>
      <c r="N70" s="926"/>
      <c r="O70" s="1509"/>
      <c r="P70" s="1649"/>
      <c r="Q70" s="1654"/>
      <c r="R70" s="1663"/>
      <c r="S70" s="1663"/>
      <c r="T70" s="1654"/>
    </row>
    <row r="71" spans="1:25" s="224" customFormat="1" ht="18.75" thickBot="1">
      <c r="A71" s="708">
        <v>479</v>
      </c>
      <c r="B71" s="709"/>
      <c r="C71" s="710" t="s">
        <v>953</v>
      </c>
      <c r="D71" s="440">
        <f>SUM(D59:D70)</f>
        <v>0</v>
      </c>
      <c r="E71" s="256"/>
      <c r="F71" s="2504">
        <v>476</v>
      </c>
      <c r="G71" s="2508" t="s">
        <v>1543</v>
      </c>
      <c r="H71" s="2392" t="s">
        <v>1795</v>
      </c>
      <c r="I71" s="329"/>
      <c r="K71" s="5"/>
      <c r="L71" s="701">
        <v>479</v>
      </c>
      <c r="M71" s="1473">
        <v>0</v>
      </c>
      <c r="N71" s="928">
        <f>IF(ISERROR((D71-M71)/M71),0,((D71-M71)/M71))</f>
        <v>0</v>
      </c>
      <c r="O71" s="1510" t="str">
        <f>IF(AND(ABS(N71)&gt;50%,ABS(D71-M71)&gt;100000),"Kommentera förändringen",IF(AND(ABS(N71)&gt;20%,ABS(D71-M71)&gt;50000),"Kontrollera förändringen",""))</f>
        <v/>
      </c>
      <c r="P71" s="1653"/>
      <c r="Q71" s="1654"/>
      <c r="R71" s="1655"/>
      <c r="S71" s="1663"/>
      <c r="T71" s="1654"/>
    </row>
    <row r="72" spans="1:25" s="224" customFormat="1" ht="19.5" customHeight="1">
      <c r="A72" s="711">
        <v>897</v>
      </c>
      <c r="B72" s="1762" t="s">
        <v>1055</v>
      </c>
      <c r="C72" s="693" t="s">
        <v>1790</v>
      </c>
      <c r="D72" s="250"/>
      <c r="E72" s="2482" t="str">
        <f>IF(ABS(SUM(D72+D74)-Drift!P121)&gt;50,ROUND(SUM(D72+D74)-Drift!P121,0)&amp; "tkr diff. mot rad 985, kol. P i Driften-rätta eller kommentera","")</f>
        <v/>
      </c>
      <c r="F72" s="845">
        <v>477</v>
      </c>
      <c r="G72" s="807">
        <v>737</v>
      </c>
      <c r="H72" s="896" t="s">
        <v>1483</v>
      </c>
      <c r="I72" s="329"/>
      <c r="K72" s="5"/>
      <c r="L72" s="1501"/>
      <c r="M72" s="1545"/>
      <c r="N72" s="1494"/>
      <c r="O72" s="1507"/>
      <c r="P72" s="1649"/>
      <c r="Q72" s="1654"/>
      <c r="R72" s="1896"/>
      <c r="S72" s="1663"/>
      <c r="T72" s="1654"/>
    </row>
    <row r="73" spans="1:25" s="224" customFormat="1" ht="15" customHeight="1">
      <c r="A73" s="690">
        <v>899</v>
      </c>
      <c r="B73" s="1763">
        <v>787</v>
      </c>
      <c r="C73" s="705" t="s">
        <v>1013</v>
      </c>
      <c r="D73" s="247"/>
      <c r="E73" s="2773" t="str">
        <f>IF(ABS(D73)&gt;50,"Kommentera beloppet om det inte avser avsättning för deponi","")</f>
        <v/>
      </c>
      <c r="F73" s="1869" t="s">
        <v>263</v>
      </c>
      <c r="G73" s="807"/>
      <c r="H73" s="896" t="s">
        <v>1197</v>
      </c>
      <c r="I73" s="329"/>
      <c r="J73" s="155" t="str">
        <f>IF(I73&gt;I72,"rad 475 &gt; rad 477",IF(AND(I72&gt;0,I73=""),"skriv belopp eller 0",""))</f>
        <v/>
      </c>
      <c r="K73" s="5"/>
      <c r="L73" s="935"/>
      <c r="M73" s="1237"/>
      <c r="N73" s="1495"/>
      <c r="O73" s="1508"/>
      <c r="P73" s="1649"/>
      <c r="Q73" s="1654"/>
      <c r="R73" s="1663"/>
      <c r="S73" s="1654"/>
      <c r="T73" s="1654"/>
    </row>
    <row r="74" spans="1:25" s="224" customFormat="1" ht="12.75" customHeight="1" thickBot="1">
      <c r="A74" s="708">
        <v>900</v>
      </c>
      <c r="B74" s="712">
        <v>789</v>
      </c>
      <c r="C74" s="713" t="s">
        <v>506</v>
      </c>
      <c r="D74" s="251"/>
      <c r="E74" s="375" t="str">
        <f>IF(D74&lt;50,"","Komment.vad övr.periodiseringar avser")</f>
        <v/>
      </c>
      <c r="F74" s="945">
        <v>478</v>
      </c>
      <c r="G74" s="807" t="s">
        <v>1021</v>
      </c>
      <c r="H74" s="896" t="s">
        <v>1484</v>
      </c>
      <c r="I74" s="329"/>
      <c r="K74" s="155"/>
      <c r="L74" s="935"/>
      <c r="M74" s="1237"/>
      <c r="N74" s="1495"/>
      <c r="O74" s="1508"/>
      <c r="P74" s="1649"/>
      <c r="Q74" s="1654"/>
      <c r="R74" s="1654"/>
      <c r="S74" s="1654"/>
      <c r="T74" s="1654"/>
    </row>
    <row r="75" spans="1:25" s="224" customFormat="1" ht="16.5" customHeight="1" thickBot="1">
      <c r="A75" s="703">
        <v>887</v>
      </c>
      <c r="B75" s="704"/>
      <c r="C75" s="714" t="s">
        <v>1778</v>
      </c>
      <c r="D75" s="441">
        <f>SUM(D44+D53+D58+D71+D72+D73+D74)</f>
        <v>5</v>
      </c>
      <c r="F75" s="716">
        <v>473</v>
      </c>
      <c r="G75" s="1765" t="s">
        <v>1077</v>
      </c>
      <c r="H75" s="1673" t="s">
        <v>1796</v>
      </c>
      <c r="I75" s="330"/>
      <c r="J75" s="155" t="str">
        <f>IF(AND(D69=0,SUM(I68:I75)=0),"",IF(SUM(I68:I72,I74,I75)&lt;=D69+1,"",IF((SUM(D69)/(SUM(I68:I72,I74,I75)))&lt;&gt;1,"däravraderna 469-478 är" &amp;" "&amp;(ROUND(SUM(I68:I72,I74,I75)-D69,0))&amp;"  tkr större än rad huvudrad 470-rätta eller kommentera","")))</f>
        <v/>
      </c>
      <c r="K75" s="5"/>
      <c r="L75" s="688"/>
      <c r="M75" s="1546"/>
      <c r="N75" s="1496"/>
      <c r="O75" s="1512"/>
      <c r="P75" s="1653"/>
      <c r="Q75" s="1590"/>
      <c r="R75" s="1679"/>
      <c r="S75" s="1679"/>
      <c r="T75" s="1654"/>
    </row>
    <row r="76" spans="1:25" s="224" customFormat="1" ht="18" customHeight="1" thickBot="1">
      <c r="A76" s="715" t="s">
        <v>507</v>
      </c>
      <c r="B76" s="702"/>
      <c r="C76" s="678" t="s">
        <v>93</v>
      </c>
      <c r="D76" s="371">
        <f>RR!C8</f>
        <v>0</v>
      </c>
      <c r="E76" s="256"/>
      <c r="F76" s="2892" t="s">
        <v>95</v>
      </c>
      <c r="G76" s="2893"/>
      <c r="H76" s="2893"/>
      <c r="I76" s="256" t="str">
        <f>IF(AND(D69&gt;10000,SUM(I68:I72)+SUM(I74:I75)&lt;0.9*D69),"Rad 470 summerar inte till därav-raderna 469-473. Kontrollera att allt som ska specificeras på därav-raderna finns med.","")</f>
        <v/>
      </c>
      <c r="J76" s="2398"/>
      <c r="L76" s="1513"/>
      <c r="M76" s="1514"/>
      <c r="N76" s="1515"/>
      <c r="O76" s="1516"/>
      <c r="P76" s="1649"/>
      <c r="Q76" s="187"/>
      <c r="R76" s="1655"/>
      <c r="S76" s="1655"/>
      <c r="T76" s="187"/>
    </row>
    <row r="77" spans="1:25" s="224" customFormat="1" ht="15.75" customHeight="1">
      <c r="A77" s="159" t="s">
        <v>1826</v>
      </c>
      <c r="B77" s="1764"/>
      <c r="C77" s="1764"/>
      <c r="D77" s="2089" t="str">
        <f>IF(ABS(D75-D76)&lt;50,"",IF(OR(D75=0,D76=0),"",IF((SUM(D75)/(D76))&lt;&gt;1,(ROUND(D75-D76,0))&amp;" tkr diff mellan verks. kostnader i RR och verks. kostnader här - måste rättas!","")))</f>
        <v/>
      </c>
      <c r="F77" s="2894"/>
      <c r="G77" s="2895"/>
      <c r="H77" s="2895"/>
      <c r="I77" s="2895"/>
      <c r="J77" s="2896"/>
      <c r="K77" s="5"/>
      <c r="Q77" s="187"/>
      <c r="R77" s="1660"/>
      <c r="S77" s="1660"/>
      <c r="T77" s="187"/>
    </row>
    <row r="78" spans="1:25" s="224" customFormat="1" ht="21" customHeight="1">
      <c r="A78" s="159" t="s">
        <v>1827</v>
      </c>
      <c r="B78" s="88"/>
      <c r="C78" s="88"/>
      <c r="D78" s="5"/>
      <c r="F78" s="2897"/>
      <c r="G78" s="2898"/>
      <c r="H78" s="2898"/>
      <c r="I78" s="2898"/>
      <c r="J78" s="2899"/>
      <c r="K78" s="5"/>
      <c r="Q78" s="187"/>
      <c r="R78" s="2903"/>
      <c r="S78" s="2903"/>
      <c r="T78" s="2903"/>
    </row>
    <row r="79" spans="1:25" s="224" customFormat="1" ht="12.75" customHeight="1">
      <c r="A79" s="187"/>
      <c r="B79" s="187"/>
      <c r="C79" s="187"/>
      <c r="D79" s="187"/>
      <c r="F79" s="2900"/>
      <c r="G79" s="2901"/>
      <c r="H79" s="2901"/>
      <c r="I79" s="2901"/>
      <c r="J79" s="2902"/>
      <c r="K79" s="5"/>
      <c r="L79" s="187"/>
      <c r="M79" s="187"/>
      <c r="N79" s="187"/>
      <c r="O79" s="187"/>
      <c r="P79" s="187"/>
      <c r="Q79" s="187"/>
      <c r="R79" s="2903"/>
      <c r="S79" s="2903"/>
      <c r="T79" s="2903"/>
      <c r="U79" s="187"/>
      <c r="V79" s="187"/>
    </row>
    <row r="80" spans="1:25" s="224" customFormat="1" ht="12.75">
      <c r="A80" s="187"/>
      <c r="B80" s="187"/>
      <c r="C80" s="187"/>
      <c r="D80" s="187"/>
      <c r="E80" s="187"/>
      <c r="F80" s="5"/>
      <c r="G80" s="5"/>
      <c r="H80" s="5"/>
      <c r="I80" s="5"/>
      <c r="J80" s="5"/>
      <c r="K80" s="187"/>
      <c r="L80" s="187"/>
      <c r="M80" s="187"/>
      <c r="N80" s="187"/>
      <c r="O80" s="187"/>
      <c r="P80" s="187"/>
      <c r="Q80" s="187"/>
      <c r="R80" s="519"/>
      <c r="S80" s="519"/>
      <c r="T80" s="187"/>
      <c r="U80" s="187"/>
      <c r="V80" s="187"/>
      <c r="W80" s="187"/>
      <c r="X80" s="187"/>
      <c r="Y80" s="187"/>
    </row>
    <row r="81" ht="12.75"/>
    <row r="82" ht="12.75"/>
    <row r="83" ht="12.75"/>
    <row r="84" ht="12.75"/>
    <row r="85" ht="12.75" hidden="1"/>
    <row r="86" ht="12.75" hidden="1"/>
    <row r="87" ht="12.75" hidden="1"/>
    <row r="88" ht="12.75" hidden="1"/>
    <row r="89" ht="12.75" hidden="1"/>
    <row r="90" ht="12.75" hidden="1"/>
    <row r="91" ht="12.75" hidden="1"/>
    <row r="92" ht="12.75"/>
    <row r="93" ht="12.75" hidden="1"/>
  </sheetData>
  <mergeCells count="5">
    <mergeCell ref="B6:B7"/>
    <mergeCell ref="F76:H76"/>
    <mergeCell ref="F77:J79"/>
    <mergeCell ref="R78:T79"/>
    <mergeCell ref="F35:J36"/>
  </mergeCells>
  <conditionalFormatting sqref="I17:I18 I21">
    <cfRule type="cellIs" dxfId="169" priority="21" stopIfTrue="1" operator="lessThan">
      <formula>-500</formula>
    </cfRule>
  </conditionalFormatting>
  <conditionalFormatting sqref="I24">
    <cfRule type="cellIs" dxfId="168" priority="20" stopIfTrue="1" operator="lessThan">
      <formula>-500</formula>
    </cfRule>
  </conditionalFormatting>
  <conditionalFormatting sqref="I57">
    <cfRule type="cellIs" dxfId="167" priority="19" stopIfTrue="1" operator="lessThan">
      <formula>-500</formula>
    </cfRule>
  </conditionalFormatting>
  <conditionalFormatting sqref="I27:I29">
    <cfRule type="cellIs" dxfId="166" priority="18" stopIfTrue="1" operator="lessThan">
      <formula>-500</formula>
    </cfRule>
  </conditionalFormatting>
  <conditionalFormatting sqref="D43 I43:I44">
    <cfRule type="cellIs" dxfId="165" priority="17" stopIfTrue="1" operator="lessThan">
      <formula>0</formula>
    </cfRule>
  </conditionalFormatting>
  <conditionalFormatting sqref="I68">
    <cfRule type="cellIs" dxfId="164" priority="16" stopIfTrue="1" operator="lessThan">
      <formula>-500</formula>
    </cfRule>
  </conditionalFormatting>
  <conditionalFormatting sqref="I68 I47:I48 I40:I45">
    <cfRule type="cellIs" dxfId="163" priority="15" stopIfTrue="1" operator="lessThan">
      <formula>-500</formula>
    </cfRule>
  </conditionalFormatting>
  <conditionalFormatting sqref="D8:D11 D13:D15 D17:D25 D27:D30 I24 I27:I29 D32:D34 D40:D43 D45 D49:D52 D54:D57 D59:D70 D72 D74 I68:I75 I57 I54 I49:I51">
    <cfRule type="cellIs" dxfId="162" priority="14" stopIfTrue="1" operator="lessThan">
      <formula>-500</formula>
    </cfRule>
  </conditionalFormatting>
  <conditionalFormatting sqref="I58">
    <cfRule type="cellIs" dxfId="161" priority="13" stopIfTrue="1" operator="lessThan">
      <formula>-500</formula>
    </cfRule>
  </conditionalFormatting>
  <conditionalFormatting sqref="I58">
    <cfRule type="cellIs" dxfId="160" priority="12" stopIfTrue="1" operator="lessThan">
      <formula>-500</formula>
    </cfRule>
  </conditionalFormatting>
  <conditionalFormatting sqref="I19:I20">
    <cfRule type="cellIs" dxfId="159" priority="11" stopIfTrue="1" operator="lessThan">
      <formula>-500</formula>
    </cfRule>
  </conditionalFormatting>
  <conditionalFormatting sqref="I19:I20">
    <cfRule type="cellIs" dxfId="158" priority="10" stopIfTrue="1" operator="lessThan">
      <formula>-500</formula>
    </cfRule>
  </conditionalFormatting>
  <conditionalFormatting sqref="I25">
    <cfRule type="cellIs" dxfId="157" priority="9" stopIfTrue="1" operator="lessThan">
      <formula>-500</formula>
    </cfRule>
  </conditionalFormatting>
  <conditionalFormatting sqref="I25">
    <cfRule type="cellIs" dxfId="156" priority="8" stopIfTrue="1" operator="lessThan">
      <formula>-500</formula>
    </cfRule>
  </conditionalFormatting>
  <conditionalFormatting sqref="D46">
    <cfRule type="cellIs" dxfId="155" priority="6" stopIfTrue="1" operator="lessThan">
      <formula>-500</formula>
    </cfRule>
  </conditionalFormatting>
  <conditionalFormatting sqref="I46">
    <cfRule type="cellIs" dxfId="154" priority="5" stopIfTrue="1" operator="lessThan">
      <formula>-500</formula>
    </cfRule>
  </conditionalFormatting>
  <conditionalFormatting sqref="I30">
    <cfRule type="cellIs" dxfId="153" priority="4" stopIfTrue="1" operator="lessThan">
      <formula>-500</formula>
    </cfRule>
  </conditionalFormatting>
  <conditionalFormatting sqref="I30">
    <cfRule type="cellIs" dxfId="152" priority="3" stopIfTrue="1" operator="lessThan">
      <formula>-500</formula>
    </cfRule>
  </conditionalFormatting>
  <conditionalFormatting sqref="I32">
    <cfRule type="cellIs" dxfId="151" priority="2" stopIfTrue="1" operator="lessThan">
      <formula>-500</formula>
    </cfRule>
  </conditionalFormatting>
  <conditionalFormatting sqref="I32">
    <cfRule type="cellIs" dxfId="150" priority="1" stopIfTrue="1" operator="lessThan">
      <formula>-500</formula>
    </cfRule>
  </conditionalFormatting>
  <dataValidations count="4">
    <dataValidation type="decimal" operator="lessThan" allowBlank="1" showInputMessage="1" showErrorMessage="1" error="beloppet ska vara 1000tal kr" sqref="I68" xr:uid="{00000000-0002-0000-0300-000000000000}">
      <formula1>99999999</formula1>
    </dataValidation>
    <dataValidation operator="lessThan" allowBlank="1" showInputMessage="1" showErrorMessage="1" sqref="D75 D35" xr:uid="{00000000-0002-0000-0300-000001000000}"/>
    <dataValidation type="decimal" operator="lessThan" allowBlank="1" showInputMessage="1" showErrorMessage="1" error="Beloppet ska vara i 1000 tal kronor" sqref="I17:I21 D54:D57 D40:D43 D17:D25 D27:D30 D13:D15 D8:D11 I54 I69:I75 I57:I58 D32:D34 D59:D70 D72:D74 D48:D52 I24:I25 D45:D46 I27:I30 I32 I40:I51" xr:uid="{00000000-0002-0000-0300-000002000000}">
      <formula1>99999999</formula1>
    </dataValidation>
    <dataValidation type="decimal" operator="lessThanOrEqual" allowBlank="1" showInputMessage="1" showErrorMessage="1" error="Beloppet ska redovisas med minustecken" sqref="D47" xr:uid="{00000000-0002-0000-0300-000003000000}">
      <formula1>0</formula1>
    </dataValidation>
  </dataValidations>
  <pageMargins left="0.7" right="0.7" top="0.75" bottom="0.75" header="0.3" footer="0.3"/>
  <pageSetup paperSize="9" scale="70" orientation="portrait" r:id="rId1"/>
  <headerFooter>
    <oddHeader>&amp;L&amp;8Statistiska Centralbyrån
Offentlig ekonomi&amp;R&amp;P</oddHeader>
  </headerFooter>
  <ignoredErrors>
    <ignoredError sqref="F19:G19 F25 F27:G27 F28:F29 F43:G43 G49:G50 A76 F73 G74 F57:F58"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XFC63"/>
  <sheetViews>
    <sheetView showGridLines="0" zoomScaleNormal="100" workbookViewId="0">
      <pane ySplit="1" topLeftCell="A2" activePane="bottomLeft" state="frozen"/>
      <selection activeCell="F36" sqref="F36"/>
      <selection pane="bottomLeft" activeCell="J24" sqref="J24"/>
    </sheetView>
  </sheetViews>
  <sheetFormatPr defaultColWidth="9.42578125" defaultRowHeight="0" customHeight="1" zeroHeight="1"/>
  <cols>
    <col min="1" max="1" width="4" style="187" customWidth="1"/>
    <col min="2" max="2" width="9.42578125" style="187" customWidth="1"/>
    <col min="3" max="3" width="30.5703125" style="187" customWidth="1"/>
    <col min="4" max="4" width="10.5703125" style="187" customWidth="1"/>
    <col min="5" max="5" width="22" style="187" customWidth="1"/>
    <col min="6" max="6" width="5" style="187" customWidth="1"/>
    <col min="7" max="7" width="27.5703125" style="187" customWidth="1"/>
    <col min="8" max="8" width="4" style="187" customWidth="1"/>
    <col min="9" max="9" width="8.42578125" style="187" customWidth="1"/>
    <col min="10" max="10" width="31.42578125" style="187" customWidth="1"/>
    <col min="11" max="12" width="10.5703125" style="187" customWidth="1"/>
    <col min="13" max="13" width="13.42578125" style="187" customWidth="1"/>
    <col min="14" max="14" width="4.42578125" style="187" customWidth="1"/>
    <col min="15" max="15" width="3.5703125" style="187" customWidth="1"/>
    <col min="16" max="16" width="19.5703125" style="187" customWidth="1"/>
    <col min="17" max="17" width="7" style="187" customWidth="1"/>
    <col min="18" max="18" width="3.5703125" style="187" customWidth="1"/>
    <col min="19" max="19" width="1.5703125" style="187" customWidth="1"/>
    <col min="20" max="20" width="21.5703125" style="187" customWidth="1"/>
    <col min="21" max="16383" width="0" style="187" hidden="1" customWidth="1"/>
    <col min="16384" max="16384" width="4.42578125" style="187" hidden="1" customWidth="1"/>
  </cols>
  <sheetData>
    <row r="1" spans="1:20" ht="18">
      <c r="A1" s="1841" t="str">
        <f>"Skatteintäkter, utjämningssystem o. generella statliga bidrag samt finansiella poster "&amp;År&amp;", 1 000 tal kr"</f>
        <v>Skatteintäkter, utjämningssystem o. generella statliga bidrag samt finansiella poster 2023, 1 000 tal kr</v>
      </c>
      <c r="B1" s="631"/>
      <c r="C1" s="631"/>
      <c r="D1" s="631"/>
      <c r="E1" s="631"/>
      <c r="F1" s="631"/>
      <c r="G1" s="631"/>
      <c r="H1" s="631"/>
      <c r="I1" s="631"/>
      <c r="J1" s="631"/>
      <c r="K1" s="631"/>
      <c r="L1" s="631"/>
      <c r="M1" s="631"/>
      <c r="N1" s="633">
        <f>Information!B3</f>
        <v>0</v>
      </c>
      <c r="O1" s="633"/>
      <c r="P1" s="633"/>
      <c r="Q1" s="633"/>
      <c r="R1" s="633"/>
      <c r="S1" s="633"/>
      <c r="T1" s="634">
        <f>Information!B2</f>
        <v>0</v>
      </c>
    </row>
    <row r="2" spans="1:20" ht="12.75" customHeight="1">
      <c r="A2" s="1487"/>
      <c r="D2" s="430"/>
      <c r="E2" s="48" t="s">
        <v>1002</v>
      </c>
      <c r="F2" s="5"/>
      <c r="G2" s="5"/>
      <c r="K2" s="1704"/>
      <c r="L2" s="2110"/>
      <c r="M2" s="48" t="s">
        <v>1051</v>
      </c>
      <c r="N2" s="5"/>
      <c r="O2" s="5"/>
      <c r="P2" s="5"/>
      <c r="Q2" s="5"/>
      <c r="R2" s="5"/>
      <c r="S2" s="5"/>
      <c r="T2" s="5"/>
    </row>
    <row r="3" spans="1:20" ht="12.75" customHeight="1">
      <c r="D3" s="107"/>
      <c r="E3" s="48" t="s">
        <v>627</v>
      </c>
      <c r="F3" s="5"/>
      <c r="G3" s="5"/>
      <c r="J3" s="5"/>
      <c r="K3" s="5"/>
      <c r="L3" s="5"/>
      <c r="M3" s="48" t="s">
        <v>1052</v>
      </c>
      <c r="N3" s="5"/>
      <c r="O3" s="5"/>
      <c r="P3" s="5"/>
      <c r="Q3" s="5"/>
      <c r="R3" s="5"/>
      <c r="S3" s="189"/>
      <c r="T3" s="5"/>
    </row>
    <row r="4" spans="1:20" ht="17.25" customHeight="1" thickBot="1">
      <c r="A4" s="83" t="s">
        <v>878</v>
      </c>
      <c r="B4" s="5"/>
      <c r="C4" s="5"/>
      <c r="D4" s="36"/>
      <c r="G4" s="5"/>
      <c r="H4" s="83" t="s">
        <v>879</v>
      </c>
      <c r="I4" s="188"/>
      <c r="J4" s="188"/>
      <c r="K4" s="188"/>
      <c r="L4" s="188"/>
      <c r="M4" s="5"/>
      <c r="N4" s="5"/>
      <c r="O4" s="5"/>
      <c r="P4" s="5"/>
      <c r="Q4" s="5"/>
      <c r="R4" s="5"/>
      <c r="S4" s="189"/>
      <c r="T4" s="5"/>
    </row>
    <row r="5" spans="1:20" s="201" customFormat="1" ht="12.75">
      <c r="A5" s="739" t="s">
        <v>873</v>
      </c>
      <c r="B5" s="2776" t="str">
        <f>"BAS "&amp;År-2000&amp;""</f>
        <v>BAS 23</v>
      </c>
      <c r="C5" s="946"/>
      <c r="D5" s="952"/>
      <c r="E5" s="200"/>
      <c r="F5" s="200"/>
      <c r="G5" s="200"/>
      <c r="H5" s="739" t="s">
        <v>873</v>
      </c>
      <c r="I5" s="2776" t="str">
        <f>"BAS "&amp;År-2000&amp;""</f>
        <v>BAS 23</v>
      </c>
      <c r="J5" s="946"/>
      <c r="K5" s="750" t="s">
        <v>875</v>
      </c>
      <c r="L5" s="2378" t="s">
        <v>979</v>
      </c>
      <c r="M5" s="1681"/>
      <c r="N5" s="242" t="s">
        <v>1314</v>
      </c>
      <c r="O5" s="200"/>
      <c r="P5" s="200"/>
      <c r="Q5" s="200"/>
      <c r="S5" s="526"/>
      <c r="T5" s="200"/>
    </row>
    <row r="6" spans="1:20" s="201" customFormat="1" ht="12.75">
      <c r="A6" s="741" t="s">
        <v>876</v>
      </c>
      <c r="B6" s="932"/>
      <c r="C6" s="947"/>
      <c r="D6" s="951"/>
      <c r="E6" s="200"/>
      <c r="F6" s="200"/>
      <c r="G6" s="200"/>
      <c r="H6" s="741" t="s">
        <v>876</v>
      </c>
      <c r="I6" s="752"/>
      <c r="J6" s="947"/>
      <c r="K6" s="752" t="s">
        <v>516</v>
      </c>
      <c r="L6" s="1207" t="s">
        <v>516</v>
      </c>
      <c r="M6" s="1682"/>
      <c r="N6" s="200"/>
      <c r="O6" s="200"/>
      <c r="P6" s="200"/>
      <c r="Q6" s="200"/>
      <c r="S6" s="98"/>
      <c r="T6" s="200"/>
    </row>
    <row r="7" spans="1:20" ht="15">
      <c r="A7" s="2788"/>
      <c r="B7" s="2789"/>
      <c r="C7" s="948"/>
      <c r="D7" s="953"/>
      <c r="E7" s="5"/>
      <c r="F7" s="5"/>
      <c r="G7" s="5"/>
      <c r="H7" s="954"/>
      <c r="I7" s="734"/>
      <c r="J7" s="734"/>
      <c r="K7" s="734"/>
      <c r="L7" s="955"/>
      <c r="M7" s="1683"/>
      <c r="N7" s="5"/>
      <c r="O7" s="5"/>
      <c r="P7" s="5"/>
      <c r="Q7" s="5"/>
      <c r="S7" s="19"/>
      <c r="T7" s="5"/>
    </row>
    <row r="8" spans="1:20" ht="12.75">
      <c r="A8" s="910">
        <v>600</v>
      </c>
      <c r="B8" s="704">
        <v>801</v>
      </c>
      <c r="C8" s="705" t="s">
        <v>954</v>
      </c>
      <c r="D8" s="443"/>
      <c r="E8" s="5"/>
      <c r="F8" s="5"/>
      <c r="G8" s="5"/>
      <c r="H8" s="907">
        <v>800</v>
      </c>
      <c r="I8" s="704">
        <v>841</v>
      </c>
      <c r="J8" s="705" t="s">
        <v>967</v>
      </c>
      <c r="K8" s="2112"/>
      <c r="L8" s="2113"/>
      <c r="M8" s="2484" t="str">
        <f>IF(K16=0,"",IF(OR(K8="",L8=""),"Skriv belopp eller 0",""))</f>
        <v/>
      </c>
      <c r="N8" s="718">
        <v>801</v>
      </c>
      <c r="O8" s="2114">
        <v>8411</v>
      </c>
      <c r="P8" s="1976" t="s">
        <v>1804</v>
      </c>
      <c r="Q8" s="1977"/>
      <c r="R8" s="2076" t="str">
        <f>IF(Q8&gt;K8,"däravrad 801&gt;rad 800",IF(AND(K8&gt;1,Q8=""),"skriv belopp eller 0",""))</f>
        <v/>
      </c>
      <c r="S8" s="1679"/>
      <c r="T8" s="5"/>
    </row>
    <row r="9" spans="1:20" ht="12.75">
      <c r="A9" s="910">
        <v>620</v>
      </c>
      <c r="B9" s="806">
        <v>8052</v>
      </c>
      <c r="C9" s="698" t="str">
        <f>"Slutavräkning, prognos för "&amp;År&amp;""</f>
        <v>Slutavräkning, prognos för 2023</v>
      </c>
      <c r="D9" s="443"/>
      <c r="E9" s="5"/>
      <c r="F9" s="5"/>
      <c r="G9" s="5"/>
      <c r="H9" s="910">
        <v>810</v>
      </c>
      <c r="I9" s="949">
        <v>844</v>
      </c>
      <c r="J9" s="950" t="s">
        <v>968</v>
      </c>
      <c r="K9" s="24"/>
      <c r="L9" s="110"/>
      <c r="M9" s="2484" t="str">
        <f>IF(K16=0,"",IF(OR(K9="",L9=""),"Skriv belopp eller 0",""))</f>
        <v/>
      </c>
      <c r="N9" s="5"/>
      <c r="O9" s="5"/>
      <c r="P9" s="5"/>
      <c r="Q9" s="5"/>
      <c r="S9" s="1679"/>
      <c r="T9" s="5"/>
    </row>
    <row r="10" spans="1:20" ht="12.75">
      <c r="A10" s="910">
        <v>625</v>
      </c>
      <c r="B10" s="806">
        <v>8051</v>
      </c>
      <c r="C10" s="698" t="str">
        <f>"Justering slutavräkning "&amp;År-1&amp;""</f>
        <v>Justering slutavräkning 2022</v>
      </c>
      <c r="D10" s="443"/>
      <c r="E10" s="5"/>
      <c r="F10" s="5"/>
      <c r="G10" s="5"/>
      <c r="H10" s="910">
        <v>880</v>
      </c>
      <c r="I10" s="704">
        <v>845</v>
      </c>
      <c r="J10" s="705" t="s">
        <v>969</v>
      </c>
      <c r="K10" s="24"/>
      <c r="L10" s="1064"/>
      <c r="M10" s="2484" t="str">
        <f>IF(K16=0,"",IF(K10="","Skriv belopp eller 0",""))</f>
        <v/>
      </c>
      <c r="N10" s="5"/>
      <c r="O10" s="5"/>
      <c r="P10" s="5"/>
      <c r="Q10" s="5"/>
      <c r="S10" s="1679"/>
      <c r="T10" s="5"/>
    </row>
    <row r="11" spans="1:20" ht="12.75">
      <c r="A11" s="910">
        <v>630</v>
      </c>
      <c r="B11" s="806"/>
      <c r="C11" s="698" t="str">
        <f>"Justeringspost slutavräkning "&amp;År&amp;""</f>
        <v>Justeringspost slutavräkning 2023</v>
      </c>
      <c r="D11" s="250"/>
      <c r="E11" s="197" t="str">
        <f>IF(OR(D11&lt;-1000,D11&gt;1000),"Kommentera beloppet","")</f>
        <v/>
      </c>
      <c r="F11" s="5"/>
      <c r="G11" s="5"/>
      <c r="H11" s="910">
        <v>885</v>
      </c>
      <c r="I11" s="704">
        <v>8481</v>
      </c>
      <c r="J11" s="705" t="s">
        <v>534</v>
      </c>
      <c r="K11" s="24"/>
      <c r="L11" s="1064"/>
      <c r="M11" s="2484" t="str">
        <f>IF(K16=0,"",IF(K11="","Skriv belopp eller 0",""))</f>
        <v/>
      </c>
      <c r="N11" s="5"/>
      <c r="O11" s="5"/>
      <c r="P11" s="5"/>
      <c r="Q11" s="5"/>
      <c r="S11" s="1679"/>
      <c r="T11" s="5"/>
    </row>
    <row r="12" spans="1:20" ht="12.75">
      <c r="A12" s="910">
        <v>640</v>
      </c>
      <c r="B12" s="700" t="s">
        <v>1330</v>
      </c>
      <c r="C12" s="693" t="s">
        <v>1805</v>
      </c>
      <c r="D12" s="250"/>
      <c r="E12" s="1717" t="str">
        <f>IF(OR(D12&lt;-1000,D12&gt;1000),"Kommentera beloppet","")</f>
        <v/>
      </c>
      <c r="F12" s="5"/>
      <c r="G12" s="5"/>
      <c r="H12" s="910">
        <v>886</v>
      </c>
      <c r="I12" s="704">
        <v>8482</v>
      </c>
      <c r="J12" s="705" t="s">
        <v>980</v>
      </c>
      <c r="K12" s="24"/>
      <c r="L12" s="1064"/>
      <c r="M12" s="2484" t="str">
        <f>IF(K16=0,"",IF(K12="","Skriv belopp eller 0",""))</f>
        <v/>
      </c>
      <c r="N12" s="1654"/>
      <c r="O12" s="1654"/>
      <c r="P12" s="160"/>
      <c r="Q12" s="2098"/>
      <c r="S12" s="1679"/>
      <c r="T12" s="5"/>
    </row>
    <row r="13" spans="1:20" ht="13.5" thickBot="1">
      <c r="A13" s="911">
        <v>680</v>
      </c>
      <c r="B13" s="1677"/>
      <c r="C13" s="1678" t="s">
        <v>1321</v>
      </c>
      <c r="D13" s="439"/>
      <c r="E13" s="36"/>
      <c r="F13" s="5"/>
      <c r="G13" s="5"/>
      <c r="H13" s="910">
        <v>884</v>
      </c>
      <c r="I13" s="700">
        <v>843</v>
      </c>
      <c r="J13" s="693" t="s">
        <v>1711</v>
      </c>
      <c r="K13" s="24"/>
      <c r="L13" s="110"/>
      <c r="M13" s="2484" t="str">
        <f>IF(K16=0,"",IF(OR(K13="",L13=""),"Skriv belopp eller 0",""))</f>
        <v/>
      </c>
      <c r="N13" s="1654"/>
      <c r="O13" s="1654"/>
      <c r="P13" s="160"/>
      <c r="Q13" s="2098"/>
      <c r="S13" s="1679"/>
      <c r="T13" s="5"/>
    </row>
    <row r="14" spans="1:20" ht="21.75" customHeight="1" thickBot="1">
      <c r="A14" s="701">
        <v>690</v>
      </c>
      <c r="B14" s="706"/>
      <c r="C14" s="707" t="s">
        <v>878</v>
      </c>
      <c r="D14" s="439">
        <f>SUM(D8:D13)</f>
        <v>0</v>
      </c>
      <c r="E14" s="5"/>
      <c r="F14" s="5"/>
      <c r="G14" s="5"/>
      <c r="H14" s="690">
        <v>882</v>
      </c>
      <c r="I14" s="1762">
        <v>846</v>
      </c>
      <c r="J14" s="693" t="s">
        <v>1710</v>
      </c>
      <c r="K14" s="24"/>
      <c r="L14" s="1064"/>
      <c r="M14" s="2484" t="str">
        <f>IF(K16=0,"",IF(K14="","Skriv belopp eller 0",""))</f>
        <v/>
      </c>
      <c r="N14" s="1654"/>
      <c r="O14" s="1654"/>
      <c r="P14" s="160"/>
      <c r="Q14" s="2098"/>
      <c r="R14" s="1717"/>
      <c r="S14" s="1663"/>
      <c r="T14" s="5"/>
    </row>
    <row r="15" spans="1:20" ht="13.5" thickBot="1">
      <c r="A15" s="5"/>
      <c r="B15" s="5"/>
      <c r="C15" s="204"/>
      <c r="D15" s="5"/>
      <c r="E15" s="5"/>
      <c r="F15" s="5"/>
      <c r="G15" s="5"/>
      <c r="H15" s="701">
        <v>888</v>
      </c>
      <c r="I15" s="2589">
        <v>849</v>
      </c>
      <c r="J15" s="713" t="s">
        <v>1613</v>
      </c>
      <c r="K15" s="117">
        <v>0</v>
      </c>
      <c r="L15" s="2574"/>
      <c r="M15" s="2484" t="str">
        <f>IF(K15="","Skriv belopp eller 0","")</f>
        <v/>
      </c>
      <c r="N15" s="1870">
        <v>889</v>
      </c>
      <c r="O15" s="1870">
        <v>8491</v>
      </c>
      <c r="P15" s="2550" t="s">
        <v>1550</v>
      </c>
      <c r="Q15" s="1837"/>
      <c r="R15" s="1717" t="str">
        <f>IF(SUM(Q15+Q16)&gt;K15,"däravrader 889+891&gt;rad888",IF(AND(K15&gt;1,Q15=""),"skriv belopp eller 0",""))</f>
        <v/>
      </c>
      <c r="S15" s="1654"/>
      <c r="T15" s="5"/>
    </row>
    <row r="16" spans="1:20" ht="16.5" thickBot="1">
      <c r="A16" s="83" t="s">
        <v>985</v>
      </c>
      <c r="B16" s="5"/>
      <c r="C16" s="5"/>
      <c r="D16" s="5"/>
      <c r="E16" s="5"/>
      <c r="F16" s="5"/>
      <c r="G16" s="5"/>
      <c r="H16" s="688">
        <v>890</v>
      </c>
      <c r="I16" s="702"/>
      <c r="J16" s="678" t="s">
        <v>7</v>
      </c>
      <c r="K16" s="2111">
        <f>RR!C14</f>
        <v>0</v>
      </c>
      <c r="L16" s="2115"/>
      <c r="M16" s="2069"/>
      <c r="N16" s="1871">
        <v>891</v>
      </c>
      <c r="O16" s="1871"/>
      <c r="P16" s="1673" t="s">
        <v>1200</v>
      </c>
      <c r="Q16" s="1838"/>
      <c r="R16" s="1717" t="str">
        <f>IF(AND(K15&gt;1,Q16=""),"skriv belopp eller 0","")</f>
        <v/>
      </c>
      <c r="T16" s="5"/>
    </row>
    <row r="17" spans="1:20" ht="16.5" thickBot="1">
      <c r="A17" s="83" t="s">
        <v>986</v>
      </c>
      <c r="B17" s="5"/>
      <c r="C17" s="5"/>
      <c r="D17" s="36"/>
      <c r="E17" s="5"/>
      <c r="F17" s="5"/>
      <c r="G17" s="5"/>
      <c r="H17" s="9"/>
      <c r="I17" s="1684" t="s">
        <v>1481</v>
      </c>
      <c r="J17" s="135"/>
      <c r="K17" s="1684">
        <f>(K16-SUM(K8:K15))*-1</f>
        <v>0</v>
      </c>
      <c r="L17" s="2116" t="str">
        <f>IF(ABS(K17)&gt;50,"eliminera differensen i kolumn K","")</f>
        <v/>
      </c>
      <c r="M17" s="1536"/>
      <c r="N17" s="5"/>
      <c r="O17" s="5"/>
      <c r="P17" s="5"/>
      <c r="Q17" s="5"/>
      <c r="R17" s="5"/>
      <c r="T17" s="5"/>
    </row>
    <row r="18" spans="1:20" ht="16.5" thickBot="1">
      <c r="A18" s="739" t="s">
        <v>873</v>
      </c>
      <c r="B18" s="2776" t="str">
        <f>"BAS "&amp;År-2000&amp;""</f>
        <v>BAS 23</v>
      </c>
      <c r="C18" s="946"/>
      <c r="D18" s="952"/>
      <c r="E18" s="5"/>
      <c r="F18" s="5"/>
      <c r="G18" s="5"/>
      <c r="H18" s="83" t="s">
        <v>880</v>
      </c>
      <c r="I18" s="189"/>
      <c r="J18" s="189"/>
      <c r="K18" s="189"/>
      <c r="L18" s="189"/>
      <c r="N18" s="2909"/>
      <c r="O18" s="2909"/>
      <c r="P18" s="2909"/>
      <c r="Q18" s="2910"/>
      <c r="R18" s="5"/>
      <c r="T18" s="5"/>
    </row>
    <row r="19" spans="1:20" ht="12.75">
      <c r="A19" s="741" t="s">
        <v>876</v>
      </c>
      <c r="B19" s="932"/>
      <c r="C19" s="749"/>
      <c r="D19" s="956"/>
      <c r="E19" s="5"/>
      <c r="F19" s="5"/>
      <c r="G19" s="5"/>
      <c r="H19" s="739" t="s">
        <v>873</v>
      </c>
      <c r="I19" s="2776" t="str">
        <f>"BAS "&amp;År-2000&amp;""</f>
        <v>BAS 23</v>
      </c>
      <c r="J19" s="946"/>
      <c r="K19" s="2119" t="s">
        <v>875</v>
      </c>
      <c r="L19" s="2376" t="s">
        <v>979</v>
      </c>
      <c r="M19" s="1654"/>
      <c r="N19" s="2911"/>
      <c r="O19" s="2911"/>
      <c r="P19" s="2911"/>
      <c r="Q19" s="2910"/>
      <c r="S19" s="526"/>
      <c r="T19" s="5"/>
    </row>
    <row r="20" spans="1:20" s="201" customFormat="1" ht="15">
      <c r="A20" s="976"/>
      <c r="B20" s="934"/>
      <c r="C20" s="734"/>
      <c r="D20" s="957"/>
      <c r="E20" s="200"/>
      <c r="F20" s="200"/>
      <c r="G20" s="200"/>
      <c r="H20" s="741" t="s">
        <v>876</v>
      </c>
      <c r="I20" s="958"/>
      <c r="J20" s="947"/>
      <c r="K20" s="2120" t="s">
        <v>516</v>
      </c>
      <c r="L20" s="2377" t="s">
        <v>516</v>
      </c>
      <c r="M20" s="98"/>
      <c r="Q20" s="230"/>
      <c r="S20" s="98"/>
      <c r="T20" s="200"/>
    </row>
    <row r="21" spans="1:20" s="201" customFormat="1" ht="14.25" customHeight="1">
      <c r="A21" s="690">
        <v>711</v>
      </c>
      <c r="B21" s="806">
        <v>821</v>
      </c>
      <c r="C21" s="698" t="s">
        <v>960</v>
      </c>
      <c r="D21" s="443"/>
      <c r="E21" s="200"/>
      <c r="F21" s="2510"/>
      <c r="G21" s="2511"/>
      <c r="H21" s="959"/>
      <c r="I21" s="960"/>
      <c r="J21" s="948"/>
      <c r="K21" s="2117"/>
      <c r="L21" s="961"/>
      <c r="M21" s="19"/>
      <c r="N21" s="204"/>
      <c r="O21" s="204"/>
      <c r="P21" s="204"/>
      <c r="Q21" s="189"/>
      <c r="S21" s="19"/>
      <c r="T21" s="200"/>
    </row>
    <row r="22" spans="1:20" ht="14.25" customHeight="1">
      <c r="A22" s="690">
        <v>713</v>
      </c>
      <c r="B22" s="806">
        <v>822</v>
      </c>
      <c r="C22" s="698" t="s">
        <v>961</v>
      </c>
      <c r="D22" s="443"/>
      <c r="E22" s="5"/>
      <c r="F22" s="2512"/>
      <c r="G22" s="2511"/>
      <c r="H22" s="690">
        <v>900</v>
      </c>
      <c r="I22" s="704">
        <v>852</v>
      </c>
      <c r="J22" s="693" t="s">
        <v>1024</v>
      </c>
      <c r="K22" s="566"/>
      <c r="L22" s="109"/>
      <c r="M22" s="2484" t="str">
        <f>IF(K30=0,"",IF(OR(K22="",L22=""),"Skriv belopp eller 0",""))</f>
        <v/>
      </c>
      <c r="N22" s="1654"/>
      <c r="O22" s="160"/>
      <c r="P22" s="290"/>
      <c r="Q22" s="135"/>
      <c r="S22" s="1679"/>
      <c r="T22" s="5"/>
    </row>
    <row r="23" spans="1:20" ht="14.25" customHeight="1">
      <c r="A23" s="690">
        <v>715</v>
      </c>
      <c r="B23" s="806">
        <v>823</v>
      </c>
      <c r="C23" s="698" t="s">
        <v>962</v>
      </c>
      <c r="D23" s="443"/>
      <c r="E23" s="224"/>
      <c r="F23" s="2512"/>
      <c r="G23" s="2511"/>
      <c r="H23" s="690">
        <v>910</v>
      </c>
      <c r="I23" s="700">
        <v>853</v>
      </c>
      <c r="J23" s="693" t="s">
        <v>1802</v>
      </c>
      <c r="K23" s="566"/>
      <c r="L23" s="110"/>
      <c r="M23" s="2484" t="str">
        <f>IF(K30=0,"",IF(OR(K23="",L23=""),"Skriv belopp eller 0",""))</f>
        <v/>
      </c>
      <c r="N23" s="5"/>
      <c r="O23" s="5"/>
      <c r="P23" s="5"/>
      <c r="Q23" s="189"/>
      <c r="S23" s="1663"/>
      <c r="T23" s="5"/>
    </row>
    <row r="24" spans="1:20" ht="14.25" customHeight="1">
      <c r="A24" s="690">
        <v>717</v>
      </c>
      <c r="B24" s="806">
        <v>824</v>
      </c>
      <c r="C24" s="698" t="s">
        <v>963</v>
      </c>
      <c r="D24" s="443"/>
      <c r="E24" s="224"/>
      <c r="F24" s="2512"/>
      <c r="G24" s="2511"/>
      <c r="H24" s="690">
        <v>920</v>
      </c>
      <c r="I24" s="2811">
        <v>855</v>
      </c>
      <c r="J24" s="2812" t="s">
        <v>1828</v>
      </c>
      <c r="K24" s="566"/>
      <c r="L24" s="1064"/>
      <c r="M24" s="2484" t="str">
        <f>IF(K30=0,"",IF(K24="","Skriv belopp eller 0",""))</f>
        <v/>
      </c>
      <c r="N24" s="5"/>
      <c r="O24" s="5"/>
      <c r="P24" s="5"/>
      <c r="Q24" s="189"/>
      <c r="S24" s="1679"/>
      <c r="T24" s="5"/>
    </row>
    <row r="25" spans="1:20" ht="21" customHeight="1">
      <c r="A25" s="690">
        <v>719</v>
      </c>
      <c r="B25" s="806">
        <v>825</v>
      </c>
      <c r="C25" s="698" t="s">
        <v>964</v>
      </c>
      <c r="D25" s="443"/>
      <c r="E25" s="224"/>
      <c r="F25" s="2912" t="s">
        <v>1709</v>
      </c>
      <c r="G25" s="2913"/>
      <c r="H25" s="690">
        <v>985</v>
      </c>
      <c r="I25" s="700">
        <v>8581</v>
      </c>
      <c r="J25" s="693" t="s">
        <v>987</v>
      </c>
      <c r="K25" s="566"/>
      <c r="L25" s="1064"/>
      <c r="M25" s="2484" t="str">
        <f>IF(K30=0,"",IF(K25="","Skriv belopp eller 0",""))</f>
        <v/>
      </c>
      <c r="N25" s="1654"/>
      <c r="O25" s="1654"/>
      <c r="P25" s="160"/>
      <c r="Q25" s="281"/>
      <c r="S25" s="1663"/>
      <c r="T25" s="5"/>
    </row>
    <row r="26" spans="1:20" ht="22.5" customHeight="1">
      <c r="A26" s="690">
        <v>785</v>
      </c>
      <c r="B26" s="806">
        <v>826</v>
      </c>
      <c r="C26" s="698" t="s">
        <v>965</v>
      </c>
      <c r="D26" s="443"/>
      <c r="E26" s="2505"/>
      <c r="F26" s="2914"/>
      <c r="G26" s="2913"/>
      <c r="H26" s="690">
        <v>996</v>
      </c>
      <c r="I26" s="700">
        <v>8582</v>
      </c>
      <c r="J26" s="693" t="s">
        <v>988</v>
      </c>
      <c r="K26" s="566"/>
      <c r="L26" s="1064"/>
      <c r="M26" s="2484" t="str">
        <f>IF(K30=0,"",IF(K26="","Skriv belopp eller 0",""))</f>
        <v/>
      </c>
      <c r="N26" s="1654"/>
      <c r="O26" s="1654"/>
      <c r="P26" s="160"/>
      <c r="Q26" s="281"/>
      <c r="S26" s="1663"/>
      <c r="T26" s="189"/>
    </row>
    <row r="27" spans="1:20" ht="15.75" customHeight="1">
      <c r="A27" s="690">
        <v>740</v>
      </c>
      <c r="B27" s="700">
        <v>829</v>
      </c>
      <c r="C27" s="698" t="s">
        <v>1057</v>
      </c>
      <c r="D27" s="250"/>
      <c r="E27" s="2519" t="str">
        <f>IF(D27&lt;1000,"Se kontrolltext till höger","")</f>
        <v>Se kontrolltext till höger</v>
      </c>
      <c r="F27" s="2915"/>
      <c r="G27" s="2913"/>
      <c r="H27" s="690">
        <v>984</v>
      </c>
      <c r="I27" s="700">
        <v>851</v>
      </c>
      <c r="J27" s="693" t="s">
        <v>1803</v>
      </c>
      <c r="K27" s="566"/>
      <c r="L27" s="110"/>
      <c r="M27" s="2484" t="str">
        <f>IF(K30=0,"",IF(OR(K27="",L27=""),"Skriv belopp eller 0",""))</f>
        <v/>
      </c>
      <c r="N27" s="1654"/>
      <c r="O27" s="1654"/>
      <c r="P27" s="160"/>
      <c r="Q27" s="281"/>
      <c r="S27" s="1663"/>
      <c r="T27" s="189"/>
    </row>
    <row r="28" spans="1:20" ht="20.25" customHeight="1" thickBot="1">
      <c r="A28" s="701">
        <v>750</v>
      </c>
      <c r="B28" s="702">
        <v>82</v>
      </c>
      <c r="C28" s="1674" t="s">
        <v>966</v>
      </c>
      <c r="D28" s="439">
        <f>SUM(D21:D27)</f>
        <v>0</v>
      </c>
      <c r="E28" s="2483"/>
      <c r="F28" s="2679"/>
      <c r="G28" s="2680"/>
      <c r="H28" s="2714">
        <v>992</v>
      </c>
      <c r="I28" s="2532">
        <v>856</v>
      </c>
      <c r="J28" s="693" t="s">
        <v>1615</v>
      </c>
      <c r="K28" s="566"/>
      <c r="L28" s="1064"/>
      <c r="M28" s="2484" t="str">
        <f>IF(K30=0,"",IF(K28="","Skriv belopp eller 0",""))</f>
        <v/>
      </c>
      <c r="N28" s="1654"/>
      <c r="O28" s="1654"/>
      <c r="P28" s="160"/>
      <c r="Q28" s="281"/>
      <c r="S28" s="1680"/>
      <c r="T28" s="189"/>
    </row>
    <row r="29" spans="1:20" ht="18" customHeight="1" thickBot="1">
      <c r="A29" s="5"/>
      <c r="B29" s="5"/>
      <c r="C29" s="5"/>
      <c r="D29" s="5"/>
      <c r="E29" s="2520"/>
      <c r="F29" s="2679"/>
      <c r="G29" s="2680"/>
      <c r="H29" s="1768">
        <v>998</v>
      </c>
      <c r="I29" s="1677">
        <v>859</v>
      </c>
      <c r="J29" s="1678" t="s">
        <v>1614</v>
      </c>
      <c r="K29" s="2118"/>
      <c r="L29" s="2649"/>
      <c r="M29" s="2484" t="str">
        <f>IF(K30=0,"",IF(K29="","Skriv belopp eller 0",""))</f>
        <v/>
      </c>
      <c r="N29" s="189"/>
      <c r="O29" s="189"/>
      <c r="P29" s="189"/>
      <c r="Q29" s="189"/>
      <c r="S29" s="1654"/>
      <c r="T29" s="189"/>
    </row>
    <row r="30" spans="1:20" ht="19.5" customHeight="1" thickBot="1">
      <c r="A30" s="5"/>
      <c r="B30" s="5"/>
      <c r="C30" s="5"/>
      <c r="D30" s="5"/>
      <c r="E30" s="2521"/>
      <c r="F30" s="2916"/>
      <c r="G30" s="2917"/>
      <c r="H30" s="701">
        <v>990</v>
      </c>
      <c r="I30" s="706"/>
      <c r="J30" s="707" t="s">
        <v>8</v>
      </c>
      <c r="K30" s="1827">
        <f>RR!C15</f>
        <v>0</v>
      </c>
      <c r="L30" s="20"/>
      <c r="N30" s="5"/>
      <c r="O30" s="5"/>
      <c r="P30" s="5"/>
      <c r="Q30" s="5"/>
      <c r="R30" s="189"/>
      <c r="T30" s="189"/>
    </row>
    <row r="31" spans="1:20" ht="16.5" customHeight="1" thickBot="1">
      <c r="A31" s="83" t="s">
        <v>1224</v>
      </c>
      <c r="B31" s="5"/>
      <c r="C31" s="5"/>
      <c r="D31" s="36"/>
      <c r="E31" s="224"/>
      <c r="F31" s="2918"/>
      <c r="G31" s="2918"/>
      <c r="H31" s="5"/>
      <c r="I31" s="1685" t="s">
        <v>1078</v>
      </c>
      <c r="J31" s="197"/>
      <c r="K31" s="2091">
        <f>(K30-SUM(K22:K29))*-1</f>
        <v>0</v>
      </c>
      <c r="L31" s="1569" t="str">
        <f>IF(ABS(K31)&gt;50,"eliminera differensen i kolumn K","")</f>
        <v/>
      </c>
      <c r="M31" s="1569"/>
      <c r="N31" s="5"/>
      <c r="O31" s="5"/>
      <c r="P31" s="5"/>
      <c r="Q31" s="5"/>
      <c r="R31" s="5"/>
      <c r="T31" s="5"/>
    </row>
    <row r="32" spans="1:20" ht="12.75">
      <c r="A32" s="739" t="s">
        <v>873</v>
      </c>
      <c r="B32" s="2776" t="str">
        <f>"BAS "&amp;År-2000&amp;""</f>
        <v>BAS 23</v>
      </c>
      <c r="C32" s="946"/>
      <c r="D32" s="952"/>
      <c r="E32" s="224"/>
      <c r="F32" s="2918"/>
      <c r="G32" s="2918"/>
      <c r="H32" s="5"/>
      <c r="I32" s="5"/>
      <c r="J32" s="5"/>
      <c r="K32" s="5"/>
      <c r="L32" s="5"/>
      <c r="M32" s="5"/>
      <c r="N32" s="5"/>
      <c r="O32" s="5"/>
      <c r="P32" s="5"/>
      <c r="Q32" s="5"/>
      <c r="R32" s="5"/>
      <c r="S32" s="5"/>
      <c r="T32" s="5"/>
    </row>
    <row r="33" spans="1:20" ht="12.75">
      <c r="A33" s="741" t="s">
        <v>876</v>
      </c>
      <c r="B33" s="932"/>
      <c r="C33" s="749"/>
      <c r="D33" s="956"/>
      <c r="E33" s="5"/>
      <c r="F33" s="2918"/>
      <c r="G33" s="2918"/>
      <c r="H33" s="5"/>
      <c r="I33" s="5"/>
      <c r="J33" s="5"/>
      <c r="K33" s="5"/>
      <c r="L33" s="5"/>
      <c r="M33" s="5"/>
      <c r="N33" s="5"/>
      <c r="O33" s="5"/>
      <c r="P33" s="5"/>
      <c r="Q33" s="5"/>
      <c r="R33" s="5"/>
      <c r="S33" s="5"/>
      <c r="T33" s="5"/>
    </row>
    <row r="34" spans="1:20" ht="15">
      <c r="A34" s="976"/>
      <c r="B34" s="934"/>
      <c r="C34" s="734"/>
      <c r="D34" s="957"/>
      <c r="E34" s="5"/>
      <c r="F34" s="2918"/>
      <c r="G34" s="2918"/>
      <c r="H34" s="88" t="s">
        <v>607</v>
      </c>
      <c r="I34" s="5"/>
      <c r="J34" s="5"/>
      <c r="K34" s="5"/>
      <c r="L34" s="5"/>
      <c r="M34" s="5"/>
      <c r="R34" s="5"/>
      <c r="S34" s="5"/>
      <c r="T34" s="5"/>
    </row>
    <row r="35" spans="1:20" ht="12.75">
      <c r="A35" s="910">
        <v>760</v>
      </c>
      <c r="B35" s="704">
        <v>831</v>
      </c>
      <c r="C35" s="705" t="s">
        <v>955</v>
      </c>
      <c r="D35" s="443"/>
      <c r="E35" s="5"/>
      <c r="F35" s="5"/>
      <c r="G35" s="5"/>
      <c r="H35" s="2919"/>
      <c r="I35" s="2874"/>
      <c r="J35" s="2874"/>
      <c r="K35" s="2875"/>
      <c r="L35" s="2573"/>
    </row>
    <row r="36" spans="1:20" ht="12.75">
      <c r="A36" s="910">
        <v>770</v>
      </c>
      <c r="B36" s="704">
        <v>834</v>
      </c>
      <c r="C36" s="705" t="s">
        <v>956</v>
      </c>
      <c r="D36" s="443"/>
      <c r="E36" s="5"/>
      <c r="F36" s="5"/>
      <c r="G36" s="5"/>
      <c r="H36" s="2876"/>
      <c r="I36" s="2877"/>
      <c r="J36" s="2877"/>
      <c r="K36" s="2878"/>
      <c r="L36" s="2573"/>
      <c r="N36" s="5"/>
      <c r="O36" s="5"/>
      <c r="P36" s="5"/>
      <c r="Q36" s="5"/>
    </row>
    <row r="37" spans="1:20" ht="12.75">
      <c r="A37" s="910">
        <v>780</v>
      </c>
      <c r="B37" s="704">
        <v>835</v>
      </c>
      <c r="C37" s="705" t="s">
        <v>957</v>
      </c>
      <c r="D37" s="444"/>
      <c r="E37" s="5"/>
      <c r="F37" s="5"/>
      <c r="G37" s="5"/>
      <c r="H37" s="2876"/>
      <c r="I37" s="2877"/>
      <c r="J37" s="2877"/>
      <c r="K37" s="2878"/>
      <c r="L37" s="2573"/>
      <c r="M37" s="5"/>
      <c r="N37" s="5"/>
      <c r="O37" s="5"/>
      <c r="P37" s="5"/>
      <c r="Q37" s="5"/>
      <c r="R37" s="5"/>
      <c r="S37" s="5"/>
      <c r="T37" s="5"/>
    </row>
    <row r="38" spans="1:20" ht="12.75">
      <c r="A38" s="910">
        <v>786</v>
      </c>
      <c r="B38" s="704">
        <v>836</v>
      </c>
      <c r="C38" s="705" t="s">
        <v>958</v>
      </c>
      <c r="D38" s="444"/>
      <c r="E38" s="5"/>
      <c r="F38" s="5"/>
      <c r="G38" s="5"/>
      <c r="H38" s="2879"/>
      <c r="I38" s="2880"/>
      <c r="J38" s="2880"/>
      <c r="K38" s="2881"/>
      <c r="L38" s="2573"/>
      <c r="M38" s="5"/>
      <c r="N38" s="5"/>
      <c r="O38" s="5"/>
      <c r="P38" s="5"/>
      <c r="Q38" s="5"/>
      <c r="R38" s="5"/>
      <c r="S38" s="5"/>
      <c r="T38" s="5"/>
    </row>
    <row r="39" spans="1:20" ht="13.5" thickBot="1">
      <c r="A39" s="911">
        <v>790</v>
      </c>
      <c r="B39" s="962"/>
      <c r="C39" s="1675" t="s">
        <v>959</v>
      </c>
      <c r="D39" s="440">
        <f>SUM(D35:D38)</f>
        <v>0</v>
      </c>
      <c r="E39" s="36"/>
      <c r="F39" s="5"/>
      <c r="G39" s="5"/>
      <c r="H39" s="5"/>
      <c r="I39" s="5"/>
      <c r="J39" s="5"/>
      <c r="K39" s="5"/>
      <c r="L39" s="5"/>
      <c r="M39" s="5"/>
      <c r="N39" s="5"/>
      <c r="O39" s="5"/>
      <c r="P39" s="5"/>
      <c r="Q39" s="5"/>
      <c r="R39" s="5"/>
      <c r="S39" s="5"/>
      <c r="T39" s="5"/>
    </row>
    <row r="40" spans="1:20" ht="13.5" thickBot="1">
      <c r="A40" s="257"/>
      <c r="B40" s="18"/>
      <c r="C40" s="19"/>
      <c r="D40" s="20"/>
      <c r="E40" s="36"/>
      <c r="F40" s="5"/>
      <c r="G40" s="5"/>
      <c r="H40" s="5"/>
      <c r="I40" s="5"/>
      <c r="J40" s="5"/>
      <c r="K40" s="5"/>
      <c r="L40" s="5"/>
      <c r="M40" s="5"/>
      <c r="N40" s="5"/>
      <c r="O40" s="5"/>
      <c r="P40" s="5"/>
      <c r="Q40" s="5"/>
      <c r="R40" s="5"/>
      <c r="S40" s="5"/>
      <c r="T40" s="5"/>
    </row>
    <row r="41" spans="1:20" ht="13.5" thickBot="1">
      <c r="A41" s="929">
        <v>765</v>
      </c>
      <c r="B41" s="963">
        <v>828</v>
      </c>
      <c r="C41" s="1676" t="s">
        <v>1022</v>
      </c>
      <c r="D41" s="258"/>
      <c r="E41" s="2739" t="str">
        <f>IF(OR(D41="",D41=0),"Kontrollera Kommunal fastighetsavgift","")</f>
        <v>Kontrollera Kommunal fastighetsavgift</v>
      </c>
      <c r="F41" s="5"/>
      <c r="G41" s="5"/>
      <c r="H41" s="5"/>
      <c r="I41" s="5"/>
      <c r="J41" s="5"/>
      <c r="K41" s="5"/>
      <c r="L41" s="5"/>
      <c r="M41" s="5"/>
      <c r="N41" s="5"/>
      <c r="O41" s="5"/>
      <c r="P41" s="5"/>
      <c r="Q41" s="5"/>
      <c r="R41" s="5"/>
      <c r="S41" s="5"/>
      <c r="T41" s="5"/>
    </row>
    <row r="42" spans="1:20" ht="12.75">
      <c r="A42" s="5"/>
      <c r="B42" s="5"/>
      <c r="C42" s="5"/>
      <c r="D42" s="5"/>
      <c r="E42" s="5"/>
      <c r="F42" s="5"/>
      <c r="G42" s="5"/>
      <c r="H42" s="5"/>
      <c r="I42" s="5"/>
      <c r="J42" s="5"/>
      <c r="K42" s="5"/>
      <c r="L42" s="5"/>
      <c r="M42" s="5"/>
      <c r="N42" s="5"/>
      <c r="O42" s="5"/>
      <c r="P42" s="5"/>
      <c r="Q42" s="5"/>
      <c r="R42" s="5"/>
      <c r="S42" s="5"/>
      <c r="T42" s="5"/>
    </row>
    <row r="43" spans="1:20" ht="12.75">
      <c r="A43" s="5"/>
      <c r="B43" s="5"/>
      <c r="C43" s="5"/>
      <c r="D43" s="5"/>
      <c r="E43" s="5"/>
      <c r="F43" s="5"/>
      <c r="G43" s="5"/>
      <c r="H43" s="5"/>
      <c r="I43" s="5"/>
      <c r="J43" s="5"/>
      <c r="K43" s="5"/>
      <c r="L43" s="5"/>
      <c r="M43" s="5"/>
      <c r="N43" s="5"/>
      <c r="O43" s="5"/>
      <c r="P43" s="5"/>
      <c r="Q43" s="5"/>
      <c r="R43" s="5"/>
      <c r="S43" s="5"/>
      <c r="T43" s="5"/>
    </row>
    <row r="44" spans="1:20" ht="12.75" hidden="1">
      <c r="A44" s="5"/>
      <c r="B44" s="5"/>
      <c r="C44" s="5"/>
      <c r="D44" s="5"/>
      <c r="E44" s="5"/>
      <c r="H44" s="5"/>
      <c r="I44" s="5"/>
      <c r="J44" s="5"/>
      <c r="K44" s="5"/>
      <c r="L44" s="5"/>
      <c r="M44" s="5"/>
      <c r="R44" s="5"/>
      <c r="S44" s="5"/>
      <c r="T44" s="5"/>
    </row>
    <row r="45" spans="1:20" ht="12.75" hidden="1" customHeight="1"/>
    <row r="49" s="187" customFormat="1" ht="0" hidden="1" customHeight="1"/>
    <row r="50" s="187" customFormat="1" ht="0" hidden="1" customHeight="1"/>
    <row r="51" s="187" customFormat="1" ht="0" hidden="1" customHeight="1"/>
    <row r="52" s="187" customFormat="1" ht="0" hidden="1" customHeight="1"/>
    <row r="53" s="187" customFormat="1" ht="0" hidden="1" customHeight="1"/>
    <row r="54" s="187" customFormat="1" ht="0" hidden="1" customHeight="1"/>
    <row r="55" s="187" customFormat="1" ht="0" hidden="1" customHeight="1"/>
    <row r="56" s="187" customFormat="1" ht="0" hidden="1" customHeight="1"/>
    <row r="57" s="187" customFormat="1" ht="0" hidden="1" customHeight="1"/>
    <row r="58" s="187" customFormat="1" ht="0" hidden="1" customHeight="1"/>
    <row r="59" s="187" customFormat="1" ht="0" hidden="1" customHeight="1"/>
    <row r="60" s="187" customFormat="1" ht="0" hidden="1" customHeight="1"/>
    <row r="61" s="187" customFormat="1" ht="0" hidden="1" customHeight="1"/>
    <row r="62" s="187" customFormat="1" ht="0" hidden="1" customHeight="1"/>
    <row r="63" s="187" customFormat="1" ht="0" hidden="1" customHeight="1"/>
  </sheetData>
  <mergeCells count="4">
    <mergeCell ref="N18:Q19"/>
    <mergeCell ref="F25:G27"/>
    <mergeCell ref="F30:G34"/>
    <mergeCell ref="H35:K38"/>
  </mergeCells>
  <conditionalFormatting sqref="D27 D41 K22:L28 K8:L15">
    <cfRule type="cellIs" dxfId="149" priority="19" stopIfTrue="1" operator="lessThan">
      <formula>-500</formula>
    </cfRule>
  </conditionalFormatting>
  <conditionalFormatting sqref="K29:L29">
    <cfRule type="cellIs" dxfId="148" priority="17" stopIfTrue="1" operator="lessThan">
      <formula>-500</formula>
    </cfRule>
  </conditionalFormatting>
  <conditionalFormatting sqref="I17">
    <cfRule type="expression" dxfId="147" priority="16" stopIfTrue="1">
      <formula>ABS(K17)&gt;100</formula>
    </cfRule>
  </conditionalFormatting>
  <conditionalFormatting sqref="K17:L17">
    <cfRule type="expression" dxfId="146" priority="15" stopIfTrue="1">
      <formula>ABS(K17)&gt;100</formula>
    </cfRule>
  </conditionalFormatting>
  <conditionalFormatting sqref="I31">
    <cfRule type="expression" dxfId="145" priority="14" stopIfTrue="1">
      <formula>ABS(K31)&gt;100</formula>
    </cfRule>
  </conditionalFormatting>
  <conditionalFormatting sqref="K31:L31">
    <cfRule type="expression" dxfId="144" priority="13" stopIfTrue="1">
      <formula>ABS(K31)&gt;100</formula>
    </cfRule>
  </conditionalFormatting>
  <conditionalFormatting sqref="Q8 Q15">
    <cfRule type="cellIs" dxfId="143" priority="12" stopIfTrue="1" operator="lessThan">
      <formula>-500</formula>
    </cfRule>
  </conditionalFormatting>
  <conditionalFormatting sqref="G29">
    <cfRule type="cellIs" dxfId="142" priority="11" stopIfTrue="1" operator="lessThan">
      <formula>0</formula>
    </cfRule>
  </conditionalFormatting>
  <conditionalFormatting sqref="F21">
    <cfRule type="expression" dxfId="141" priority="20">
      <formula>G27&gt;0</formula>
    </cfRule>
  </conditionalFormatting>
  <conditionalFormatting sqref="F30">
    <cfRule type="expression" dxfId="140" priority="21">
      <formula>G29&gt;0</formula>
    </cfRule>
  </conditionalFormatting>
  <conditionalFormatting sqref="F25:G27">
    <cfRule type="expression" dxfId="139" priority="10" stopIfTrue="1">
      <formula>(D27)&lt;1000</formula>
    </cfRule>
  </conditionalFormatting>
  <conditionalFormatting sqref="Q14">
    <cfRule type="cellIs" dxfId="138" priority="9" stopIfTrue="1" operator="lessThan">
      <formula>-500</formula>
    </cfRule>
  </conditionalFormatting>
  <conditionalFormatting sqref="Q16">
    <cfRule type="cellIs" dxfId="137" priority="8" stopIfTrue="1" operator="lessThan">
      <formula>-500</formula>
    </cfRule>
  </conditionalFormatting>
  <conditionalFormatting sqref="Q27">
    <cfRule type="cellIs" dxfId="136" priority="7" stopIfTrue="1" operator="lessThan">
      <formula>-500</formula>
    </cfRule>
  </conditionalFormatting>
  <conditionalFormatting sqref="Q26">
    <cfRule type="cellIs" dxfId="135" priority="6" stopIfTrue="1" operator="lessThan">
      <formula>-500</formula>
    </cfRule>
  </conditionalFormatting>
  <conditionalFormatting sqref="Q28">
    <cfRule type="cellIs" dxfId="134" priority="5" stopIfTrue="1" operator="lessThan">
      <formula>-500</formula>
    </cfRule>
  </conditionalFormatting>
  <conditionalFormatting sqref="Q13">
    <cfRule type="cellIs" dxfId="133" priority="4" stopIfTrue="1" operator="lessThan">
      <formula>-500</formula>
    </cfRule>
  </conditionalFormatting>
  <conditionalFormatting sqref="Q12">
    <cfRule type="cellIs" dxfId="132" priority="3" stopIfTrue="1" operator="lessThan">
      <formula>-500</formula>
    </cfRule>
  </conditionalFormatting>
  <conditionalFormatting sqref="Q25">
    <cfRule type="cellIs" dxfId="131" priority="2" stopIfTrue="1" operator="lessThan">
      <formula>-500</formula>
    </cfRule>
  </conditionalFormatting>
  <conditionalFormatting sqref="G28">
    <cfRule type="cellIs" dxfId="130" priority="1" stopIfTrue="1" operator="lessThan">
      <formula>0</formula>
    </cfRule>
  </conditionalFormatting>
  <dataValidations count="1">
    <dataValidation type="decimal" operator="lessThan" allowBlank="1" showInputMessage="1" showErrorMessage="1" error="Beloppet ska vara i 1000 tal kronor" sqref="K22:L29 D27 D11:D12 D41 G28:G29 Q8 K8:L15 Q25:Q28 Q12:Q16" xr:uid="{00000000-0002-0000-0400-000000000000}">
      <formula1>99999999</formula1>
    </dataValidation>
  </dataValidations>
  <pageMargins left="0.70866141732283472" right="0.70866141732283472" top="0.74803149606299213" bottom="0.15748031496062992" header="0.31496062992125984" footer="0.31496062992125984"/>
  <pageSetup paperSize="9" scale="80" orientation="landscape" r:id="rId1"/>
  <headerFooter>
    <oddHeader>&amp;L&amp;8Statistiska Centralbyrån
Offentlig ekonomi&amp;R&amp;P</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tabColor rgb="FFFFFF00"/>
    <pageSetUpPr fitToPage="1"/>
  </sheetPr>
  <dimension ref="A1:M119"/>
  <sheetViews>
    <sheetView showGridLines="0" zoomScaleNormal="100" workbookViewId="0">
      <pane ySplit="1" topLeftCell="A20" activePane="bottomLeft" state="frozen"/>
      <selection activeCell="F36" sqref="F36"/>
      <selection pane="bottomLeft" activeCell="H63" sqref="H63"/>
    </sheetView>
  </sheetViews>
  <sheetFormatPr defaultColWidth="0" defaultRowHeight="12.75" zeroHeight="1"/>
  <cols>
    <col min="1" max="1" width="4" style="157" customWidth="1"/>
    <col min="2" max="2" width="33.5703125" style="157" customWidth="1"/>
    <col min="3" max="3" width="10.5703125" style="157" customWidth="1"/>
    <col min="4" max="4" width="11.42578125" style="157" customWidth="1"/>
    <col min="5" max="5" width="8.42578125" style="157" customWidth="1"/>
    <col min="6" max="6" width="9" style="157" customWidth="1"/>
    <col min="7" max="7" width="10" style="157" customWidth="1"/>
    <col min="8" max="8" width="10.42578125" style="157" customWidth="1"/>
    <col min="9" max="9" width="34" style="160" customWidth="1"/>
    <col min="10" max="10" width="39.5703125" style="157" customWidth="1"/>
    <col min="11" max="11" width="19.85546875" style="157" customWidth="1"/>
    <col min="12" max="12" width="4.42578125" style="187" customWidth="1"/>
    <col min="13" max="13" width="3" style="187" customWidth="1"/>
    <col min="14" max="16384" width="9.42578125" style="187" hidden="1"/>
  </cols>
  <sheetData>
    <row r="1" spans="1:13" s="259" customFormat="1" ht="20.25">
      <c r="A1" s="86" t="str">
        <f>"Investeringsredovisning "&amp;År&amp;", 1 000 tal kr"</f>
        <v>Investeringsredovisning 2023, 1 000 tal kr</v>
      </c>
      <c r="B1" s="103"/>
      <c r="C1" s="103"/>
      <c r="D1" s="103"/>
      <c r="E1" s="104"/>
      <c r="F1" s="104"/>
      <c r="G1" s="628">
        <f>Information!B3</f>
        <v>0</v>
      </c>
      <c r="H1" s="629">
        <f>Information!B2</f>
        <v>0</v>
      </c>
      <c r="I1" s="172"/>
      <c r="J1" s="105">
        <v>1</v>
      </c>
      <c r="K1" s="105"/>
      <c r="L1" s="105"/>
      <c r="M1" s="105"/>
    </row>
    <row r="2" spans="1:13" s="259" customFormat="1" ht="12.75" customHeight="1">
      <c r="A2" s="1487"/>
      <c r="C2" s="107"/>
      <c r="D2" s="48" t="s">
        <v>627</v>
      </c>
      <c r="H2" s="1707"/>
      <c r="I2" s="48" t="s">
        <v>1051</v>
      </c>
      <c r="L2" s="260"/>
    </row>
    <row r="3" spans="1:13" s="259" customFormat="1" ht="12.75" customHeight="1" thickBot="1">
      <c r="C3" s="430"/>
      <c r="D3" s="48" t="s">
        <v>997</v>
      </c>
      <c r="G3" s="63"/>
      <c r="H3" s="173"/>
      <c r="I3" s="48" t="s">
        <v>1052</v>
      </c>
      <c r="J3" s="261"/>
      <c r="L3" s="261"/>
    </row>
    <row r="4" spans="1:13" s="259" customFormat="1" ht="43.5" customHeight="1">
      <c r="A4" s="964" t="s">
        <v>530</v>
      </c>
      <c r="B4" s="965"/>
      <c r="C4" s="2920" t="s">
        <v>1806</v>
      </c>
      <c r="D4" s="2920" t="s">
        <v>1390</v>
      </c>
      <c r="E4" s="2920" t="s">
        <v>1807</v>
      </c>
      <c r="F4" s="2125" t="s">
        <v>1391</v>
      </c>
      <c r="G4" s="2379" t="s">
        <v>1392</v>
      </c>
      <c r="H4" s="2380" t="s">
        <v>1808</v>
      </c>
      <c r="I4" s="75"/>
      <c r="J4" s="44"/>
      <c r="K4" s="261"/>
      <c r="L4" s="261"/>
    </row>
    <row r="5" spans="1:13" s="259" customFormat="1" ht="39.75" customHeight="1">
      <c r="A5" s="966"/>
      <c r="B5" s="967"/>
      <c r="C5" s="2921"/>
      <c r="D5" s="2921"/>
      <c r="E5" s="2921"/>
      <c r="F5" s="2126" t="s">
        <v>1025</v>
      </c>
      <c r="G5" s="2127"/>
      <c r="H5" s="2124"/>
      <c r="I5" s="97"/>
      <c r="J5" s="1660"/>
      <c r="K5" s="261"/>
      <c r="L5" s="261"/>
    </row>
    <row r="6" spans="1:13" s="263" customFormat="1" ht="19.5" customHeight="1">
      <c r="A6" s="720" t="s">
        <v>535</v>
      </c>
      <c r="B6" s="721" t="s">
        <v>412</v>
      </c>
      <c r="C6" s="430"/>
      <c r="D6" s="430"/>
      <c r="E6" s="430"/>
      <c r="F6" s="2128"/>
      <c r="G6" s="2129"/>
      <c r="H6" s="1591"/>
      <c r="I6" s="2670" t="e">
        <f>SUM(BR!J15-BR!O15)/Investeringar!E7</f>
        <v>#DIV/0!</v>
      </c>
      <c r="J6" s="1660"/>
      <c r="K6" s="262"/>
      <c r="L6" s="262"/>
    </row>
    <row r="7" spans="1:13" s="263" customFormat="1" ht="19.5" customHeight="1">
      <c r="A7" s="722" t="s">
        <v>536</v>
      </c>
      <c r="B7" s="723" t="s">
        <v>1190</v>
      </c>
      <c r="C7" s="268"/>
      <c r="D7" s="269"/>
      <c r="E7" s="270"/>
      <c r="F7" s="2130"/>
      <c r="G7" s="2235"/>
      <c r="H7" s="2288"/>
      <c r="I7" s="2485" t="str">
        <f>IF(C66=0,"",IF(SUM(C7+D7-C66)&gt;5000,"Summan C7+D7 är " &amp;""&amp;(ROUND(SUM(C7+D7-C66),0))&amp; " tkr högre än rad 950, kol C. Rätta eller kommentera. Avser diffen immat.anl.tillg ange även beloppsstorlek",IF(SUM(C7+D7-C66)&lt;-5000,"Summan C7+D7 är  " &amp;""&amp;(ROUND(SUM(C7+D7-C66),0))&amp; "tkr lägre än rad 950, kol C. Behöver rättas eller kommenteras","")))</f>
        <v/>
      </c>
      <c r="J7" s="2671" t="str">
        <f>IFERROR(IF(AND(I6&lt;1.5,I6&gt;0.5),"Kontrollera beloppet i kol E. OBS! Internbankens nyupplåning för vidareutlåning ska inte ingå här utan på rad 994, Övriga förändringar",""),IF(F7&gt;E7,"Rad 987: därav-Kol.F&gt;Kol.E",IF(SUM(C7+D7)&gt;G7,"Koncern kol G, borde vara större än kommunen, kol C+D","")))</f>
        <v/>
      </c>
      <c r="K7" s="262"/>
      <c r="L7" s="262"/>
    </row>
    <row r="8" spans="1:13" s="263" customFormat="1" ht="17.25" customHeight="1">
      <c r="A8" s="724" t="s">
        <v>537</v>
      </c>
      <c r="B8" s="723" t="s">
        <v>1422</v>
      </c>
      <c r="C8" s="268"/>
      <c r="D8" s="269"/>
      <c r="E8" s="270"/>
      <c r="F8" s="2130"/>
      <c r="G8" s="2235"/>
      <c r="H8" s="2288"/>
      <c r="I8" s="2340"/>
      <c r="J8" s="2568" t="str">
        <f>IF(F8&lt;E8,"Rad 988: därav-kol.F&lt;Kol.E","")</f>
        <v/>
      </c>
      <c r="K8" s="262"/>
      <c r="L8" s="262"/>
    </row>
    <row r="9" spans="1:13" s="263" customFormat="1" ht="20.25" customHeight="1">
      <c r="A9" s="724" t="s">
        <v>538</v>
      </c>
      <c r="B9" s="723" t="s">
        <v>547</v>
      </c>
      <c r="C9" s="385"/>
      <c r="D9" s="269"/>
      <c r="E9" s="270"/>
      <c r="F9" s="2130"/>
      <c r="G9" s="2235"/>
      <c r="H9" s="2288"/>
      <c r="I9" s="2485" t="str">
        <f>IF(ABS(SUM(C9+D9-'Verks int o kostn'!D33))&lt;100,"",ROUND(SUM(C9+D9-'Verks int o kostn'!D33),0) &amp; " tkr diff. mellan reavinsten kol. C+D och reavinsten rad 892 i Verks.int.o kostn - ska överensstämma")</f>
        <v/>
      </c>
      <c r="J9" s="2567" t="str">
        <f>IF(F9&gt;E9,"Rad 989: därav-kol.F&gt;kol.E","")</f>
        <v/>
      </c>
      <c r="K9" s="262"/>
      <c r="L9" s="262"/>
    </row>
    <row r="10" spans="1:13" s="263" customFormat="1" ht="21" customHeight="1">
      <c r="A10" s="724" t="s">
        <v>368</v>
      </c>
      <c r="B10" s="723" t="s">
        <v>1439</v>
      </c>
      <c r="C10" s="385"/>
      <c r="D10" s="269"/>
      <c r="E10" s="270"/>
      <c r="F10" s="2130"/>
      <c r="G10" s="2235"/>
      <c r="H10" s="2288"/>
      <c r="I10" s="2485" t="str">
        <f>IF((ABS(SUM(-1*(C10+D10)-'Verks int o kostn'!D72))&lt;100),"",ROUND(SUM(-1*(C10+D10)-'Verks int o kostn'!D72),0)&amp;" tkr diff mellan reaförlusten kol. C+D och reaförl. rad 897 i Verks.int. o kostn. - ska överensstämma")</f>
        <v/>
      </c>
      <c r="J10" s="2567" t="str">
        <f>IF(F10&lt;E10,"Rad 990: därav-kol.F&lt;Kol.E","")</f>
        <v/>
      </c>
      <c r="K10" s="262"/>
      <c r="L10" s="262"/>
    </row>
    <row r="11" spans="1:13" s="263" customFormat="1" ht="15" customHeight="1">
      <c r="A11" s="724" t="s">
        <v>369</v>
      </c>
      <c r="B11" s="723" t="s">
        <v>366</v>
      </c>
      <c r="C11" s="268"/>
      <c r="D11" s="269"/>
      <c r="E11" s="1829"/>
      <c r="F11" s="2131"/>
      <c r="G11" s="2235"/>
      <c r="H11" s="2288"/>
      <c r="I11" s="2340" t="str">
        <f>IF(F11&lt;E11,"Rad 991: därav-Kol.F&lt;Kol.E",IF(SUM(C11+D11)&lt;G11,"Koncern kol G, borde vara större än kommunen, kol C+D",IF(SUM(C11+D11+C12+D12)*-1&gt;RR!C9+10000,"Differens mot RR (Avskrivningar + Nedskrivningar)",IF(SUM(C11+D11+C12+D12)*-1&lt;RR!C9-10000,"Differens mot RR (Avskrivningar + Nedskrivningar)",""))))</f>
        <v/>
      </c>
      <c r="J11" s="2518" t="str">
        <f>IF(E11&lt;-100,"Vad avser avskrivningar av finansiella anl.tillgångar?","")</f>
        <v/>
      </c>
      <c r="K11" s="262"/>
      <c r="L11" s="262"/>
    </row>
    <row r="12" spans="1:13" s="263" customFormat="1" ht="15" customHeight="1">
      <c r="A12" s="724" t="s">
        <v>370</v>
      </c>
      <c r="B12" s="723" t="s">
        <v>163</v>
      </c>
      <c r="C12" s="271"/>
      <c r="D12" s="272"/>
      <c r="E12" s="58"/>
      <c r="F12" s="1898"/>
      <c r="G12" s="2235"/>
      <c r="H12" s="2288"/>
      <c r="I12" s="2661" t="str">
        <f>IF(F12&lt;E12,"Rad 992: därav-Kol.F&lt;Kol.E","")</f>
        <v/>
      </c>
      <c r="J12" s="2941" t="s">
        <v>1660</v>
      </c>
      <c r="K12" s="2942"/>
      <c r="L12" s="2942"/>
      <c r="M12" s="2942"/>
    </row>
    <row r="13" spans="1:13" s="263" customFormat="1" ht="19.5" customHeight="1">
      <c r="A13" s="725" t="s">
        <v>371</v>
      </c>
      <c r="B13" s="723" t="s">
        <v>1732</v>
      </c>
      <c r="C13" s="268"/>
      <c r="D13" s="269"/>
      <c r="E13" s="270"/>
      <c r="F13" s="2130"/>
      <c r="G13" s="2235"/>
      <c r="H13" s="2288"/>
      <c r="I13" s="2667" t="str">
        <f>IF(OR(C13&gt;1000,C13&lt;-1000),"se kommentar till höger. Kommentera Omklassificeringar i samtliga kolumner",IF(OR(D13&gt;1000,D13&lt;-1000),"Se kommentar till höger. Kommentera Omklassificeringar i samtliga kolumner",IF(OR(E13&gt;1000,E13&lt;-1000),"Se kommentar till höger. Kommentera Omklassificeringar i samtliga kolumner",IF(OR(F13&gt;1000,F13&lt;-1000),"Se kommentar till höger. Kommentera Omklassificeringar i samtliga kolumner",IF(OR(G13&gt;10000,G13&lt;-10000),"Se kommentar till höger. Kommentera Omklassificeringar i samtliga kolumner",IF(OR(H13&gt;10000,H13&lt;-10000),"Se kommentar till höger. Kommentera omklassificeringar i samtliga kolumner",""))))))</f>
        <v/>
      </c>
      <c r="J13" s="2942"/>
      <c r="K13" s="2942"/>
      <c r="L13" s="2942"/>
      <c r="M13" s="2942"/>
    </row>
    <row r="14" spans="1:13" s="263" customFormat="1" ht="13.5" customHeight="1">
      <c r="A14" s="724" t="s">
        <v>372</v>
      </c>
      <c r="B14" s="723" t="s">
        <v>367</v>
      </c>
      <c r="C14" s="268"/>
      <c r="D14" s="269"/>
      <c r="E14" s="270"/>
      <c r="F14" s="2130"/>
      <c r="G14" s="2235"/>
      <c r="H14" s="2288"/>
      <c r="I14" s="2668" t="str">
        <f>IF(OR(C14&gt;1000,C14&lt;-1000),"Kommentera Övriga förändringar.",IF(OR(D14&gt;1000,D14&lt;-1000),"Kommentera Övriga förändringar.",IF(OR(E14&gt;1000,E14&lt;-1000),"Kommentera Övriga förändringar.",IF(OR(F14&gt;500,F14&lt;-500),"Kommentera Övriga förändringar.",IF(OR(G14&gt;10000,G14&lt;-10000),"Kommentera Övriga förändringar.",IF(OR(H14&gt;10000,H14&lt;-10000),"Kommentera Övriga förändringar.",""))))))</f>
        <v/>
      </c>
      <c r="J14" s="2942"/>
      <c r="K14" s="2942"/>
      <c r="L14" s="2942"/>
      <c r="M14" s="2942"/>
    </row>
    <row r="15" spans="1:13" s="263" customFormat="1" ht="12" thickBot="1">
      <c r="A15" s="726" t="s">
        <v>373</v>
      </c>
      <c r="B15" s="727" t="s">
        <v>413</v>
      </c>
      <c r="C15" s="333">
        <f>BR!D10</f>
        <v>0</v>
      </c>
      <c r="D15" s="334">
        <f>BR!D11</f>
        <v>0</v>
      </c>
      <c r="E15" s="334">
        <f>BR!D17</f>
        <v>0</v>
      </c>
      <c r="F15" s="2132">
        <f>BR!D13</f>
        <v>0</v>
      </c>
      <c r="G15" s="2133">
        <f>BR!E12</f>
        <v>0</v>
      </c>
      <c r="H15" s="2123">
        <f>BR!E17</f>
        <v>0</v>
      </c>
      <c r="I15" s="1830" t="s">
        <v>1809</v>
      </c>
      <c r="J15" s="2942"/>
      <c r="K15" s="2942"/>
      <c r="L15" s="2942"/>
      <c r="M15" s="2942"/>
    </row>
    <row r="16" spans="1:13" s="263" customFormat="1" ht="37.5" customHeight="1">
      <c r="A16" s="65"/>
      <c r="B16" s="64"/>
      <c r="C16" s="154" t="str">
        <f>IF(ABS(SUM(C6:C14)-C15)&gt;100,"Diff mot BR rad 021","")</f>
        <v/>
      </c>
      <c r="D16" s="154" t="str">
        <f>IF(ABS(SUM(D6:D14)-D15)&gt;100,"Diff mot BR rad 023","")</f>
        <v/>
      </c>
      <c r="E16" s="154" t="str">
        <f>IF(ABS(SUM(E6:E14)-E15)&gt;100,"Diff mot BR rad 035","")</f>
        <v/>
      </c>
      <c r="F16" s="154" t="str">
        <f>IF(ABS(SUM(F6:F14)-F15)&gt;100,"Diff mot BR rad 036","")</f>
        <v/>
      </c>
      <c r="G16" s="2236" t="str">
        <f>IF(ABS(SUM(G6:G14)-G15)&gt;100,"Diff mot BR rad 025","")</f>
        <v/>
      </c>
      <c r="H16" s="2237" t="str">
        <f>IF(ABS(SUM(H6:H14)-H15)&gt;100,"Diff mot BR rad 035","")</f>
        <v/>
      </c>
      <c r="I16" s="2922"/>
      <c r="J16" s="2923"/>
      <c r="K16" s="2923"/>
      <c r="L16" s="2924"/>
    </row>
    <row r="17" spans="1:12" ht="12.75" customHeight="1">
      <c r="A17" s="320"/>
      <c r="B17" s="224"/>
      <c r="C17" s="44" t="str">
        <f>IF(C16&lt;&gt;"diff mot BR rad 021","",C15-SUM(C6:C14))</f>
        <v/>
      </c>
      <c r="D17" s="44" t="str">
        <f>IF(D16&lt;&gt;"diff mot BR rad 023","",D15-SUM(D6:D14))</f>
        <v/>
      </c>
      <c r="E17" s="44" t="str">
        <f>IF(E16&lt;&gt;"diff mot BR rad 035","",E15-SUM(E6:E14))</f>
        <v/>
      </c>
      <c r="F17" s="44" t="str">
        <f>IF(F16&lt;&gt;"diff mot BR rad 036","",F15-SUM(F6:F14))</f>
        <v/>
      </c>
      <c r="G17" s="2234" t="str">
        <f>IF(G16&lt;&gt;"diff mot BR rad 025","",G15-SUM(G6:G14))</f>
        <v/>
      </c>
      <c r="H17" s="2234" t="str">
        <f>IF(H16&lt;&gt;"diff mot BR rad 035","",H15-SUM(H6:H14))</f>
        <v/>
      </c>
      <c r="I17" s="48"/>
      <c r="J17" s="48"/>
      <c r="K17" s="5"/>
      <c r="L17" s="188"/>
    </row>
    <row r="18" spans="1:12" ht="25.5" customHeight="1">
      <c r="A18" s="1860" t="s">
        <v>1817</v>
      </c>
      <c r="B18" s="1859"/>
      <c r="C18" s="1859"/>
      <c r="D18" s="1859"/>
      <c r="E18" s="1859"/>
      <c r="F18" s="1859"/>
      <c r="G18" s="1859"/>
      <c r="H18" s="1859"/>
      <c r="I18" s="1859"/>
      <c r="J18" s="1859"/>
      <c r="K18" s="1859"/>
      <c r="L18" s="1859"/>
    </row>
    <row r="19" spans="1:12" s="265" customFormat="1" ht="22.5" customHeight="1" thickBot="1">
      <c r="A19" s="1823" t="s">
        <v>1688</v>
      </c>
      <c r="B19" s="264"/>
      <c r="C19" s="66"/>
      <c r="D19" s="67"/>
      <c r="E19" s="68"/>
      <c r="F19" s="68"/>
      <c r="G19" s="68"/>
      <c r="H19" s="68"/>
      <c r="I19" s="174"/>
      <c r="J19" s="171"/>
      <c r="K19" s="69"/>
      <c r="L19" s="264"/>
    </row>
    <row r="20" spans="1:12" ht="14.25" customHeight="1">
      <c r="A20" s="968" t="s">
        <v>873</v>
      </c>
      <c r="B20" s="969" t="s">
        <v>13</v>
      </c>
      <c r="C20" s="1824" t="s">
        <v>1194</v>
      </c>
      <c r="D20" s="970" t="s">
        <v>186</v>
      </c>
      <c r="E20" s="971"/>
      <c r="F20" s="971"/>
      <c r="G20" s="2301"/>
      <c r="H20" s="2302"/>
      <c r="I20" s="40"/>
      <c r="J20" s="40"/>
      <c r="K20" s="45"/>
      <c r="L20" s="5"/>
    </row>
    <row r="21" spans="1:12" ht="27.75" customHeight="1">
      <c r="A21" s="972" t="s">
        <v>876</v>
      </c>
      <c r="B21" s="933"/>
      <c r="C21" s="1825" t="s">
        <v>1195</v>
      </c>
      <c r="D21" s="1822" t="s">
        <v>1376</v>
      </c>
      <c r="E21" s="1822" t="s">
        <v>1192</v>
      </c>
      <c r="F21" s="2289" t="s">
        <v>1193</v>
      </c>
      <c r="G21" s="2303"/>
      <c r="H21" s="2304"/>
      <c r="I21" s="9"/>
      <c r="J21" s="70"/>
      <c r="K21" s="45"/>
      <c r="L21" s="5"/>
    </row>
    <row r="22" spans="1:12">
      <c r="A22" s="972"/>
      <c r="B22" s="974"/>
      <c r="C22" s="975"/>
      <c r="D22" s="973" t="s">
        <v>1377</v>
      </c>
      <c r="E22" s="1023" t="s">
        <v>187</v>
      </c>
      <c r="F22" s="2290" t="s">
        <v>188</v>
      </c>
      <c r="G22" s="2305"/>
      <c r="H22" s="2306"/>
      <c r="I22" s="9"/>
      <c r="J22" s="70"/>
      <c r="K22" s="45"/>
      <c r="L22" s="5"/>
    </row>
    <row r="23" spans="1:12" ht="36" customHeight="1">
      <c r="A23" s="976"/>
      <c r="B23" s="977"/>
      <c r="C23" s="978"/>
      <c r="D23" s="1951" t="s">
        <v>1380</v>
      </c>
      <c r="E23" s="1952" t="s">
        <v>1378</v>
      </c>
      <c r="F23" s="2291" t="s">
        <v>1379</v>
      </c>
      <c r="G23" s="2307"/>
      <c r="H23" s="1886"/>
      <c r="I23" s="9"/>
      <c r="J23" s="9"/>
      <c r="K23" s="45"/>
      <c r="L23" s="5"/>
    </row>
    <row r="24" spans="1:12">
      <c r="A24" s="979"/>
      <c r="B24" s="2790" t="s">
        <v>14</v>
      </c>
      <c r="C24" s="980"/>
      <c r="D24" s="980"/>
      <c r="E24" s="980"/>
      <c r="F24" s="2292"/>
      <c r="G24" s="2308"/>
      <c r="H24" s="2309"/>
      <c r="I24" s="175"/>
      <c r="J24" s="176"/>
      <c r="K24" s="177"/>
      <c r="L24" s="177"/>
    </row>
    <row r="25" spans="1:12">
      <c r="A25" s="2432" t="s">
        <v>230</v>
      </c>
      <c r="B25" s="732" t="s">
        <v>15</v>
      </c>
      <c r="C25" s="273"/>
      <c r="D25" s="273"/>
      <c r="E25" s="273"/>
      <c r="F25" s="2293"/>
      <c r="G25" s="2322" t="str">
        <f>IF(SUM(D25:F25)&gt;(C25+100),"Summa kol.D+kol.E+kol.F &gt; Kol.C","")</f>
        <v/>
      </c>
      <c r="H25" s="2310"/>
      <c r="I25" s="381"/>
      <c r="J25" s="381"/>
      <c r="K25" s="382"/>
      <c r="L25" s="197"/>
    </row>
    <row r="26" spans="1:12" ht="18.75">
      <c r="A26" s="981" t="s">
        <v>231</v>
      </c>
      <c r="B26" s="735" t="s">
        <v>1472</v>
      </c>
      <c r="C26" s="21"/>
      <c r="D26" s="21"/>
      <c r="E26" s="21"/>
      <c r="F26" s="566"/>
      <c r="G26" s="2322" t="str">
        <f t="shared" ref="G26:G62" si="0">IF(SUM(D26:F26)&gt;(C26+100),"Summa kol.D+kol.E+kol.F &gt; Kol.C","")</f>
        <v/>
      </c>
      <c r="H26" s="2310"/>
      <c r="I26" s="381"/>
      <c r="J26" s="381"/>
      <c r="K26" s="382"/>
      <c r="L26" s="197"/>
    </row>
    <row r="27" spans="1:12">
      <c r="A27" s="724" t="s">
        <v>360</v>
      </c>
      <c r="B27" s="693" t="s">
        <v>189</v>
      </c>
      <c r="C27" s="21"/>
      <c r="D27" s="21"/>
      <c r="E27" s="21"/>
      <c r="F27" s="566"/>
      <c r="G27" s="2322" t="str">
        <f t="shared" si="0"/>
        <v/>
      </c>
      <c r="H27" s="2310"/>
      <c r="I27" s="381"/>
      <c r="J27" s="381"/>
      <c r="K27" s="382"/>
      <c r="L27" s="197"/>
    </row>
    <row r="28" spans="1:12">
      <c r="A28" s="724" t="s">
        <v>234</v>
      </c>
      <c r="B28" s="693" t="s">
        <v>1095</v>
      </c>
      <c r="C28" s="21"/>
      <c r="D28" s="21"/>
      <c r="E28" s="21"/>
      <c r="F28" s="566"/>
      <c r="G28" s="2322" t="str">
        <f t="shared" si="0"/>
        <v/>
      </c>
      <c r="H28" s="2310"/>
      <c r="I28" s="381"/>
      <c r="J28" s="381"/>
      <c r="K28" s="382"/>
      <c r="L28" s="197"/>
    </row>
    <row r="29" spans="1:12">
      <c r="A29" s="724" t="s">
        <v>235</v>
      </c>
      <c r="B29" s="693" t="s">
        <v>16</v>
      </c>
      <c r="C29" s="21"/>
      <c r="D29" s="21"/>
      <c r="E29" s="21"/>
      <c r="F29" s="566"/>
      <c r="G29" s="2322" t="str">
        <f t="shared" si="0"/>
        <v/>
      </c>
      <c r="H29" s="2310"/>
      <c r="I29" s="381"/>
      <c r="J29" s="381"/>
      <c r="K29" s="382"/>
      <c r="L29" s="197"/>
    </row>
    <row r="30" spans="1:12">
      <c r="A30" s="724" t="s">
        <v>361</v>
      </c>
      <c r="B30" s="693" t="s">
        <v>191</v>
      </c>
      <c r="C30" s="21"/>
      <c r="D30" s="21"/>
      <c r="E30" s="21"/>
      <c r="F30" s="566"/>
      <c r="G30" s="2322" t="str">
        <f t="shared" si="0"/>
        <v/>
      </c>
      <c r="H30" s="2310"/>
      <c r="I30" s="381"/>
      <c r="J30" s="381"/>
      <c r="K30" s="382"/>
      <c r="L30" s="197"/>
    </row>
    <row r="31" spans="1:12">
      <c r="A31" s="724" t="s">
        <v>239</v>
      </c>
      <c r="B31" s="693" t="s">
        <v>17</v>
      </c>
      <c r="C31" s="21"/>
      <c r="D31" s="21"/>
      <c r="E31" s="21"/>
      <c r="F31" s="566"/>
      <c r="G31" s="2322" t="str">
        <f t="shared" si="0"/>
        <v/>
      </c>
      <c r="H31" s="2310"/>
      <c r="I31" s="381"/>
      <c r="J31" s="381"/>
      <c r="K31" s="382"/>
      <c r="L31" s="197"/>
    </row>
    <row r="32" spans="1:12">
      <c r="A32" s="724" t="s">
        <v>240</v>
      </c>
      <c r="B32" s="693" t="s">
        <v>192</v>
      </c>
      <c r="C32" s="21"/>
      <c r="D32" s="21"/>
      <c r="E32" s="21"/>
      <c r="F32" s="566"/>
      <c r="G32" s="2322" t="str">
        <f t="shared" si="0"/>
        <v/>
      </c>
      <c r="H32" s="2310"/>
      <c r="I32" s="381"/>
      <c r="J32" s="381"/>
      <c r="K32" s="382"/>
      <c r="L32" s="197"/>
    </row>
    <row r="33" spans="1:12">
      <c r="A33" s="731" t="s">
        <v>241</v>
      </c>
      <c r="B33" s="732" t="s">
        <v>193</v>
      </c>
      <c r="C33" s="447">
        <f>SUM(C26:C32)</f>
        <v>0</v>
      </c>
      <c r="D33" s="447">
        <f>SUM(D26:D32)</f>
        <v>0</v>
      </c>
      <c r="E33" s="447">
        <f>SUM(E26:E32)</f>
        <v>0</v>
      </c>
      <c r="F33" s="2294">
        <f>SUM(F26:F32)</f>
        <v>0</v>
      </c>
      <c r="G33" s="2322"/>
      <c r="H33" s="2310"/>
      <c r="I33" s="381"/>
      <c r="J33" s="381"/>
      <c r="K33" s="383"/>
      <c r="L33" s="197"/>
    </row>
    <row r="34" spans="1:12">
      <c r="A34" s="733" t="s">
        <v>251</v>
      </c>
      <c r="B34" s="734" t="s">
        <v>194</v>
      </c>
      <c r="C34" s="274"/>
      <c r="D34" s="274"/>
      <c r="E34" s="274"/>
      <c r="F34" s="2295"/>
      <c r="G34" s="2322" t="str">
        <f t="shared" si="0"/>
        <v/>
      </c>
      <c r="H34" s="2310"/>
      <c r="I34" s="381"/>
      <c r="J34" s="381"/>
      <c r="K34" s="382"/>
      <c r="L34" s="197"/>
    </row>
    <row r="35" spans="1:12" ht="18.75">
      <c r="A35" s="982" t="s">
        <v>257</v>
      </c>
      <c r="B35" s="1538" t="s">
        <v>998</v>
      </c>
      <c r="C35" s="273"/>
      <c r="D35" s="273"/>
      <c r="E35" s="273"/>
      <c r="F35" s="2293"/>
      <c r="G35" s="2322" t="str">
        <f t="shared" si="0"/>
        <v/>
      </c>
      <c r="H35" s="2310"/>
      <c r="I35" s="381"/>
      <c r="J35" s="381"/>
      <c r="K35" s="382"/>
      <c r="L35" s="197"/>
    </row>
    <row r="36" spans="1:12">
      <c r="A36" s="728"/>
      <c r="B36" s="729" t="s">
        <v>195</v>
      </c>
      <c r="C36" s="983"/>
      <c r="D36" s="983"/>
      <c r="E36" s="983"/>
      <c r="F36" s="2296"/>
      <c r="G36" s="2322"/>
      <c r="H36" s="2310"/>
      <c r="I36" s="381"/>
      <c r="J36" s="381"/>
      <c r="K36" s="382"/>
      <c r="L36" s="197"/>
    </row>
    <row r="37" spans="1:12" ht="18.75">
      <c r="A37" s="722" t="s">
        <v>442</v>
      </c>
      <c r="B37" s="2816" t="s">
        <v>1837</v>
      </c>
      <c r="C37" s="21"/>
      <c r="D37" s="21"/>
      <c r="E37" s="21"/>
      <c r="F37" s="566"/>
      <c r="G37" s="2322" t="str">
        <f t="shared" si="0"/>
        <v/>
      </c>
      <c r="H37" s="2310"/>
      <c r="I37" s="381"/>
      <c r="J37" s="381"/>
      <c r="K37" s="382"/>
      <c r="L37" s="197"/>
    </row>
    <row r="38" spans="1:12">
      <c r="A38" s="724" t="s">
        <v>362</v>
      </c>
      <c r="B38" s="2817" t="s">
        <v>1838</v>
      </c>
      <c r="C38" s="21"/>
      <c r="D38" s="21"/>
      <c r="E38" s="21"/>
      <c r="F38" s="566"/>
      <c r="G38" s="2322" t="str">
        <f t="shared" si="0"/>
        <v/>
      </c>
      <c r="H38" s="2310"/>
      <c r="I38" s="381"/>
      <c r="J38" s="381"/>
      <c r="K38" s="382"/>
      <c r="L38" s="197"/>
    </row>
    <row r="39" spans="1:12">
      <c r="A39" s="722" t="s">
        <v>363</v>
      </c>
      <c r="B39" s="693" t="s">
        <v>18</v>
      </c>
      <c r="C39" s="21"/>
      <c r="D39" s="21"/>
      <c r="E39" s="21"/>
      <c r="F39" s="566"/>
      <c r="G39" s="2322" t="str">
        <f t="shared" si="0"/>
        <v/>
      </c>
      <c r="H39" s="2310"/>
      <c r="I39" s="381"/>
      <c r="J39" s="381"/>
      <c r="K39" s="382"/>
      <c r="L39" s="382"/>
    </row>
    <row r="40" spans="1:12">
      <c r="A40" s="731" t="s">
        <v>266</v>
      </c>
      <c r="B40" s="732" t="s">
        <v>19</v>
      </c>
      <c r="C40" s="447">
        <f>SUM(C37:C39)</f>
        <v>0</v>
      </c>
      <c r="D40" s="447">
        <f>SUM(D37:D39)</f>
        <v>0</v>
      </c>
      <c r="E40" s="447">
        <f>SUM(E37:E39)</f>
        <v>0</v>
      </c>
      <c r="F40" s="2294">
        <f>SUM(F37:F39)</f>
        <v>0</v>
      </c>
      <c r="G40" s="2322"/>
      <c r="H40" s="2310"/>
      <c r="I40" s="381"/>
      <c r="J40" s="381"/>
      <c r="K40" s="382"/>
      <c r="L40" s="382"/>
    </row>
    <row r="41" spans="1:12">
      <c r="A41" s="733" t="s">
        <v>267</v>
      </c>
      <c r="B41" s="734" t="s">
        <v>196</v>
      </c>
      <c r="C41" s="447">
        <f>C35+C40</f>
        <v>0</v>
      </c>
      <c r="D41" s="447">
        <f>D35+D40</f>
        <v>0</v>
      </c>
      <c r="E41" s="447">
        <f>E35+E40</f>
        <v>0</v>
      </c>
      <c r="F41" s="2297">
        <f>F35+F40</f>
        <v>0</v>
      </c>
      <c r="G41" s="2322"/>
      <c r="H41" s="2310"/>
      <c r="I41" s="381"/>
      <c r="J41" s="381"/>
      <c r="K41" s="382"/>
      <c r="L41" s="382"/>
    </row>
    <row r="42" spans="1:12" ht="18.75">
      <c r="A42" s="720" t="s">
        <v>268</v>
      </c>
      <c r="B42" s="735" t="s">
        <v>197</v>
      </c>
      <c r="C42" s="21"/>
      <c r="D42" s="21"/>
      <c r="E42" s="21"/>
      <c r="F42" s="566"/>
      <c r="G42" s="2322" t="str">
        <f t="shared" si="0"/>
        <v/>
      </c>
      <c r="H42" s="2310"/>
      <c r="I42" s="381"/>
      <c r="J42" s="381"/>
      <c r="K42" s="382"/>
      <c r="L42" s="382"/>
    </row>
    <row r="43" spans="1:12">
      <c r="A43" s="736" t="s">
        <v>269</v>
      </c>
      <c r="B43" s="693" t="s">
        <v>107</v>
      </c>
      <c r="C43" s="21"/>
      <c r="D43" s="21"/>
      <c r="E43" s="21"/>
      <c r="F43" s="566"/>
      <c r="G43" s="2322" t="str">
        <f t="shared" si="0"/>
        <v/>
      </c>
      <c r="H43" s="2310"/>
      <c r="I43" s="381"/>
      <c r="J43" s="381"/>
      <c r="K43" s="382"/>
      <c r="L43" s="197"/>
    </row>
    <row r="44" spans="1:12">
      <c r="A44" s="724" t="s">
        <v>488</v>
      </c>
      <c r="B44" s="737" t="s">
        <v>542</v>
      </c>
      <c r="C44" s="604"/>
      <c r="D44" s="21"/>
      <c r="E44" s="21"/>
      <c r="F44" s="566"/>
      <c r="G44" s="2322" t="str">
        <f t="shared" si="0"/>
        <v/>
      </c>
      <c r="H44" s="2310"/>
      <c r="I44" s="381"/>
      <c r="J44" s="381"/>
      <c r="K44" s="382"/>
      <c r="L44" s="197"/>
    </row>
    <row r="45" spans="1:12" ht="18.75">
      <c r="A45" s="724" t="s">
        <v>554</v>
      </c>
      <c r="B45" s="730" t="s">
        <v>555</v>
      </c>
      <c r="C45" s="604"/>
      <c r="D45" s="21"/>
      <c r="E45" s="21"/>
      <c r="F45" s="566"/>
      <c r="G45" s="2322" t="str">
        <f t="shared" si="0"/>
        <v/>
      </c>
      <c r="H45" s="2310"/>
      <c r="I45" s="381"/>
      <c r="J45" s="381"/>
      <c r="K45" s="382"/>
      <c r="L45" s="197"/>
    </row>
    <row r="46" spans="1:12">
      <c r="A46" s="724" t="s">
        <v>364</v>
      </c>
      <c r="B46" s="693" t="s">
        <v>198</v>
      </c>
      <c r="C46" s="21"/>
      <c r="D46" s="21"/>
      <c r="E46" s="21"/>
      <c r="F46" s="566"/>
      <c r="G46" s="2322" t="str">
        <f t="shared" si="0"/>
        <v/>
      </c>
      <c r="H46" s="2310"/>
      <c r="I46" s="381"/>
      <c r="J46" s="381"/>
      <c r="K46" s="382"/>
      <c r="L46" s="197"/>
    </row>
    <row r="47" spans="1:12">
      <c r="A47" s="731" t="s">
        <v>365</v>
      </c>
      <c r="B47" s="984" t="s">
        <v>199</v>
      </c>
      <c r="C47" s="447">
        <f>SUM(C42:C46)</f>
        <v>0</v>
      </c>
      <c r="D47" s="447">
        <f>SUM(D42:D46)</f>
        <v>0</v>
      </c>
      <c r="E47" s="447">
        <f>SUM(E42:E46)</f>
        <v>0</v>
      </c>
      <c r="F47" s="2294">
        <f>SUM(F42:F46)</f>
        <v>0</v>
      </c>
      <c r="G47" s="2322"/>
      <c r="H47" s="2310"/>
      <c r="I47" s="381"/>
      <c r="J47" s="381"/>
      <c r="K47" s="383"/>
      <c r="L47" s="197"/>
    </row>
    <row r="48" spans="1:12">
      <c r="A48" s="733" t="s">
        <v>274</v>
      </c>
      <c r="B48" s="734" t="s">
        <v>200</v>
      </c>
      <c r="C48" s="274"/>
      <c r="D48" s="274"/>
      <c r="E48" s="274"/>
      <c r="F48" s="2295"/>
      <c r="G48" s="2322" t="str">
        <f t="shared" si="0"/>
        <v/>
      </c>
      <c r="H48" s="2310"/>
      <c r="I48" s="381"/>
      <c r="J48" s="381"/>
      <c r="K48" s="382"/>
      <c r="L48" s="197"/>
    </row>
    <row r="49" spans="1:12">
      <c r="A49" s="982" t="s">
        <v>275</v>
      </c>
      <c r="B49" s="732" t="s">
        <v>20</v>
      </c>
      <c r="C49" s="447">
        <f>SUM(C25,C33,C34,C41,C47,C48)</f>
        <v>0</v>
      </c>
      <c r="D49" s="447">
        <f>SUM(D25,D33,D34,D41,D47,D48)</f>
        <v>0</v>
      </c>
      <c r="E49" s="447">
        <f>SUM(E25,E33,E34,E41,E47,E48)</f>
        <v>0</v>
      </c>
      <c r="F49" s="2298">
        <f>SUM(F25,F33,F34,F41,F47,F48)</f>
        <v>0</v>
      </c>
      <c r="G49" s="2322"/>
      <c r="H49" s="2310"/>
      <c r="I49" s="381"/>
      <c r="J49" s="381"/>
      <c r="K49" s="382"/>
      <c r="L49" s="197"/>
    </row>
    <row r="50" spans="1:12" ht="31.5" customHeight="1">
      <c r="A50" s="981" t="s">
        <v>276</v>
      </c>
      <c r="B50" s="730" t="s">
        <v>1811</v>
      </c>
      <c r="C50" s="21"/>
      <c r="D50" s="21"/>
      <c r="E50" s="21"/>
      <c r="F50" s="566"/>
      <c r="G50" s="2322" t="str">
        <f t="shared" si="0"/>
        <v/>
      </c>
      <c r="H50" s="2310"/>
      <c r="I50" s="381"/>
      <c r="J50" s="381"/>
      <c r="K50" s="382"/>
      <c r="L50" s="197"/>
    </row>
    <row r="51" spans="1:12">
      <c r="A51" s="736" t="s">
        <v>277</v>
      </c>
      <c r="B51" s="705" t="s">
        <v>21</v>
      </c>
      <c r="C51" s="21"/>
      <c r="D51" s="21"/>
      <c r="E51" s="21"/>
      <c r="F51" s="566"/>
      <c r="G51" s="2322" t="str">
        <f t="shared" si="0"/>
        <v/>
      </c>
      <c r="H51" s="2310"/>
      <c r="I51" s="381"/>
      <c r="J51" s="381"/>
      <c r="K51" s="382"/>
      <c r="L51" s="197"/>
    </row>
    <row r="52" spans="1:12">
      <c r="A52" s="736" t="s">
        <v>278</v>
      </c>
      <c r="B52" s="705" t="s">
        <v>22</v>
      </c>
      <c r="C52" s="21"/>
      <c r="D52" s="21"/>
      <c r="E52" s="21"/>
      <c r="F52" s="566"/>
      <c r="G52" s="2322" t="str">
        <f t="shared" si="0"/>
        <v/>
      </c>
      <c r="H52" s="2310"/>
      <c r="I52" s="381"/>
      <c r="J52" s="381"/>
      <c r="K52" s="382"/>
      <c r="L52" s="197"/>
    </row>
    <row r="53" spans="1:12">
      <c r="A53" s="736" t="s">
        <v>279</v>
      </c>
      <c r="B53" s="705" t="s">
        <v>23</v>
      </c>
      <c r="C53" s="21"/>
      <c r="D53" s="21"/>
      <c r="E53" s="21"/>
      <c r="F53" s="566"/>
      <c r="G53" s="2322" t="str">
        <f t="shared" si="0"/>
        <v/>
      </c>
      <c r="H53" s="2310"/>
      <c r="I53" s="381"/>
      <c r="J53" s="381"/>
      <c r="K53" s="382"/>
      <c r="L53" s="197"/>
    </row>
    <row r="54" spans="1:12">
      <c r="A54" s="985" t="s">
        <v>280</v>
      </c>
      <c r="B54" s="986" t="s">
        <v>24</v>
      </c>
      <c r="C54" s="447">
        <f>SUM(C50:C53)</f>
        <v>0</v>
      </c>
      <c r="D54" s="447">
        <f>SUM(D50:D53)</f>
        <v>0</v>
      </c>
      <c r="E54" s="447">
        <f>SUM(E50:E53)</f>
        <v>0</v>
      </c>
      <c r="F54" s="2294">
        <f>SUM(F50:F53)</f>
        <v>0</v>
      </c>
      <c r="G54" s="2322"/>
      <c r="H54" s="2310"/>
      <c r="I54" s="381"/>
      <c r="J54" s="381"/>
      <c r="K54" s="383"/>
      <c r="L54" s="197"/>
    </row>
    <row r="55" spans="1:12" ht="18.75">
      <c r="A55" s="720" t="s">
        <v>281</v>
      </c>
      <c r="B55" s="987" t="s">
        <v>201</v>
      </c>
      <c r="C55" s="21"/>
      <c r="D55" s="21"/>
      <c r="E55" s="21"/>
      <c r="F55" s="566"/>
      <c r="G55" s="2322" t="str">
        <f t="shared" si="0"/>
        <v/>
      </c>
      <c r="H55" s="2310"/>
      <c r="I55" s="381"/>
      <c r="J55" s="381"/>
      <c r="K55" s="382"/>
      <c r="L55" s="197"/>
    </row>
    <row r="56" spans="1:12">
      <c r="A56" s="736" t="s">
        <v>282</v>
      </c>
      <c r="B56" s="744" t="s">
        <v>1094</v>
      </c>
      <c r="C56" s="21"/>
      <c r="D56" s="21"/>
      <c r="E56" s="21"/>
      <c r="F56" s="566"/>
      <c r="G56" s="2322" t="str">
        <f t="shared" si="0"/>
        <v/>
      </c>
      <c r="H56" s="2310"/>
      <c r="I56" s="381"/>
      <c r="J56" s="381"/>
      <c r="K56" s="382"/>
      <c r="L56" s="197"/>
    </row>
    <row r="57" spans="1:12">
      <c r="A57" s="736" t="s">
        <v>283</v>
      </c>
      <c r="B57" s="988" t="s">
        <v>25</v>
      </c>
      <c r="C57" s="21"/>
      <c r="D57" s="21"/>
      <c r="E57" s="21"/>
      <c r="F57" s="566"/>
      <c r="G57" s="2322" t="str">
        <f t="shared" si="0"/>
        <v/>
      </c>
      <c r="H57" s="2310"/>
      <c r="I57" s="381"/>
      <c r="J57" s="381"/>
      <c r="K57" s="382"/>
      <c r="L57" s="197"/>
    </row>
    <row r="58" spans="1:12">
      <c r="A58" s="985" t="s">
        <v>284</v>
      </c>
      <c r="B58" s="734" t="s">
        <v>26</v>
      </c>
      <c r="C58" s="447">
        <f>SUM(C55:C57)</f>
        <v>0</v>
      </c>
      <c r="D58" s="447">
        <f>SUM(D55:D57)</f>
        <v>0</v>
      </c>
      <c r="E58" s="447">
        <f>SUM(E55:E57)</f>
        <v>0</v>
      </c>
      <c r="F58" s="2294">
        <f>SUM(F55:F57)</f>
        <v>0</v>
      </c>
      <c r="G58" s="2322"/>
      <c r="H58" s="2310"/>
      <c r="I58" s="381"/>
      <c r="J58" s="381"/>
      <c r="K58" s="383"/>
      <c r="L58" s="197"/>
    </row>
    <row r="59" spans="1:12" ht="18.75">
      <c r="A59" s="720" t="s">
        <v>285</v>
      </c>
      <c r="B59" s="735" t="s">
        <v>202</v>
      </c>
      <c r="C59" s="21"/>
      <c r="D59" s="21"/>
      <c r="E59" s="21"/>
      <c r="F59" s="566"/>
      <c r="G59" s="2322" t="str">
        <f t="shared" si="0"/>
        <v/>
      </c>
      <c r="H59" s="2310"/>
      <c r="I59" s="381"/>
      <c r="J59" s="381"/>
      <c r="K59" s="382"/>
      <c r="L59" s="197"/>
    </row>
    <row r="60" spans="1:12">
      <c r="A60" s="736" t="s">
        <v>286</v>
      </c>
      <c r="B60" s="705" t="s">
        <v>27</v>
      </c>
      <c r="C60" s="21"/>
      <c r="D60" s="21"/>
      <c r="E60" s="21"/>
      <c r="F60" s="566"/>
      <c r="G60" s="2322" t="str">
        <f t="shared" si="0"/>
        <v/>
      </c>
      <c r="H60" s="2310"/>
      <c r="I60" s="381"/>
      <c r="J60" s="381"/>
      <c r="K60" s="382"/>
      <c r="L60" s="197"/>
    </row>
    <row r="61" spans="1:12">
      <c r="A61" s="736" t="s">
        <v>287</v>
      </c>
      <c r="B61" s="705" t="s">
        <v>28</v>
      </c>
      <c r="C61" s="21"/>
      <c r="D61" s="21"/>
      <c r="E61" s="21"/>
      <c r="F61" s="566"/>
      <c r="G61" s="2322" t="str">
        <f t="shared" si="0"/>
        <v/>
      </c>
      <c r="H61" s="2310"/>
      <c r="I61" s="381"/>
      <c r="J61" s="381"/>
      <c r="K61" s="382"/>
      <c r="L61" s="197"/>
    </row>
    <row r="62" spans="1:12">
      <c r="A62" s="736" t="s">
        <v>288</v>
      </c>
      <c r="B62" s="705" t="s">
        <v>29</v>
      </c>
      <c r="C62" s="21"/>
      <c r="D62" s="21"/>
      <c r="E62" s="21"/>
      <c r="F62" s="566"/>
      <c r="G62" s="2322" t="str">
        <f t="shared" si="0"/>
        <v/>
      </c>
      <c r="H62" s="2310"/>
      <c r="I62" s="381"/>
      <c r="J62" s="381"/>
      <c r="K62" s="382"/>
      <c r="L62" s="197"/>
    </row>
    <row r="63" spans="1:12">
      <c r="A63" s="985" t="s">
        <v>289</v>
      </c>
      <c r="B63" s="734" t="s">
        <v>203</v>
      </c>
      <c r="C63" s="447">
        <f>SUM(C59:C62)</f>
        <v>0</v>
      </c>
      <c r="D63" s="447">
        <f>SUM(D59:D62)</f>
        <v>0</v>
      </c>
      <c r="E63" s="447">
        <f>SUM(E59:E62)</f>
        <v>0</v>
      </c>
      <c r="F63" s="2294">
        <f>SUM(F59:F62)</f>
        <v>0</v>
      </c>
      <c r="G63" s="2322"/>
      <c r="H63" s="2310"/>
      <c r="I63" s="381"/>
      <c r="J63" s="381"/>
      <c r="K63" s="383"/>
      <c r="L63" s="197"/>
    </row>
    <row r="64" spans="1:12">
      <c r="A64" s="982" t="s">
        <v>290</v>
      </c>
      <c r="B64" s="732" t="s">
        <v>30</v>
      </c>
      <c r="C64" s="447">
        <f>SUM(C54,C58,C63)</f>
        <v>0</v>
      </c>
      <c r="D64" s="447">
        <f>SUM(D54,D58,D63)</f>
        <v>0</v>
      </c>
      <c r="E64" s="447">
        <f>SUM(E54,E58,E63)</f>
        <v>0</v>
      </c>
      <c r="F64" s="2298">
        <f>SUM(F54,F58,F63)</f>
        <v>0</v>
      </c>
      <c r="G64" s="2322"/>
      <c r="H64" s="2310"/>
      <c r="I64" s="381"/>
      <c r="J64" s="381"/>
      <c r="K64" s="382"/>
      <c r="L64" s="197"/>
    </row>
    <row r="65" spans="1:13" ht="13.5" thickBot="1">
      <c r="A65" s="989" t="s">
        <v>293</v>
      </c>
      <c r="B65" s="990" t="s">
        <v>32</v>
      </c>
      <c r="C65" s="275"/>
      <c r="D65" s="275"/>
      <c r="E65" s="275"/>
      <c r="F65" s="2299"/>
      <c r="G65" s="2322" t="str">
        <f>IF(C65&gt;(0.3*C66),"Rad 920 avser bara investeringar i gemensamma verksamheter. Alla andra investeringar ska fördelas till rätt verksamhet. Använd schabloner vid behov",IF(SUM(D65:F65)&gt;(C65+100),"Summa kol.D+kol.E+kol.F &gt; Kol.C",""))</f>
        <v/>
      </c>
      <c r="H65" s="2310"/>
      <c r="I65" s="381"/>
      <c r="J65" s="381"/>
      <c r="K65" s="382"/>
      <c r="L65" s="197"/>
    </row>
    <row r="66" spans="1:13" ht="27" customHeight="1" thickBot="1">
      <c r="A66" s="991" t="s">
        <v>294</v>
      </c>
      <c r="B66" s="811" t="s">
        <v>33</v>
      </c>
      <c r="C66" s="451">
        <f>SUM(C49,C64,C65)</f>
        <v>0</v>
      </c>
      <c r="D66" s="451">
        <f>SUM(D49,D64,D65)</f>
        <v>0</v>
      </c>
      <c r="E66" s="451">
        <f>SUM(E49,E64,E65)</f>
        <v>0</v>
      </c>
      <c r="F66" s="2300">
        <f>SUM(F49,F64,F65)</f>
        <v>0</v>
      </c>
      <c r="G66" s="2322" t="str">
        <f>IF(C66=0,"",IF(SUM(D66:F66)/C66&lt;0.9,"Vad avser de  " &amp;""&amp;(ROUND(C66-SUM(D66:F66),0))&amp; "tkr investeringsutgifter i kol C som inte ingår i kol. D-F? OBS! alla entrep. o kons. ska ingå i kol D",""))</f>
        <v/>
      </c>
      <c r="H66" s="2310"/>
      <c r="I66" s="1492"/>
      <c r="J66" s="1810"/>
      <c r="K66" s="1519"/>
      <c r="L66" s="197"/>
    </row>
    <row r="67" spans="1:13" ht="10.5" customHeight="1">
      <c r="A67" s="369"/>
      <c r="B67" s="19"/>
      <c r="C67" s="81"/>
      <c r="D67" s="81"/>
      <c r="E67" s="81"/>
      <c r="F67" s="81"/>
      <c r="G67" s="2134" t="s">
        <v>1393</v>
      </c>
      <c r="H67" s="81"/>
      <c r="I67" s="2134"/>
      <c r="J67" s="72"/>
      <c r="K67" s="73"/>
      <c r="L67" s="5"/>
    </row>
    <row r="68" spans="1:13" ht="25.5" customHeight="1">
      <c r="A68" s="369"/>
      <c r="B68" s="19"/>
      <c r="C68" s="81"/>
      <c r="D68" s="81"/>
      <c r="E68" s="81"/>
      <c r="F68" s="81"/>
      <c r="G68" s="2930"/>
      <c r="H68" s="2931"/>
      <c r="I68" s="2931"/>
      <c r="J68" s="2932"/>
      <c r="K68" s="2312"/>
      <c r="L68" s="2313"/>
    </row>
    <row r="69" spans="1:13" ht="31.5" customHeight="1">
      <c r="A69" s="369"/>
      <c r="B69" s="19"/>
      <c r="C69" s="81"/>
      <c r="D69" s="81"/>
      <c r="E69" s="81"/>
      <c r="F69" s="81"/>
      <c r="G69" s="2933"/>
      <c r="H69" s="2934"/>
      <c r="I69" s="2934"/>
      <c r="J69" s="2935"/>
      <c r="K69" s="2312"/>
      <c r="L69" s="2313"/>
      <c r="M69" s="1533"/>
    </row>
    <row r="70" spans="1:13" ht="28.5" customHeight="1">
      <c r="A70" s="2936" t="s">
        <v>1689</v>
      </c>
      <c r="B70" s="2937"/>
      <c r="C70" s="2938"/>
      <c r="D70" s="2938"/>
      <c r="E70" s="2938"/>
      <c r="F70" s="2938"/>
      <c r="G70" s="81"/>
      <c r="H70" s="1618"/>
      <c r="I70" s="2287"/>
      <c r="J70" s="2287"/>
      <c r="K70" s="2287"/>
      <c r="L70" s="2287"/>
      <c r="M70" s="1533"/>
    </row>
    <row r="71" spans="1:13">
      <c r="A71" s="2139" t="s">
        <v>1396</v>
      </c>
      <c r="B71" s="1693"/>
      <c r="C71" s="155"/>
      <c r="D71" s="76"/>
      <c r="F71" s="77"/>
      <c r="G71" s="78"/>
      <c r="H71" s="266"/>
      <c r="I71" s="2287"/>
      <c r="J71" s="2287"/>
      <c r="K71" s="2287"/>
      <c r="L71" s="2287"/>
      <c r="M71" s="1533"/>
    </row>
    <row r="72" spans="1:13" ht="32.25" customHeight="1" thickBot="1">
      <c r="A72" s="2135" t="s">
        <v>1437</v>
      </c>
      <c r="B72" s="97"/>
      <c r="C72" s="1660"/>
      <c r="D72" s="40"/>
      <c r="E72" s="1531"/>
      <c r="F72" s="1532"/>
      <c r="G72" s="1532"/>
      <c r="H72" s="1532"/>
      <c r="I72" s="2311"/>
      <c r="J72" s="2311"/>
      <c r="K72" s="2311"/>
      <c r="L72" s="2311"/>
      <c r="M72" s="1533"/>
    </row>
    <row r="73" spans="1:13" ht="27">
      <c r="A73" s="2137" t="s">
        <v>1394</v>
      </c>
      <c r="B73" s="2741" t="s">
        <v>1395</v>
      </c>
      <c r="C73" s="2159"/>
      <c r="D73" s="159"/>
      <c r="E73" s="1532"/>
      <c r="F73" s="1532"/>
      <c r="G73" s="2343"/>
      <c r="H73" s="1532"/>
      <c r="I73" s="2343"/>
      <c r="J73" s="325"/>
      <c r="K73" s="325"/>
      <c r="L73" s="325"/>
      <c r="M73" s="1533"/>
    </row>
    <row r="74" spans="1:13" ht="15" customHeight="1">
      <c r="A74" s="2428" t="s">
        <v>474</v>
      </c>
      <c r="B74" s="2813" t="s">
        <v>1739</v>
      </c>
      <c r="C74" s="247"/>
      <c r="D74" s="2359" t="str">
        <f>IF(C74="","Skriv belopp eller 0",IF(C74&lt;0,"Inget minusbelopp",""))</f>
        <v>Skriv belopp eller 0</v>
      </c>
      <c r="E74" s="1532"/>
      <c r="F74" s="1532"/>
      <c r="G74" s="2314"/>
      <c r="H74" s="191"/>
      <c r="I74" s="191"/>
      <c r="J74" s="191"/>
      <c r="K74" s="191"/>
      <c r="L74" s="191"/>
      <c r="M74" s="1533"/>
    </row>
    <row r="75" spans="1:13" ht="13.5" thickBot="1">
      <c r="A75" s="2429">
        <v>705</v>
      </c>
      <c r="B75" s="2747" t="s">
        <v>1730</v>
      </c>
      <c r="C75" s="251"/>
      <c r="D75" s="2359" t="str">
        <f>IF(C75="","Skriv belopp eller 0","")</f>
        <v>Skriv belopp eller 0</v>
      </c>
      <c r="E75" s="1532"/>
      <c r="F75" s="1532"/>
      <c r="G75" s="191"/>
      <c r="H75" s="324"/>
      <c r="I75" s="191"/>
      <c r="J75" s="191"/>
      <c r="K75" s="191"/>
      <c r="L75" s="191"/>
      <c r="M75" s="1533"/>
    </row>
    <row r="76" spans="1:13" ht="13.5" thickBot="1">
      <c r="A76" s="1695"/>
      <c r="B76" s="1694"/>
      <c r="C76" s="161"/>
      <c r="D76" s="1828"/>
      <c r="E76" s="1532"/>
      <c r="F76" s="1532"/>
      <c r="G76" s="1532"/>
      <c r="H76" s="1532"/>
      <c r="I76" s="2344"/>
      <c r="J76" s="2344"/>
      <c r="K76" s="2344"/>
      <c r="L76" s="2344"/>
      <c r="M76" s="1533"/>
    </row>
    <row r="77" spans="1:13" ht="26.25" customHeight="1">
      <c r="A77" s="2138" t="s">
        <v>530</v>
      </c>
      <c r="B77" s="2740" t="s">
        <v>1706</v>
      </c>
      <c r="C77" s="2345"/>
      <c r="D77" s="1828"/>
      <c r="E77" s="1532"/>
      <c r="F77" s="1532"/>
      <c r="G77" s="2943"/>
      <c r="H77" s="2944"/>
      <c r="I77" s="2944"/>
      <c r="J77" s="2344"/>
      <c r="K77" s="2344"/>
      <c r="L77" s="2344"/>
      <c r="M77" s="1533"/>
    </row>
    <row r="78" spans="1:13" ht="15" customHeight="1">
      <c r="A78" s="2430">
        <v>710</v>
      </c>
      <c r="B78" s="1373" t="s">
        <v>1471</v>
      </c>
      <c r="C78" s="247"/>
      <c r="D78" s="2359" t="str">
        <f>IF(C78="","Skriv belopp eller 0",IF((SUM(C79:C81)-C78)&gt;1,"Därav-raderna 715-725 &gt; Total-rad 710",""))</f>
        <v>Skriv belopp eller 0</v>
      </c>
      <c r="E78" s="1532"/>
      <c r="F78" s="1532"/>
      <c r="G78" s="2944"/>
      <c r="H78" s="2944"/>
      <c r="I78" s="2944"/>
      <c r="J78" s="2344"/>
      <c r="K78" s="2344"/>
      <c r="L78" s="2344"/>
      <c r="M78" s="1533"/>
    </row>
    <row r="79" spans="1:13" ht="15" customHeight="1">
      <c r="A79" s="2381" t="s">
        <v>1397</v>
      </c>
      <c r="B79" s="1367" t="s">
        <v>1426</v>
      </c>
      <c r="C79" s="247"/>
      <c r="D79" s="2359" t="str">
        <f>IF(C79="","Skriv belopp eller 0","")</f>
        <v>Skriv belopp eller 0</v>
      </c>
      <c r="E79" s="1532"/>
      <c r="F79" s="1532"/>
      <c r="G79" s="2944"/>
      <c r="H79" s="2944"/>
      <c r="I79" s="2944"/>
      <c r="J79" s="2344"/>
      <c r="K79" s="2344"/>
      <c r="L79" s="2344"/>
      <c r="M79" s="1533"/>
    </row>
    <row r="80" spans="1:13" ht="15" customHeight="1">
      <c r="A80" s="2381" t="s">
        <v>1398</v>
      </c>
      <c r="B80" s="1367" t="s">
        <v>1427</v>
      </c>
      <c r="C80" s="247"/>
      <c r="D80" s="2359" t="str">
        <f>IF(C80="","Skriv belopp eller 0","")</f>
        <v>Skriv belopp eller 0</v>
      </c>
      <c r="E80" s="1532"/>
      <c r="F80" s="1532"/>
      <c r="G80" s="2343" t="s">
        <v>1428</v>
      </c>
      <c r="H80" s="1532"/>
      <c r="I80" s="2344"/>
      <c r="J80" s="2344"/>
      <c r="K80" s="2344"/>
      <c r="L80" s="2344"/>
      <c r="M80" s="1533"/>
    </row>
    <row r="81" spans="1:13" ht="15" customHeight="1">
      <c r="A81" s="2381" t="s">
        <v>1399</v>
      </c>
      <c r="B81" s="1367" t="s">
        <v>1702</v>
      </c>
      <c r="C81" s="247"/>
      <c r="D81" s="2359" t="str">
        <f>IF(C81="","Skriv belopp eller 0","")</f>
        <v>Skriv belopp eller 0</v>
      </c>
      <c r="E81" s="1532"/>
      <c r="F81" s="1532"/>
      <c r="G81" s="2873"/>
      <c r="H81" s="2925"/>
      <c r="I81" s="2925"/>
      <c r="J81" s="2926"/>
      <c r="K81" s="2344"/>
      <c r="L81" s="2344"/>
      <c r="M81" s="1533"/>
    </row>
    <row r="82" spans="1:13" ht="15" customHeight="1" thickBot="1">
      <c r="A82" s="2632" t="s">
        <v>1403</v>
      </c>
      <c r="B82" s="2093" t="s">
        <v>1703</v>
      </c>
      <c r="C82" s="2341">
        <f>C78-C79-C80-C81</f>
        <v>0</v>
      </c>
      <c r="D82" s="2076" t="str">
        <f>IF(C78=0,"",IF(SUM(C78-C79-C80-C81&gt;1000),"Vem kommer de övriga " &amp;""&amp;(ROUND(C78-C79-C80-C81,0))&amp; "tkr övr.invest.ink. ifrån?",""))</f>
        <v/>
      </c>
      <c r="E82" s="1532"/>
      <c r="F82" s="1532"/>
      <c r="G82" s="2927"/>
      <c r="H82" s="2928"/>
      <c r="I82" s="2928"/>
      <c r="J82" s="2929"/>
      <c r="K82" s="2344"/>
      <c r="L82" s="2344"/>
      <c r="M82" s="1533"/>
    </row>
    <row r="83" spans="1:13">
      <c r="A83" s="1695"/>
      <c r="B83" s="1694"/>
      <c r="C83" s="161"/>
      <c r="D83" s="1828"/>
      <c r="E83" s="1532"/>
      <c r="F83" s="1532"/>
      <c r="G83" s="1532"/>
      <c r="H83" s="1532"/>
      <c r="I83" s="2344"/>
      <c r="J83" s="2344"/>
      <c r="K83" s="2344"/>
      <c r="L83" s="2344"/>
      <c r="M83" s="1533"/>
    </row>
    <row r="84" spans="1:13" ht="19.5" customHeight="1">
      <c r="A84" s="2936" t="s">
        <v>1690</v>
      </c>
      <c r="B84" s="2939"/>
      <c r="C84" s="2940"/>
      <c r="D84" s="2940"/>
      <c r="E84" s="2940"/>
      <c r="F84" s="2940"/>
      <c r="G84" s="2940"/>
      <c r="H84" s="2940"/>
      <c r="I84" s="2940"/>
      <c r="J84" s="2940"/>
      <c r="K84" s="2940"/>
      <c r="L84" s="2344"/>
      <c r="M84" s="1533"/>
    </row>
    <row r="85" spans="1:13">
      <c r="A85" s="2940"/>
      <c r="B85" s="2940"/>
      <c r="C85" s="2940"/>
      <c r="D85" s="2940"/>
      <c r="E85" s="2940"/>
      <c r="F85" s="2940"/>
      <c r="G85" s="2940"/>
      <c r="H85" s="2940"/>
      <c r="I85" s="2940"/>
      <c r="J85" s="2940"/>
      <c r="K85" s="2940"/>
      <c r="L85" s="2344"/>
      <c r="M85" s="1533"/>
    </row>
    <row r="86" spans="1:13">
      <c r="A86" s="2148" t="s">
        <v>1438</v>
      </c>
      <c r="B86" s="2153"/>
      <c r="C86" s="2154"/>
      <c r="D86" s="2155"/>
      <c r="E86" s="2155"/>
      <c r="F86" s="2145"/>
      <c r="G86" s="2156"/>
      <c r="H86" s="2157"/>
      <c r="I86" s="2158"/>
      <c r="J86" s="1531"/>
      <c r="K86" s="1531"/>
      <c r="L86" s="1531"/>
      <c r="M86" s="1533"/>
    </row>
    <row r="87" spans="1:13">
      <c r="A87" s="2148" t="s">
        <v>1400</v>
      </c>
      <c r="B87" s="2153"/>
      <c r="C87" s="2154"/>
      <c r="D87" s="2155"/>
      <c r="E87" s="2155"/>
      <c r="F87" s="2145"/>
      <c r="G87" s="2156"/>
      <c r="H87" s="2157"/>
      <c r="I87" s="2158"/>
      <c r="J87" s="1531"/>
      <c r="K87" s="1531"/>
      <c r="L87" s="1531"/>
      <c r="M87" s="1533"/>
    </row>
    <row r="88" spans="1:13" ht="21.75" customHeight="1" thickBot="1">
      <c r="A88" s="2148" t="s">
        <v>1810</v>
      </c>
      <c r="B88" s="2153"/>
      <c r="C88" s="2154"/>
      <c r="D88" s="2155"/>
      <c r="E88" s="2155"/>
      <c r="F88" s="2145"/>
      <c r="G88" s="2156"/>
      <c r="H88" s="2157"/>
      <c r="I88" s="2158"/>
      <c r="J88" s="1531"/>
      <c r="K88" s="1531"/>
      <c r="L88" s="1531"/>
      <c r="M88" s="1533"/>
    </row>
    <row r="89" spans="1:13" ht="21.75" customHeight="1">
      <c r="A89" s="2141" t="s">
        <v>530</v>
      </c>
      <c r="B89" s="2147" t="s">
        <v>1401</v>
      </c>
      <c r="C89" s="2383" t="s">
        <v>1402</v>
      </c>
      <c r="D89" s="2384" t="s">
        <v>1402</v>
      </c>
      <c r="E89" s="1532"/>
      <c r="F89" s="1532"/>
      <c r="G89" s="2343"/>
      <c r="H89" s="1532"/>
      <c r="I89" s="2343"/>
      <c r="J89" s="325"/>
      <c r="K89" s="325"/>
      <c r="L89" s="325"/>
      <c r="M89" s="1533"/>
    </row>
    <row r="90" spans="1:13">
      <c r="A90" s="2140"/>
      <c r="B90" s="2149"/>
      <c r="C90" s="2522" t="s">
        <v>1194</v>
      </c>
      <c r="D90" s="2385" t="s">
        <v>1194</v>
      </c>
      <c r="E90" s="1532"/>
      <c r="F90" s="1532"/>
      <c r="G90" s="2315"/>
      <c r="H90" s="191"/>
      <c r="I90" s="191"/>
      <c r="J90" s="191"/>
      <c r="K90" s="191"/>
      <c r="L90" s="191"/>
      <c r="M90" s="1533"/>
    </row>
    <row r="91" spans="1:13">
      <c r="A91" s="2140"/>
      <c r="B91" s="2142"/>
      <c r="C91" s="2523" t="s">
        <v>1544</v>
      </c>
      <c r="D91" s="2386" t="s">
        <v>1084</v>
      </c>
      <c r="E91" s="1532"/>
      <c r="F91" s="1532"/>
      <c r="G91" s="191"/>
      <c r="H91" s="191"/>
      <c r="I91" s="191"/>
      <c r="J91" s="191"/>
      <c r="K91" s="191"/>
      <c r="L91" s="191"/>
      <c r="M91" s="1533"/>
    </row>
    <row r="92" spans="1:13" ht="39.75" customHeight="1">
      <c r="A92" s="2140"/>
      <c r="B92" s="2149"/>
      <c r="C92" s="2524" t="s">
        <v>1545</v>
      </c>
      <c r="D92" s="2509" t="s">
        <v>1413</v>
      </c>
      <c r="E92" s="1532"/>
      <c r="F92" s="1532"/>
      <c r="G92" s="1532"/>
      <c r="H92" s="1532"/>
      <c r="I92" s="2344"/>
      <c r="J92" s="2344"/>
      <c r="K92" s="2344"/>
      <c r="L92" s="2344"/>
      <c r="M92" s="1533"/>
    </row>
    <row r="93" spans="1:13">
      <c r="A93" s="2140"/>
      <c r="B93" s="2143"/>
      <c r="C93" s="2387"/>
      <c r="D93" s="2388"/>
      <c r="E93" s="2360"/>
      <c r="F93" s="1532"/>
      <c r="G93" s="1532"/>
      <c r="H93" s="1532"/>
      <c r="I93" s="2344"/>
      <c r="J93" s="2344"/>
      <c r="K93" s="2344"/>
      <c r="L93" s="2344"/>
      <c r="M93" s="1533"/>
    </row>
    <row r="94" spans="1:13">
      <c r="A94" s="2430" t="s">
        <v>1405</v>
      </c>
      <c r="B94" s="1367" t="s">
        <v>1404</v>
      </c>
      <c r="C94" s="2150"/>
      <c r="D94" s="2136"/>
      <c r="E94" s="2525" t="str">
        <f>IF(C78="","Skriv belopp eller 0",IF((SUM(C79:C81)-C78)&gt;1,"Därav-raderna 715-725 &gt; Total-rad 710",""))</f>
        <v>Skriv belopp eller 0</v>
      </c>
      <c r="F94" s="1532"/>
      <c r="G94" s="1532"/>
      <c r="H94" s="1532"/>
      <c r="I94" s="2344"/>
      <c r="J94" s="2344"/>
      <c r="K94" s="2344"/>
      <c r="L94" s="2344"/>
      <c r="M94" s="1533"/>
    </row>
    <row r="95" spans="1:13">
      <c r="A95" s="2430" t="s">
        <v>1407</v>
      </c>
      <c r="B95" s="1367" t="s">
        <v>1406</v>
      </c>
      <c r="C95" s="2150"/>
      <c r="D95" s="2136"/>
      <c r="E95" s="2525" t="str">
        <f>IF(OR(C95="",D95=""),"Skriv belopp eller 0",IF(D95&gt;C95,"invest.inkomsterna borde inte vara större än invest.utgifterna",""))</f>
        <v>Skriv belopp eller 0</v>
      </c>
      <c r="F95" s="1532"/>
      <c r="G95" s="1532"/>
      <c r="H95" s="1532"/>
      <c r="I95" s="2344"/>
      <c r="J95" s="2344"/>
      <c r="K95" s="2344"/>
      <c r="L95" s="2344"/>
      <c r="M95" s="1533"/>
    </row>
    <row r="96" spans="1:13">
      <c r="A96" s="2430" t="s">
        <v>1409</v>
      </c>
      <c r="B96" s="1367" t="s">
        <v>1408</v>
      </c>
      <c r="C96" s="2150"/>
      <c r="D96" s="2136"/>
      <c r="E96" s="2525" t="str">
        <f>IF(OR(C96="",D96=""),"Skriv belopp eller 0",IF(D96&gt;C96,"invest.inkomsterna borde inte vara större än invest.utgifterna",""))</f>
        <v>Skriv belopp eller 0</v>
      </c>
      <c r="F96" s="1532"/>
      <c r="G96" s="2134" t="s">
        <v>1429</v>
      </c>
      <c r="H96" s="1532"/>
      <c r="I96" s="2344"/>
      <c r="J96" s="2344"/>
      <c r="K96" s="2344"/>
      <c r="L96" s="2344"/>
      <c r="M96" s="1533"/>
    </row>
    <row r="97" spans="1:13" ht="13.5" thickBot="1">
      <c r="A97" s="2431" t="s">
        <v>1411</v>
      </c>
      <c r="B97" s="2149" t="s">
        <v>1410</v>
      </c>
      <c r="C97" s="2151"/>
      <c r="D97" s="2152"/>
      <c r="E97" s="2525" t="str">
        <f>IF(OR(C97="",D97=""),"Skriv belopp eller 0",IF(D97&gt;C97,"invest.inkomsterna borde inte vara större än invest.utgifterna",""))</f>
        <v>Skriv belopp eller 0</v>
      </c>
      <c r="F97" s="1532"/>
      <c r="G97" s="2873"/>
      <c r="H97" s="2925"/>
      <c r="I97" s="2925"/>
      <c r="J97" s="2926"/>
      <c r="K97" s="2105"/>
      <c r="L97" s="2105"/>
      <c r="M97" s="1533"/>
    </row>
    <row r="98" spans="1:13" ht="13.5" thickBot="1">
      <c r="A98" s="2433" t="s">
        <v>1433</v>
      </c>
      <c r="B98" s="2382" t="s">
        <v>1412</v>
      </c>
      <c r="C98" s="2146">
        <f>SUM(C94:C97)</f>
        <v>0</v>
      </c>
      <c r="D98" s="2144">
        <f>SUM(D94:D97)</f>
        <v>0</v>
      </c>
      <c r="E98" s="2526" t="str">
        <f>IF(C98&gt;0.2*SUM(BR!E9+BR!E12),"Kontrollera invest.utgifterna.","")</f>
        <v/>
      </c>
      <c r="F98" s="1532"/>
      <c r="G98" s="2927"/>
      <c r="H98" s="2928"/>
      <c r="I98" s="2928"/>
      <c r="J98" s="2929"/>
      <c r="K98" s="2105"/>
      <c r="L98" s="2105"/>
      <c r="M98" s="1533"/>
    </row>
    <row r="99" spans="1:13">
      <c r="A99" s="1695"/>
      <c r="B99" s="1694"/>
      <c r="C99" s="161"/>
      <c r="D99" s="74"/>
      <c r="E99" s="1532"/>
      <c r="F99" s="1532"/>
      <c r="G99" s="2342" t="s">
        <v>510</v>
      </c>
      <c r="H99" s="1532"/>
      <c r="I99" s="2344"/>
      <c r="J99" s="2344"/>
      <c r="K99" s="2344"/>
      <c r="L99" s="2344"/>
      <c r="M99" s="1533"/>
    </row>
    <row r="100" spans="1:13">
      <c r="A100" s="1695"/>
      <c r="B100" s="1694"/>
      <c r="C100" s="161"/>
      <c r="D100" s="74"/>
      <c r="E100" s="1532"/>
      <c r="F100" s="1532"/>
      <c r="G100" s="1532"/>
      <c r="H100" s="1532"/>
      <c r="I100" s="2344"/>
      <c r="J100" s="2344"/>
      <c r="K100" s="2344"/>
      <c r="L100" s="2344"/>
      <c r="M100" s="1533"/>
    </row>
    <row r="101" spans="1:13">
      <c r="A101" s="1695"/>
      <c r="B101" s="1694"/>
      <c r="C101" s="161"/>
      <c r="D101" s="74"/>
      <c r="E101" s="1532"/>
      <c r="F101" s="1532"/>
      <c r="G101" s="1532"/>
      <c r="H101" s="1532"/>
      <c r="I101" s="2344"/>
      <c r="J101" s="2344"/>
      <c r="K101" s="2344"/>
      <c r="L101" s="2344"/>
      <c r="M101" s="1533"/>
    </row>
    <row r="102" spans="1:13">
      <c r="A102" s="1695"/>
      <c r="B102" s="1694"/>
      <c r="C102" s="161"/>
      <c r="D102" s="74"/>
      <c r="E102" s="1532"/>
      <c r="F102" s="1532"/>
      <c r="G102" s="1532"/>
      <c r="H102" s="1532"/>
      <c r="I102" s="2344"/>
      <c r="J102" s="2344"/>
      <c r="K102" s="2344"/>
      <c r="L102" s="2344"/>
      <c r="M102" s="1533"/>
    </row>
    <row r="103" spans="1:13">
      <c r="A103" s="1695"/>
      <c r="B103" s="1694"/>
      <c r="C103" s="161"/>
      <c r="D103" s="74"/>
      <c r="E103" s="1532"/>
      <c r="F103" s="1532"/>
      <c r="G103" s="1532"/>
      <c r="H103" s="1532"/>
      <c r="I103" s="2344"/>
      <c r="J103" s="2344"/>
      <c r="K103" s="2344"/>
      <c r="L103" s="2344"/>
      <c r="M103" s="1533"/>
    </row>
    <row r="104" spans="1:13">
      <c r="A104" s="1695"/>
      <c r="B104" s="1694"/>
      <c r="C104" s="161"/>
      <c r="D104" s="74"/>
      <c r="E104" s="1532"/>
      <c r="F104" s="1532"/>
      <c r="G104" s="1532"/>
      <c r="H104" s="1532"/>
      <c r="I104" s="1533"/>
      <c r="J104" s="1533"/>
      <c r="K104" s="1533"/>
      <c r="L104" s="1533"/>
      <c r="M104" s="1533"/>
    </row>
    <row r="105" spans="1:13" ht="14.25" hidden="1" customHeight="1">
      <c r="A105" s="1695"/>
      <c r="B105" s="1694"/>
      <c r="C105" s="161"/>
      <c r="D105" s="74"/>
      <c r="E105" s="1532"/>
      <c r="F105" s="1532"/>
      <c r="G105" s="1532"/>
      <c r="H105" s="1532"/>
      <c r="J105" s="187"/>
      <c r="K105" s="187"/>
    </row>
    <row r="106" spans="1:13" ht="14.25" hidden="1" customHeight="1">
      <c r="A106" s="1695"/>
      <c r="B106" s="1694"/>
      <c r="C106" s="161"/>
      <c r="D106" s="74"/>
      <c r="E106" s="1532"/>
      <c r="F106" s="1532"/>
      <c r="G106" s="1532"/>
      <c r="H106" s="1532"/>
      <c r="I106" s="159"/>
      <c r="J106" s="159"/>
      <c r="K106" s="160"/>
    </row>
    <row r="107" spans="1:13" ht="14.25" hidden="1" customHeight="1">
      <c r="A107" s="5"/>
      <c r="B107" s="5"/>
      <c r="C107" s="5"/>
      <c r="D107" s="5"/>
      <c r="E107" s="5"/>
      <c r="F107" s="5"/>
      <c r="G107" s="5"/>
      <c r="H107" s="5"/>
      <c r="J107" s="158"/>
      <c r="K107" s="160"/>
    </row>
    <row r="108" spans="1:13" ht="14.25" hidden="1" customHeight="1">
      <c r="A108" s="187"/>
      <c r="B108" s="187"/>
      <c r="C108" s="187"/>
      <c r="D108" s="187"/>
      <c r="E108" s="187"/>
      <c r="F108" s="187"/>
      <c r="G108" s="187"/>
      <c r="H108" s="187"/>
      <c r="I108" s="159"/>
      <c r="J108" s="159"/>
      <c r="K108" s="160"/>
    </row>
    <row r="109" spans="1:13" ht="14.25" hidden="1" customHeight="1">
      <c r="A109" s="267"/>
      <c r="B109" s="158"/>
      <c r="C109" s="159"/>
      <c r="D109" s="159"/>
      <c r="E109" s="159"/>
      <c r="F109" s="159"/>
      <c r="G109" s="159"/>
      <c r="H109" s="159"/>
      <c r="I109" s="159"/>
      <c r="J109" s="159"/>
      <c r="K109" s="160"/>
    </row>
    <row r="110" spans="1:13" ht="14.25" hidden="1" customHeight="1">
      <c r="A110" s="267"/>
      <c r="B110" s="158"/>
      <c r="C110" s="159"/>
      <c r="D110" s="159"/>
      <c r="E110" s="159"/>
      <c r="F110" s="159"/>
      <c r="G110" s="159"/>
      <c r="H110" s="159"/>
      <c r="I110" s="159"/>
      <c r="J110" s="159"/>
      <c r="K110" s="160"/>
    </row>
    <row r="111" spans="1:13" ht="14.25" hidden="1" customHeight="1">
      <c r="A111" s="267"/>
      <c r="B111" s="158"/>
      <c r="C111" s="159"/>
      <c r="D111" s="159"/>
      <c r="E111" s="159"/>
      <c r="F111" s="159"/>
      <c r="G111" s="159"/>
      <c r="H111" s="159"/>
      <c r="J111" s="158"/>
      <c r="K111" s="160"/>
    </row>
    <row r="112" spans="1:13" ht="14.25" hidden="1" customHeight="1">
      <c r="A112" s="267"/>
      <c r="B112" s="158"/>
      <c r="C112" s="159"/>
      <c r="D112" s="159"/>
      <c r="E112" s="159"/>
      <c r="F112" s="159"/>
      <c r="G112" s="159"/>
      <c r="H112" s="159"/>
      <c r="J112" s="187"/>
      <c r="K112" s="187"/>
    </row>
    <row r="113" spans="1:11" ht="14.25" hidden="1" customHeight="1">
      <c r="A113" s="160"/>
      <c r="B113" s="158"/>
      <c r="C113" s="158"/>
      <c r="D113" s="158"/>
      <c r="E113" s="158"/>
      <c r="F113" s="158"/>
      <c r="G113" s="159"/>
      <c r="H113" s="159"/>
      <c r="J113" s="187"/>
      <c r="K113" s="187"/>
    </row>
    <row r="114" spans="1:11" ht="14.25" hidden="1" customHeight="1">
      <c r="A114" s="158"/>
      <c r="B114" s="158"/>
      <c r="C114" s="158"/>
      <c r="D114" s="158"/>
      <c r="E114" s="158"/>
      <c r="F114" s="158"/>
      <c r="G114" s="158"/>
      <c r="H114" s="158"/>
      <c r="J114" s="187"/>
      <c r="K114" s="187"/>
    </row>
    <row r="115" spans="1:11">
      <c r="A115" s="187"/>
      <c r="B115" s="187"/>
      <c r="C115" s="187"/>
      <c r="D115" s="187"/>
      <c r="E115" s="187"/>
      <c r="F115" s="187"/>
      <c r="G115" s="187"/>
      <c r="H115" s="187"/>
    </row>
    <row r="116" spans="1:11">
      <c r="A116" s="187"/>
      <c r="B116" s="187"/>
      <c r="C116" s="187"/>
      <c r="D116" s="187"/>
      <c r="E116" s="187"/>
      <c r="F116" s="187"/>
      <c r="G116" s="187"/>
      <c r="H116" s="187"/>
    </row>
    <row r="117" spans="1:11">
      <c r="A117" s="187"/>
      <c r="B117" s="187"/>
      <c r="C117" s="187"/>
      <c r="D117" s="187"/>
      <c r="E117" s="187"/>
      <c r="F117" s="187"/>
      <c r="G117" s="187"/>
      <c r="H117" s="187"/>
    </row>
    <row r="118" spans="1:11"/>
    <row r="119" spans="1:11"/>
  </sheetData>
  <customSheetViews>
    <customSheetView guid="{97D6DB71-3F4C-4C5F-8C5B-51E3EBF78932}" showPageBreaks="1" showGridLines="0" fitToPage="1" hiddenRows="1" hiddenColumns="1" topLeftCell="A34">
      <selection activeCell="B37" sqref="B37"/>
      <pageMargins left="0.70866141732283472" right="0.70866141732283472" top="0.74803149606299213" bottom="0.35433070866141736" header="0.31496062992125984" footer="0.31496062992125984"/>
      <pageSetup paperSize="9" scale="70" orientation="portrait" r:id="rId1"/>
      <headerFooter>
        <oddHeader>&amp;L&amp;8Statistiska Centralbyrå
Offentlig ekonomi&amp;R&amp;P</oddHeader>
      </headerFooter>
    </customSheetView>
    <customSheetView guid="{99FBDEB7-DD08-4F57-81F4-3C180403E153}" showGridLines="0" fitToPage="1" hiddenRows="1" hiddenColumns="1" topLeftCell="A22">
      <selection activeCell="B37" sqref="B37"/>
      <pageMargins left="0.70866141732283472" right="0.70866141732283472" top="0.74803149606299213" bottom="0.35433070866141736" header="0.31496062992125984" footer="0.31496062992125984"/>
      <pageSetup paperSize="9" scale="73" orientation="portrait" r:id="rId2"/>
      <headerFooter>
        <oddHeader>&amp;L&amp;8Statistiska Centralbyrå
Offentlig ekonomi&amp;R&amp;P</oddHeader>
      </headerFooter>
    </customSheetView>
    <customSheetView guid="{27C9E95B-0E2B-454F-B637-1CECC9579A10}" showGridLines="0" fitToPage="1" hiddenRows="1" hiddenColumns="1" showRuler="0" topLeftCell="A46">
      <selection activeCell="C16" sqref="C16"/>
      <pageMargins left="0.70866141732283472" right="0.70866141732283472" top="0.74803149606299213" bottom="0.35433070866141736" header="0.31496062992125984" footer="0.31496062992125984"/>
      <pageSetup paperSize="9" scale="73" orientation="portrait" r:id="rId3"/>
      <headerFooter alignWithMargins="0">
        <oddHeader>&amp;L&amp;8Statistiska Centralbyrå
Offentlig ekonomi&amp;R&amp;P</oddHeader>
      </headerFooter>
    </customSheetView>
  </customSheetViews>
  <mergeCells count="11">
    <mergeCell ref="E4:E5"/>
    <mergeCell ref="D4:D5"/>
    <mergeCell ref="C4:C5"/>
    <mergeCell ref="I16:L16"/>
    <mergeCell ref="G97:J98"/>
    <mergeCell ref="G68:J69"/>
    <mergeCell ref="G81:J82"/>
    <mergeCell ref="A70:F70"/>
    <mergeCell ref="A84:K85"/>
    <mergeCell ref="J12:M15"/>
    <mergeCell ref="G77:I79"/>
  </mergeCells>
  <phoneticPr fontId="95" type="noConversion"/>
  <conditionalFormatting sqref="C74:C77 C34:F35 C37:F39 C42:F46 C48:F48 C50:F53 C55:F57 C59:F62 C65:F65 C86:C106 D98 C83 C25:H25 H65 H59:H62 H55:H57 H50:H53 H48 H42:H46 H37:H39 H34:H35 C26:F32 H26:H32 G26:G65">
    <cfRule type="cellIs" dxfId="129" priority="10" stopIfTrue="1" operator="lessThan">
      <formula>-500</formula>
    </cfRule>
  </conditionalFormatting>
  <conditionalFormatting sqref="D8:F8 D10:F11">
    <cfRule type="cellIs" dxfId="128" priority="12" stopIfTrue="1" operator="greaterThan">
      <formula>1</formula>
    </cfRule>
  </conditionalFormatting>
  <conditionalFormatting sqref="D7:F7 D9:F9">
    <cfRule type="cellIs" dxfId="127" priority="13" stopIfTrue="1" operator="lessThan">
      <formula>-1</formula>
    </cfRule>
  </conditionalFormatting>
  <conditionalFormatting sqref="C78:C82">
    <cfRule type="cellIs" dxfId="126" priority="7" stopIfTrue="1" operator="lessThan">
      <formula>-10</formula>
    </cfRule>
  </conditionalFormatting>
  <conditionalFormatting sqref="J12">
    <cfRule type="expression" dxfId="125" priority="6">
      <formula>ABS(SUM(C13:H13))&gt;100</formula>
    </cfRule>
  </conditionalFormatting>
  <conditionalFormatting sqref="C8 C10:C11">
    <cfRule type="cellIs" dxfId="124" priority="4" stopIfTrue="1" operator="greaterThan">
      <formula>1</formula>
    </cfRule>
  </conditionalFormatting>
  <conditionalFormatting sqref="C7 C9">
    <cfRule type="cellIs" dxfId="123" priority="5" stopIfTrue="1" operator="lessThan">
      <formula>-1</formula>
    </cfRule>
  </conditionalFormatting>
  <dataValidations count="3">
    <dataValidation type="decimal" operator="lessThan" allowBlank="1" showInputMessage="1" showErrorMessage="1" error="Beloppet ska vara i 1000 tal kronor" sqref="H37:H39 H42:H46 H50:H53 H55:H57 H59:H62 H25:H32 H65 C12:H14 D98 C98:C106 C76 C86:C88 H48 C59:F62 C55:F57 C50:F53 H34:H35 C42:F46 C37:F39 C34:F35 C48:F48 C65:F65 C25:F32 C9:H9 C82:C83 G7:H7 C6:F7" xr:uid="{00000000-0002-0000-0500-000000000000}">
      <formula1>99999999</formula1>
    </dataValidation>
    <dataValidation type="decimal" operator="lessThanOrEqual" allowBlank="1" showInputMessage="1" showErrorMessage="1" error="Minustecken måste anges" sqref="C10:H11 C8:H8" xr:uid="{00000000-0002-0000-0500-000001000000}">
      <formula1>0</formula1>
    </dataValidation>
    <dataValidation type="decimal" allowBlank="1" showInputMessage="1" showErrorMessage="1" error="Beloppet ska vara utan minustecken och i tusental kronor" sqref="C78:C81 C74:C75 C94:D97" xr:uid="{00000000-0002-0000-0500-000002000000}">
      <formula1>0</formula1>
      <formula2>99999999</formula2>
    </dataValidation>
  </dataValidations>
  <pageMargins left="0.70866141732283472" right="0.70866141732283472" top="0.74803149606299213" bottom="0.35433070866141736" header="0.31496062992125984" footer="0.31496062992125984"/>
  <pageSetup paperSize="9" scale="44" orientation="portrait" r:id="rId4"/>
  <headerFooter>
    <oddHeader>&amp;L&amp;8Statistiska Centralbyrå
Offentlig ekonomi&amp;R&amp;P</oddHeader>
  </headerFooter>
  <ignoredErrors>
    <ignoredError sqref="A6:A15 A25:A66 A74:A82 A94:A98" numberStoredAsText="1"/>
  </ignoredErrors>
  <drawing r:id="rId5"/>
  <legacyDrawing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tabColor rgb="FFFFFF00"/>
  </sheetPr>
  <dimension ref="A1:AH303"/>
  <sheetViews>
    <sheetView showGridLines="0" zoomScaleNormal="100" workbookViewId="0">
      <pane xSplit="2" ySplit="10" topLeftCell="C11" activePane="bottomRight" state="frozen"/>
      <selection activeCell="F36" sqref="F36"/>
      <selection pane="topRight" activeCell="F36" sqref="F36"/>
      <selection pane="bottomLeft" activeCell="F36" sqref="F36"/>
      <selection pane="bottomRight" activeCell="E99" sqref="E99"/>
    </sheetView>
  </sheetViews>
  <sheetFormatPr defaultColWidth="0" defaultRowHeight="12.75" zeroHeight="1"/>
  <cols>
    <col min="1" max="1" width="3.5703125" style="227" customWidth="1"/>
    <col min="2" max="2" width="30.42578125" style="227" customWidth="1"/>
    <col min="3" max="3" width="10.42578125" style="227" customWidth="1"/>
    <col min="4" max="4" width="9.5703125" style="227" customWidth="1"/>
    <col min="5" max="5" width="8.5703125" style="227" customWidth="1"/>
    <col min="6" max="6" width="9.5703125" style="227" customWidth="1"/>
    <col min="7" max="7" width="11.42578125" style="227" customWidth="1"/>
    <col min="8" max="8" width="9.5703125" style="227" customWidth="1"/>
    <col min="9" max="10" width="8.5703125" style="227" customWidth="1"/>
    <col min="11" max="11" width="1.42578125" style="227" customWidth="1"/>
    <col min="12" max="14" width="8.5703125" style="227" customWidth="1"/>
    <col min="15" max="15" width="9.42578125" style="227" customWidth="1"/>
    <col min="16" max="16" width="10" style="227" customWidth="1"/>
    <col min="17" max="17" width="3.5703125" style="227" customWidth="1"/>
    <col min="18" max="19" width="8.5703125" style="227" customWidth="1"/>
    <col min="20" max="20" width="10.5703125" style="227" customWidth="1"/>
    <col min="21" max="21" width="2.42578125" style="227" customWidth="1"/>
    <col min="22" max="22" width="9" style="227" customWidth="1"/>
    <col min="23" max="23" width="10.5703125" style="227" customWidth="1"/>
    <col min="24" max="24" width="2.42578125" style="227" customWidth="1"/>
    <col min="25" max="25" width="11.5703125" style="227" customWidth="1"/>
    <col min="26" max="27" width="9.42578125" style="227" customWidth="1"/>
    <col min="28" max="28" width="8.5703125" style="157" customWidth="1"/>
    <col min="29" max="29" width="7.42578125" style="157" customWidth="1"/>
    <col min="30" max="30" width="19.5703125" style="187" customWidth="1"/>
    <col min="31" max="31" width="6.5703125" style="505" hidden="1" customWidth="1"/>
    <col min="32" max="33" width="10.42578125" style="187" customWidth="1"/>
    <col min="34" max="34" width="0.42578125" style="187" customWidth="1"/>
    <col min="35" max="36" width="9.42578125" style="187" customWidth="1"/>
    <col min="37" max="16384" width="0" style="187" hidden="1"/>
  </cols>
  <sheetData>
    <row r="1" spans="1:34" ht="21.75" customHeight="1">
      <c r="A1" s="186"/>
      <c r="B1" s="87"/>
      <c r="C1" s="86" t="str">
        <f>"Driftredovisning "&amp;År&amp;", 1 000 tal kr"</f>
        <v>Driftredovisning 2023, 1 000 tal kr</v>
      </c>
      <c r="D1" s="87"/>
      <c r="E1" s="87"/>
      <c r="F1" s="186"/>
      <c r="G1" s="186"/>
      <c r="H1" s="186"/>
      <c r="I1" s="628">
        <f>Information!B3</f>
        <v>0</v>
      </c>
      <c r="J1" s="629">
        <f>Information!B2</f>
        <v>0</v>
      </c>
      <c r="K1" s="213"/>
      <c r="L1" s="186"/>
      <c r="M1" s="186"/>
      <c r="N1" s="186"/>
      <c r="O1" s="186"/>
      <c r="P1" s="186"/>
      <c r="Q1" s="186"/>
      <c r="R1" s="86" t="str">
        <f>"Driftredovisning "&amp;År&amp;", 1 000 tal kr"</f>
        <v>Driftredovisning 2023, 1 000 tal kr</v>
      </c>
      <c r="S1" s="186"/>
      <c r="T1" s="186"/>
      <c r="U1" s="186"/>
      <c r="V1" s="186"/>
      <c r="W1" s="186"/>
      <c r="X1" s="186"/>
      <c r="Y1" s="628">
        <f>Information!B3</f>
        <v>0</v>
      </c>
      <c r="Z1" s="629">
        <f>Information!B2</f>
        <v>0</v>
      </c>
      <c r="AA1" s="186"/>
      <c r="AB1" s="502"/>
      <c r="AC1" s="502"/>
      <c r="AD1" s="186"/>
      <c r="AE1" s="502"/>
      <c r="AF1" s="186"/>
      <c r="AG1" s="186"/>
    </row>
    <row r="2" spans="1:34" ht="12.75" customHeight="1">
      <c r="A2" s="1487"/>
      <c r="C2" s="430"/>
      <c r="D2" s="48" t="s">
        <v>994</v>
      </c>
      <c r="G2" s="435"/>
      <c r="H2" s="48" t="s">
        <v>628</v>
      </c>
      <c r="I2" s="5"/>
      <c r="J2" s="5"/>
      <c r="M2" s="1706"/>
      <c r="N2" s="48" t="s">
        <v>1051</v>
      </c>
      <c r="O2" s="5"/>
      <c r="P2" s="5"/>
      <c r="Q2" s="215" t="s">
        <v>120</v>
      </c>
      <c r="R2" s="5"/>
      <c r="S2" s="216"/>
      <c r="T2" s="5"/>
      <c r="U2" s="5"/>
      <c r="V2" s="5"/>
      <c r="W2" s="5"/>
      <c r="X2" s="189"/>
      <c r="Y2" s="5"/>
      <c r="Z2" s="224"/>
      <c r="AA2" s="224"/>
      <c r="AB2" s="1634"/>
      <c r="AC2" s="1536"/>
      <c r="AD2" s="1547"/>
      <c r="AE2" s="1561"/>
      <c r="AF2" s="224"/>
    </row>
    <row r="3" spans="1:34" s="222" customFormat="1" ht="12.75" customHeight="1" thickBot="1">
      <c r="C3" s="107"/>
      <c r="D3" s="48" t="s">
        <v>627</v>
      </c>
      <c r="G3" s="1491" t="s">
        <v>999</v>
      </c>
      <c r="H3" s="48" t="s">
        <v>1540</v>
      </c>
      <c r="I3" s="218"/>
      <c r="J3" s="214"/>
      <c r="N3" s="48" t="s">
        <v>1052</v>
      </c>
      <c r="O3" s="218"/>
      <c r="P3" s="218"/>
      <c r="Q3" s="219"/>
      <c r="R3" s="217"/>
      <c r="S3" s="218"/>
      <c r="T3" s="218"/>
      <c r="U3" s="220"/>
      <c r="V3" s="217"/>
      <c r="W3" s="218"/>
      <c r="X3" s="220"/>
      <c r="Y3" s="217" t="s">
        <v>154</v>
      </c>
      <c r="Z3" s="1562"/>
      <c r="AA3" s="1562"/>
      <c r="AB3" s="1635"/>
      <c r="AC3" s="1636"/>
      <c r="AD3" s="1637"/>
      <c r="AE3" s="1563"/>
      <c r="AF3" s="1564"/>
    </row>
    <row r="4" spans="1:34" s="201" customFormat="1" ht="43.35" customHeight="1">
      <c r="A4" s="992" t="s">
        <v>217</v>
      </c>
      <c r="B4" s="993" t="s">
        <v>13</v>
      </c>
      <c r="C4" s="2991" t="s">
        <v>34</v>
      </c>
      <c r="D4" s="2992"/>
      <c r="E4" s="2993" t="s">
        <v>35</v>
      </c>
      <c r="F4" s="2994"/>
      <c r="G4" s="2994"/>
      <c r="H4" s="2995"/>
      <c r="I4" s="2997" t="s">
        <v>36</v>
      </c>
      <c r="J4" s="2998"/>
      <c r="K4" s="40"/>
      <c r="L4" s="2947" t="s">
        <v>155</v>
      </c>
      <c r="M4" s="2996"/>
      <c r="N4" s="2996"/>
      <c r="O4" s="2992"/>
      <c r="P4" s="1065"/>
      <c r="Q4" s="82"/>
      <c r="R4" s="2947" t="s">
        <v>37</v>
      </c>
      <c r="S4" s="2948"/>
      <c r="T4" s="2949"/>
      <c r="U4" s="119"/>
      <c r="V4" s="2323" t="s">
        <v>157</v>
      </c>
      <c r="W4" s="1083"/>
      <c r="X4" s="40"/>
      <c r="Y4" s="1958" t="s">
        <v>1316</v>
      </c>
      <c r="Z4" s="2950" t="s">
        <v>1344</v>
      </c>
      <c r="AA4" s="2951"/>
      <c r="AB4" s="2952"/>
      <c r="AC4" s="1584" t="str">
        <f>"Förändring kostnader för eget åtagande "&amp;År-1&amp;"-"&amp;År&amp;" procent"</f>
        <v>Förändring kostnader för eget åtagande 2022-2023 procent</v>
      </c>
      <c r="AD4" s="1904" t="s">
        <v>1319</v>
      </c>
      <c r="AE4" s="1906" t="str">
        <f>"Köp av verksamhet som andel av "</f>
        <v xml:space="preserve">Köp av verksamhet som andel av </v>
      </c>
      <c r="AF4" s="1958" t="s">
        <v>1322</v>
      </c>
      <c r="AG4" s="1969" t="s">
        <v>1323</v>
      </c>
      <c r="AH4" s="2426" t="s">
        <v>1414</v>
      </c>
    </row>
    <row r="5" spans="1:34" ht="46.7" customHeight="1">
      <c r="A5" s="1608"/>
      <c r="B5" s="1609"/>
      <c r="C5" s="1592" t="s">
        <v>208</v>
      </c>
      <c r="D5" s="1022" t="s">
        <v>551</v>
      </c>
      <c r="E5" s="1718" t="s">
        <v>1099</v>
      </c>
      <c r="F5" s="1022" t="s">
        <v>1026</v>
      </c>
      <c r="G5" s="1023" t="s">
        <v>216</v>
      </c>
      <c r="H5" s="1024" t="s">
        <v>1015</v>
      </c>
      <c r="I5" s="1025" t="s">
        <v>517</v>
      </c>
      <c r="J5" s="2748" t="s">
        <v>552</v>
      </c>
      <c r="K5" s="40"/>
      <c r="L5" s="1081" t="s">
        <v>630</v>
      </c>
      <c r="M5" s="1928" t="s">
        <v>518</v>
      </c>
      <c r="N5" s="2970" t="s">
        <v>1539</v>
      </c>
      <c r="O5" s="2971"/>
      <c r="P5" s="1066" t="s">
        <v>528</v>
      </c>
      <c r="Q5" s="53"/>
      <c r="R5" s="1081" t="s">
        <v>937</v>
      </c>
      <c r="S5" s="1024" t="s">
        <v>520</v>
      </c>
      <c r="T5" s="1082" t="s">
        <v>521</v>
      </c>
      <c r="U5" s="34"/>
      <c r="V5" s="1067"/>
      <c r="W5" s="1084" t="s">
        <v>529</v>
      </c>
      <c r="X5" s="40"/>
      <c r="Y5" s="2962" t="s">
        <v>1575</v>
      </c>
      <c r="Z5" s="1027" t="str">
        <f>"Netto-kostnader "&amp;År&amp;""</f>
        <v>Netto-kostnader 2023</v>
      </c>
      <c r="AA5" s="1027" t="str">
        <f>"Kostnader för eget åtagande "&amp;År&amp;""</f>
        <v>Kostnader för eget åtagande 2023</v>
      </c>
      <c r="AB5" s="1027" t="str">
        <f>"Kostnader för eget åtagande "&amp;År-1&amp;""</f>
        <v>Kostnader för eget åtagande 2022</v>
      </c>
      <c r="AC5" s="1585"/>
      <c r="AD5" s="2823" t="s">
        <v>1839</v>
      </c>
      <c r="AE5" s="1905" t="str">
        <f>"verksamhetens kostnad för eget åtagande "&amp;År&amp;" procent"</f>
        <v>verksamhetens kostnad för eget åtagande 2023 procent</v>
      </c>
      <c r="AF5" s="2987" t="s">
        <v>1324</v>
      </c>
      <c r="AG5" s="2985" t="s">
        <v>1325</v>
      </c>
      <c r="AH5" s="2983" t="s">
        <v>1415</v>
      </c>
    </row>
    <row r="6" spans="1:34" ht="56.25" customHeight="1" thickBot="1">
      <c r="A6" s="995"/>
      <c r="B6" s="2798" t="str">
        <f>"BAS "&amp;År-2000&amp;""</f>
        <v>BAS 23</v>
      </c>
      <c r="C6" s="2674" t="s">
        <v>1643</v>
      </c>
      <c r="D6" s="2791"/>
      <c r="E6" s="1696" t="s">
        <v>1708</v>
      </c>
      <c r="F6" s="1696" t="s">
        <v>1058</v>
      </c>
      <c r="G6" s="1770" t="s">
        <v>1728</v>
      </c>
      <c r="H6" s="1696" t="s">
        <v>45</v>
      </c>
      <c r="I6" s="1697" t="s">
        <v>46</v>
      </c>
      <c r="J6" s="2749" t="s">
        <v>1731</v>
      </c>
      <c r="K6" s="40"/>
      <c r="L6" s="2792" t="s">
        <v>1729</v>
      </c>
      <c r="M6" s="2793"/>
      <c r="N6" s="2794" t="s">
        <v>1109</v>
      </c>
      <c r="O6" s="2795" t="s">
        <v>1110</v>
      </c>
      <c r="P6" s="2797"/>
      <c r="Q6" s="82"/>
      <c r="R6" s="2737" t="s">
        <v>1093</v>
      </c>
      <c r="S6" s="2738" t="s">
        <v>47</v>
      </c>
      <c r="T6" s="1698" t="s">
        <v>1027</v>
      </c>
      <c r="U6" s="34"/>
      <c r="V6" s="2796"/>
      <c r="W6" s="2797"/>
      <c r="X6" s="40"/>
      <c r="Y6" s="2963"/>
      <c r="Z6" s="2018"/>
      <c r="AA6" s="2019"/>
      <c r="AB6" s="2020"/>
      <c r="AC6" s="2021"/>
      <c r="AD6" s="2824" t="s">
        <v>1609</v>
      </c>
      <c r="AE6" s="1864"/>
      <c r="AF6" s="2963"/>
      <c r="AG6" s="2986"/>
      <c r="AH6" s="2984"/>
    </row>
    <row r="7" spans="1:34" ht="9.75" hidden="1" customHeight="1">
      <c r="A7" s="995"/>
      <c r="B7" s="1861"/>
      <c r="C7" s="1773"/>
      <c r="D7" s="1774"/>
      <c r="E7" s="1778"/>
      <c r="F7" s="1779"/>
      <c r="G7" s="1780"/>
      <c r="H7" s="1781"/>
      <c r="I7" s="1782"/>
      <c r="J7" s="1783"/>
      <c r="K7" s="34"/>
      <c r="L7" s="1595"/>
      <c r="M7" s="1596"/>
      <c r="N7" s="1593"/>
      <c r="O7" s="996"/>
      <c r="P7" s="1069"/>
      <c r="Q7" s="53"/>
      <c r="R7" s="1804"/>
      <c r="S7" s="1805"/>
      <c r="T7" s="1806"/>
      <c r="U7" s="34"/>
      <c r="V7" s="1067"/>
      <c r="W7" s="1069"/>
      <c r="X7" s="34"/>
      <c r="Y7" s="1586"/>
      <c r="Z7" s="1099"/>
      <c r="AA7" s="1101"/>
      <c r="AB7" s="1100"/>
      <c r="AC7" s="1585"/>
      <c r="AD7" s="1638"/>
      <c r="AE7" s="1864"/>
      <c r="AF7" s="1953"/>
      <c r="AG7" s="1954"/>
      <c r="AH7" s="2271"/>
    </row>
    <row r="8" spans="1:34" ht="12.75" hidden="1" customHeight="1">
      <c r="A8" s="997"/>
      <c r="B8" s="1775"/>
      <c r="C8" s="1776"/>
      <c r="D8" s="1777"/>
      <c r="E8" s="1784"/>
      <c r="F8" s="1785"/>
      <c r="G8" s="1786"/>
      <c r="H8" s="1787"/>
      <c r="I8" s="1788"/>
      <c r="J8" s="1789"/>
      <c r="K8" s="34"/>
      <c r="L8" s="1067"/>
      <c r="M8" s="1029"/>
      <c r="N8" s="1593"/>
      <c r="O8" s="996"/>
      <c r="P8" s="1069"/>
      <c r="Q8" s="53"/>
      <c r="R8" s="1804"/>
      <c r="S8" s="1805"/>
      <c r="T8" s="1806"/>
      <c r="U8" s="34"/>
      <c r="V8" s="1070"/>
      <c r="W8" s="1069"/>
      <c r="X8" s="34"/>
      <c r="Y8" s="1586"/>
      <c r="Z8" s="1102"/>
      <c r="AA8" s="1103"/>
      <c r="AB8" s="1028"/>
      <c r="AC8" s="1585"/>
      <c r="AD8" s="1068"/>
      <c r="AE8" s="1111"/>
      <c r="AF8" s="1953"/>
      <c r="AG8" s="1954"/>
      <c r="AH8" s="2271"/>
    </row>
    <row r="9" spans="1:34" ht="10.5" hidden="1" customHeight="1">
      <c r="A9" s="995"/>
      <c r="B9" s="1790"/>
      <c r="C9" s="1791"/>
      <c r="D9" s="1792"/>
      <c r="E9" s="1793"/>
      <c r="F9" s="1794"/>
      <c r="G9" s="1786"/>
      <c r="H9" s="1787"/>
      <c r="I9" s="1795"/>
      <c r="J9" s="1796"/>
      <c r="K9" s="12"/>
      <c r="L9" s="1070"/>
      <c r="M9" s="1029"/>
      <c r="N9" s="1429"/>
      <c r="O9" s="1441"/>
      <c r="P9" s="1069"/>
      <c r="Q9" s="53"/>
      <c r="R9" s="1807"/>
      <c r="S9" s="1808"/>
      <c r="T9" s="1796"/>
      <c r="U9" s="12"/>
      <c r="V9" s="1070"/>
      <c r="W9" s="1085"/>
      <c r="X9" s="12"/>
      <c r="Y9" s="1586"/>
      <c r="Z9" s="1102"/>
      <c r="AA9" s="1102"/>
      <c r="AB9" s="1028"/>
      <c r="AC9" s="1585"/>
      <c r="AD9" s="1068"/>
      <c r="AE9" s="1112"/>
      <c r="AF9" s="1953"/>
      <c r="AG9" s="1954"/>
      <c r="AH9" s="2271"/>
    </row>
    <row r="10" spans="1:34" ht="12" hidden="1" customHeight="1">
      <c r="A10" s="998"/>
      <c r="B10" s="1797"/>
      <c r="C10" s="1798"/>
      <c r="D10" s="1799"/>
      <c r="E10" s="1800"/>
      <c r="F10" s="1799"/>
      <c r="G10" s="1801"/>
      <c r="H10" s="1802"/>
      <c r="I10" s="1798"/>
      <c r="J10" s="1803"/>
      <c r="K10" s="12"/>
      <c r="L10" s="1071"/>
      <c r="M10" s="1030"/>
      <c r="N10" s="1223"/>
      <c r="O10" s="1594"/>
      <c r="P10" s="1072"/>
      <c r="Q10" s="225"/>
      <c r="R10" s="1809"/>
      <c r="S10" s="1799"/>
      <c r="T10" s="1803"/>
      <c r="U10" s="120"/>
      <c r="V10" s="1071"/>
      <c r="W10" s="1086"/>
      <c r="X10" s="12"/>
      <c r="Y10" s="2034"/>
      <c r="Z10" s="2014"/>
      <c r="AA10" s="2015"/>
      <c r="AB10" s="2016"/>
      <c r="AC10" s="2017"/>
      <c r="AD10" s="1113"/>
      <c r="AE10" s="1114"/>
      <c r="AF10" s="1953"/>
      <c r="AG10" s="1954"/>
      <c r="AH10" s="2272"/>
    </row>
    <row r="11" spans="1:34" ht="39" customHeight="1" thickBot="1">
      <c r="A11" s="999"/>
      <c r="B11" s="1000" t="s">
        <v>14</v>
      </c>
      <c r="C11" s="1031"/>
      <c r="D11" s="1032"/>
      <c r="E11" s="1031"/>
      <c r="F11" s="1033"/>
      <c r="G11" s="1034"/>
      <c r="H11" s="1035"/>
      <c r="I11" s="1031"/>
      <c r="J11" s="1036"/>
      <c r="K11" s="226"/>
      <c r="L11" s="1073"/>
      <c r="M11" s="1033"/>
      <c r="N11" s="1032"/>
      <c r="O11" s="1074"/>
      <c r="P11" s="1036"/>
      <c r="Q11" s="226"/>
      <c r="R11" s="1073"/>
      <c r="S11" s="1033"/>
      <c r="T11" s="1036"/>
      <c r="U11" s="226"/>
      <c r="V11" s="1087"/>
      <c r="W11" s="1088"/>
      <c r="X11" s="38"/>
      <c r="Y11" s="2033" t="s">
        <v>50</v>
      </c>
      <c r="Z11" s="2967"/>
      <c r="AA11" s="2965"/>
      <c r="AB11" s="2965"/>
      <c r="AC11" s="2966"/>
      <c r="AD11" s="2094"/>
      <c r="AE11" s="875"/>
      <c r="AF11" s="1953"/>
      <c r="AG11" s="1954"/>
      <c r="AH11" s="2273"/>
    </row>
    <row r="12" spans="1:34" ht="11.25" customHeight="1">
      <c r="A12" s="1001"/>
      <c r="B12" s="1002" t="s">
        <v>48</v>
      </c>
      <c r="C12" s="1037"/>
      <c r="D12" s="1038"/>
      <c r="E12" s="1037"/>
      <c r="F12" s="1039"/>
      <c r="G12" s="1040"/>
      <c r="H12" s="1041"/>
      <c r="I12" s="1037"/>
      <c r="J12" s="1042"/>
      <c r="K12" s="226"/>
      <c r="L12" s="1075"/>
      <c r="M12" s="1039"/>
      <c r="N12" s="1038"/>
      <c r="O12" s="1076"/>
      <c r="P12" s="1042"/>
      <c r="Q12" s="226"/>
      <c r="R12" s="1075"/>
      <c r="S12" s="1039"/>
      <c r="T12" s="1042"/>
      <c r="U12" s="226"/>
      <c r="V12" s="1089"/>
      <c r="W12" s="1090"/>
      <c r="X12" s="31"/>
      <c r="Y12" s="1117"/>
      <c r="Z12" s="1104"/>
      <c r="AA12" s="1104"/>
      <c r="AB12" s="1105"/>
      <c r="AC12" s="1106"/>
      <c r="AD12" s="2095"/>
      <c r="AE12" s="875"/>
      <c r="AF12" s="1953"/>
      <c r="AG12" s="1954"/>
      <c r="AH12" s="2274"/>
    </row>
    <row r="13" spans="1:34">
      <c r="A13" s="2610" t="s">
        <v>226</v>
      </c>
      <c r="B13" s="1003" t="s">
        <v>49</v>
      </c>
      <c r="C13" s="21"/>
      <c r="D13" s="22"/>
      <c r="E13" s="23"/>
      <c r="F13" s="21"/>
      <c r="G13" s="21"/>
      <c r="H13" s="22"/>
      <c r="I13" s="21"/>
      <c r="J13" s="109"/>
      <c r="K13" s="32"/>
      <c r="L13" s="112"/>
      <c r="M13" s="21"/>
      <c r="N13" s="22"/>
      <c r="O13" s="557">
        <f>IF(I$120=0,0,(SUM(C13:E13,G13,I13:M13)-V13)/(SUM(C$110:E$110,G$110,I$110:M$110)-V$110)*I$120)</f>
        <v>0</v>
      </c>
      <c r="P13" s="452">
        <f>SUM(C13:O13)</f>
        <v>0</v>
      </c>
      <c r="Q13" s="54"/>
      <c r="R13" s="112"/>
      <c r="S13" s="21"/>
      <c r="T13" s="109"/>
      <c r="U13" s="55"/>
      <c r="V13" s="122"/>
      <c r="W13" s="491">
        <f>SUM(R13:V13)</f>
        <v>0</v>
      </c>
      <c r="X13" s="61"/>
      <c r="Y13" s="2006">
        <f>P13-V13-(IF(AND(Motpart!$Y$9="",Motpart!$Z$9=""),0,IF(AND(Motpart!$Y$9=0,Motpart!$Z$9=0),0,((T13/$T$17)*(Motpart!$Y$9+Motpart!$Z$9)))))</f>
        <v>0</v>
      </c>
      <c r="Z13" s="2007"/>
      <c r="AA13" s="2008"/>
      <c r="AB13" s="2009"/>
      <c r="AC13" s="2010"/>
      <c r="AD13" s="1119" t="str">
        <f>IF(P13=0,"Belopp saknas","")</f>
        <v>Belopp saknas</v>
      </c>
      <c r="AE13" s="1116"/>
      <c r="AF13" s="1121">
        <f>P13-W13</f>
        <v>0</v>
      </c>
      <c r="AG13" s="1959">
        <f>P13-F13-H13-V13</f>
        <v>0</v>
      </c>
      <c r="AH13" s="2275">
        <f>W13-V13-(IF(AND(Motpart!$Y$9="",Motpart!$Z$9=""),0,IF(AND(Motpart!$Y$9=0,Motpart!$Z$9=0),0,((T13/$T$17)*(Motpart!$Y$9+Motpart!$Z$9)))))</f>
        <v>0</v>
      </c>
    </row>
    <row r="14" spans="1:34">
      <c r="A14" s="2610" t="s">
        <v>227</v>
      </c>
      <c r="B14" s="1004" t="s">
        <v>51</v>
      </c>
      <c r="C14" s="24"/>
      <c r="D14" s="22"/>
      <c r="E14" s="26"/>
      <c r="F14" s="24"/>
      <c r="G14" s="24"/>
      <c r="H14" s="25"/>
      <c r="I14" s="24"/>
      <c r="J14" s="110"/>
      <c r="K14" s="32"/>
      <c r="L14" s="113"/>
      <c r="M14" s="24"/>
      <c r="N14" s="22"/>
      <c r="O14" s="453">
        <f>IF(I$120=0,0,(SUM(C14:E14,G14,I14:M14)-V14)/(SUM(C$110:E$110,G$110,I$110:M$110)-V$110)*I$120)</f>
        <v>0</v>
      </c>
      <c r="P14" s="452">
        <f>SUM(C14:O14)</f>
        <v>0</v>
      </c>
      <c r="Q14" s="54"/>
      <c r="R14" s="113"/>
      <c r="S14" s="24"/>
      <c r="T14" s="110"/>
      <c r="U14" s="55"/>
      <c r="V14" s="123"/>
      <c r="W14" s="491">
        <f>SUM(R14:V14)</f>
        <v>0</v>
      </c>
      <c r="X14" s="61"/>
      <c r="Y14" s="1856">
        <f>P14-V14-(IF(AND(Motpart!$Y$9="",Motpart!$Z$9=""),0,IF(AND(Motpart!$Y$9=0,Motpart!$Z$9=0),0,((T14/$T$17)*(Motpart!$Y$9+Motpart!$Z$9)))))</f>
        <v>0</v>
      </c>
      <c r="Z14" s="2011"/>
      <c r="AA14" s="2012"/>
      <c r="AB14" s="2012"/>
      <c r="AC14" s="2013"/>
      <c r="AD14" s="1119" t="str">
        <f>IF(P14=0,"Belopp saknas","")</f>
        <v>Belopp saknas</v>
      </c>
      <c r="AE14" s="1116"/>
      <c r="AF14" s="1121">
        <f t="shared" ref="AF14:AF30" si="0">P14-W14</f>
        <v>0</v>
      </c>
      <c r="AG14" s="1959">
        <f t="shared" ref="AG14:AG77" si="1">P14-F14-H14-V14</f>
        <v>0</v>
      </c>
      <c r="AH14" s="2275">
        <f>W14-V14-(IF(AND(Motpart!$Y$9="",Motpart!$Z$9=""),0,IF(AND(Motpart!$Y$9=0,Motpart!$Z$9=0),0,((T14/$T$17)*(Motpart!$Y$9+Motpart!$Z$9)))))</f>
        <v>0</v>
      </c>
    </row>
    <row r="15" spans="1:34">
      <c r="A15" s="2610" t="s">
        <v>228</v>
      </c>
      <c r="B15" s="1004" t="s">
        <v>52</v>
      </c>
      <c r="C15" s="24"/>
      <c r="D15" s="22"/>
      <c r="E15" s="26"/>
      <c r="F15" s="24"/>
      <c r="G15" s="24"/>
      <c r="H15" s="25"/>
      <c r="I15" s="24"/>
      <c r="J15" s="110"/>
      <c r="K15" s="32"/>
      <c r="L15" s="113"/>
      <c r="M15" s="24"/>
      <c r="N15" s="22"/>
      <c r="O15" s="453">
        <f>IF(I$120=0,0,(SUM(C15:E15,G15,I15:M15)-V15)/(SUM(C$110:E$110,G$110,I$110:M$110)-V$110)*I$120)</f>
        <v>0</v>
      </c>
      <c r="P15" s="452">
        <f>SUM(C15:O15)</f>
        <v>0</v>
      </c>
      <c r="Q15" s="54"/>
      <c r="R15" s="113"/>
      <c r="S15" s="24"/>
      <c r="T15" s="110"/>
      <c r="U15" s="55"/>
      <c r="V15" s="123"/>
      <c r="W15" s="491">
        <f>SUM(R15:V15)</f>
        <v>0</v>
      </c>
      <c r="X15" s="61"/>
      <c r="Y15" s="1856">
        <f>P15-V15-(IF(AND(Motpart!$Y$9="",Motpart!$Z$9=""),0,IF(AND(Motpart!$Y$9=0,Motpart!$Z$9=0),0,((T15/$T$17)*(Motpart!$Y$9+Motpart!$Z$9)))))</f>
        <v>0</v>
      </c>
      <c r="Z15" s="2011"/>
      <c r="AA15" s="2012"/>
      <c r="AB15" s="2012"/>
      <c r="AC15" s="2013"/>
      <c r="AD15" s="1119" t="str">
        <f>IF(P15=0,"Belopp saknas","")</f>
        <v>Belopp saknas</v>
      </c>
      <c r="AE15" s="1116"/>
      <c r="AF15" s="1121">
        <f t="shared" si="0"/>
        <v>0</v>
      </c>
      <c r="AG15" s="1959">
        <f t="shared" si="1"/>
        <v>0</v>
      </c>
      <c r="AH15" s="2275">
        <f>W15-V15-(IF(AND(Motpart!$Y$9="",Motpart!$Z$9=""),0,IF(AND(Motpart!$Y$9=0,Motpart!$Z$9=0),0,((T15/$T$17)*(Motpart!$Y$9+Motpart!$Z$9)))))</f>
        <v>0</v>
      </c>
    </row>
    <row r="16" spans="1:34">
      <c r="A16" s="2610" t="s">
        <v>229</v>
      </c>
      <c r="B16" s="1004" t="s">
        <v>53</v>
      </c>
      <c r="C16" s="24"/>
      <c r="D16" s="22"/>
      <c r="E16" s="26"/>
      <c r="F16" s="24"/>
      <c r="G16" s="24"/>
      <c r="H16" s="25"/>
      <c r="I16" s="24"/>
      <c r="J16" s="110"/>
      <c r="K16" s="32"/>
      <c r="L16" s="113"/>
      <c r="M16" s="24"/>
      <c r="N16" s="22"/>
      <c r="O16" s="453">
        <f>IF(I$120=0,0,(SUM(C16:E16,G16,I16:M16)-V16)/(SUM(C$110:E$110,G$110,I$110:M$110)-V$110)*I$120)</f>
        <v>0</v>
      </c>
      <c r="P16" s="452">
        <f>SUM(C16:O16)</f>
        <v>0</v>
      </c>
      <c r="Q16" s="54"/>
      <c r="R16" s="113"/>
      <c r="S16" s="24"/>
      <c r="T16" s="110"/>
      <c r="U16" s="55"/>
      <c r="V16" s="123"/>
      <c r="W16" s="491">
        <f>SUM(R16:V16)</f>
        <v>0</v>
      </c>
      <c r="X16" s="61"/>
      <c r="Y16" s="1856">
        <f>P16-V16-(IF(AND(Motpart!$Y$9="",Motpart!$Z$9=""),0,IF(AND(Motpart!$Y$9=0,Motpart!$Z$9=0),0,((T16/$T$17)*(Motpart!$Y$9+Motpart!$Z$9)))))</f>
        <v>0</v>
      </c>
      <c r="Z16" s="2011"/>
      <c r="AA16" s="2012"/>
      <c r="AB16" s="2012"/>
      <c r="AC16" s="2013"/>
      <c r="AD16" s="1119"/>
      <c r="AE16" s="1116"/>
      <c r="AF16" s="1121">
        <f t="shared" si="0"/>
        <v>0</v>
      </c>
      <c r="AG16" s="1959">
        <f t="shared" si="1"/>
        <v>0</v>
      </c>
      <c r="AH16" s="2275">
        <f>W16-V16-(IF(AND(Motpart!$Y$9="",Motpart!$Z$9=""),0,IF(AND(Motpart!$Y$9=0,Motpart!$Z$9=0),0,((T16/$T$17)*(Motpart!$Y$9+Motpart!$Z$9)))))</f>
        <v>0</v>
      </c>
    </row>
    <row r="17" spans="1:34" ht="12.75" customHeight="1" thickBot="1">
      <c r="A17" s="2623" t="s">
        <v>230</v>
      </c>
      <c r="B17" s="1004" t="s">
        <v>54</v>
      </c>
      <c r="C17" s="445">
        <f>SUM(C13:C16)</f>
        <v>0</v>
      </c>
      <c r="D17" s="27">
        <f t="shared" ref="D17:O17" si="2">SUM(D13:D16)</f>
        <v>0</v>
      </c>
      <c r="E17" s="455">
        <f t="shared" si="2"/>
        <v>0</v>
      </c>
      <c r="F17" s="445">
        <f t="shared" si="2"/>
        <v>0</v>
      </c>
      <c r="G17" s="445">
        <f t="shared" si="2"/>
        <v>0</v>
      </c>
      <c r="H17" s="27">
        <f t="shared" si="2"/>
        <v>0</v>
      </c>
      <c r="I17" s="445">
        <f t="shared" si="2"/>
        <v>0</v>
      </c>
      <c r="J17" s="114">
        <f t="shared" si="2"/>
        <v>0</v>
      </c>
      <c r="K17" s="161"/>
      <c r="L17" s="454">
        <f>SUM(L13:L16)</f>
        <v>0</v>
      </c>
      <c r="M17" s="445">
        <f t="shared" si="2"/>
        <v>0</v>
      </c>
      <c r="N17" s="27">
        <f t="shared" si="2"/>
        <v>0</v>
      </c>
      <c r="O17" s="27">
        <f t="shared" si="2"/>
        <v>0</v>
      </c>
      <c r="P17" s="114">
        <f>SUM(P6:P16)</f>
        <v>0</v>
      </c>
      <c r="Q17" s="54"/>
      <c r="R17" s="454">
        <f>SUM(R13:R16)</f>
        <v>0</v>
      </c>
      <c r="S17" s="445">
        <f>SUM(S13:S16)</f>
        <v>0</v>
      </c>
      <c r="T17" s="114">
        <f>SUM(T13:T16)</f>
        <v>0</v>
      </c>
      <c r="U17" s="54"/>
      <c r="V17" s="126">
        <f>SUM(V13:V16)</f>
        <v>0</v>
      </c>
      <c r="W17" s="127">
        <f>SUM(W13:W16)</f>
        <v>0</v>
      </c>
      <c r="X17" s="61"/>
      <c r="Y17" s="1121">
        <f>P17-V17-SUM(Motpart!Y9:Z9)</f>
        <v>0</v>
      </c>
      <c r="Z17" s="1122" t="e">
        <f>(P17-W17)*1000/invanare</f>
        <v>#DIV/0!</v>
      </c>
      <c r="AA17" s="1122" t="e">
        <f>Y17*1000/invanare</f>
        <v>#DIV/0!</v>
      </c>
      <c r="AB17" s="1122"/>
      <c r="AC17" s="1123" t="str">
        <f>IF(ISERROR((AA17-AB17)/AB17)," ",((AA17-AB17)/AB17))</f>
        <v xml:space="preserve"> </v>
      </c>
      <c r="AD17" s="1955" t="e">
        <f>IF(AA17="","Belopp saknas",IF(OR(AC17&gt;30%,AC17&lt;-15%),"Kommentera förändringen",IF(OR(AC17&gt;20%),"Kontrollera förändringen","")))</f>
        <v>#DIV/0!</v>
      </c>
      <c r="AE17" s="1956"/>
      <c r="AF17" s="1164">
        <f t="shared" si="0"/>
        <v>0</v>
      </c>
      <c r="AG17" s="1962">
        <f t="shared" si="1"/>
        <v>0</v>
      </c>
      <c r="AH17" s="2275">
        <f>W17-V17-SUM(Motpart!Y9:Z9)</f>
        <v>0</v>
      </c>
    </row>
    <row r="18" spans="1:34" ht="37.5" customHeight="1" thickBot="1">
      <c r="A18" s="2624"/>
      <c r="B18" s="1005" t="s">
        <v>55</v>
      </c>
      <c r="C18" s="1043"/>
      <c r="D18" s="1044"/>
      <c r="E18" s="1043"/>
      <c r="F18" s="1045"/>
      <c r="G18" s="1045"/>
      <c r="H18" s="1044"/>
      <c r="I18" s="1045"/>
      <c r="J18" s="1046"/>
      <c r="K18" s="32"/>
      <c r="L18" s="1077"/>
      <c r="M18" s="1045"/>
      <c r="N18" s="1044"/>
      <c r="O18" s="1044"/>
      <c r="P18" s="1046"/>
      <c r="Q18" s="55"/>
      <c r="R18" s="1077"/>
      <c r="S18" s="1045"/>
      <c r="T18" s="1046"/>
      <c r="U18" s="55"/>
      <c r="V18" s="1091"/>
      <c r="W18" s="1092"/>
      <c r="X18" s="32"/>
      <c r="Y18" s="2033" t="s">
        <v>1342</v>
      </c>
      <c r="Z18" s="2967"/>
      <c r="AA18" s="2965"/>
      <c r="AB18" s="2965"/>
      <c r="AC18" s="2966"/>
      <c r="AD18" s="1115"/>
      <c r="AE18" s="1125"/>
      <c r="AF18" s="1970"/>
      <c r="AG18" s="1972"/>
      <c r="AH18" s="2276"/>
    </row>
    <row r="19" spans="1:34">
      <c r="A19" s="2610" t="s">
        <v>231</v>
      </c>
      <c r="B19" s="1006" t="s">
        <v>56</v>
      </c>
      <c r="C19" s="21"/>
      <c r="D19" s="22"/>
      <c r="E19" s="21"/>
      <c r="F19" s="21"/>
      <c r="G19" s="21"/>
      <c r="H19" s="22"/>
      <c r="I19" s="21"/>
      <c r="J19" s="109"/>
      <c r="K19" s="32"/>
      <c r="L19" s="112"/>
      <c r="M19" s="21"/>
      <c r="N19" s="22"/>
      <c r="O19" s="453">
        <f t="shared" ref="O19:O29" si="3">IF(I$120=0,0,(SUM(C19:E19,G19,I19:M19)-V19)/(SUM(C$110:E$110,G$110,I$110:M$110)-V$110)*I$120)</f>
        <v>0</v>
      </c>
      <c r="P19" s="452">
        <f>SUM(C19:O19)</f>
        <v>0</v>
      </c>
      <c r="Q19" s="54"/>
      <c r="R19" s="112"/>
      <c r="S19" s="21"/>
      <c r="T19" s="109"/>
      <c r="U19" s="55"/>
      <c r="V19" s="122"/>
      <c r="W19" s="491">
        <f t="shared" ref="W19:W29" si="4">SUM(R19:V19)</f>
        <v>0</v>
      </c>
      <c r="X19" s="61"/>
      <c r="Y19" s="1121">
        <f>P19-V19-(IF(AND(Motpart!$Y$10="",Motpart!$Z$10=""),0,IF(AND(Motpart!$Y$10=0,Motpart!$Z$10=0),0,((T19/$T$30)*(Motpart!$Y$10+Motpart!$Z$10)))))</f>
        <v>0</v>
      </c>
      <c r="Z19" s="2025"/>
      <c r="AA19" s="2026"/>
      <c r="AB19" s="2027"/>
      <c r="AC19" s="2028"/>
      <c r="AD19" s="1126"/>
      <c r="AE19" s="1125"/>
      <c r="AF19" s="1121">
        <f t="shared" si="0"/>
        <v>0</v>
      </c>
      <c r="AG19" s="1959">
        <f t="shared" si="1"/>
        <v>0</v>
      </c>
      <c r="AH19" s="2275">
        <f>W19-V19-(IF(AND(Motpart!$Y$10="",Motpart!$Z$10=""),0,IF(AND(Motpart!$Y$10=0,Motpart!$Z$10=0),0,((T19/$T$30)*(Motpart!$Y$10+Motpart!$Z$10)))))</f>
        <v>0</v>
      </c>
    </row>
    <row r="20" spans="1:34">
      <c r="A20" s="2610" t="s">
        <v>232</v>
      </c>
      <c r="B20" s="1004" t="s">
        <v>57</v>
      </c>
      <c r="C20" s="21"/>
      <c r="D20" s="22"/>
      <c r="E20" s="21"/>
      <c r="F20" s="21"/>
      <c r="G20" s="21"/>
      <c r="H20" s="22"/>
      <c r="I20" s="21"/>
      <c r="J20" s="109"/>
      <c r="K20" s="32"/>
      <c r="L20" s="113"/>
      <c r="M20" s="24"/>
      <c r="N20" s="22"/>
      <c r="O20" s="453">
        <f t="shared" si="3"/>
        <v>0</v>
      </c>
      <c r="P20" s="452">
        <f t="shared" ref="P20:P29" si="5">SUM(C20:O20)</f>
        <v>0</v>
      </c>
      <c r="Q20" s="54"/>
      <c r="R20" s="113"/>
      <c r="S20" s="24"/>
      <c r="T20" s="110"/>
      <c r="U20" s="55"/>
      <c r="V20" s="123"/>
      <c r="W20" s="491">
        <f t="shared" si="4"/>
        <v>0</v>
      </c>
      <c r="X20" s="61"/>
      <c r="Y20" s="1155">
        <f>P20-V20-(IF(AND(Motpart!$Y$10="",Motpart!$Z$10=""),0,IF(AND(Motpart!$Y$10=0,Motpart!$Z$10=0),0,((T20/$T$30)*(Motpart!$Y$10+Motpart!$Z$10)))))</f>
        <v>0</v>
      </c>
      <c r="Z20" s="2025"/>
      <c r="AA20" s="2026"/>
      <c r="AB20" s="2027"/>
      <c r="AC20" s="2028"/>
      <c r="AD20" s="1115"/>
      <c r="AE20" s="1125"/>
      <c r="AF20" s="1121">
        <f t="shared" si="0"/>
        <v>0</v>
      </c>
      <c r="AG20" s="1959">
        <f t="shared" si="1"/>
        <v>0</v>
      </c>
      <c r="AH20" s="2275">
        <f>W20-V20-(IF(AND(Motpart!$Y$10="",Motpart!$Z$10=""),0,IF(AND(Motpart!$Y$10=0,Motpart!$Z$10=0),0,((T20/$T$30)*(Motpart!$Y$10+Motpart!$Z$10)))))</f>
        <v>0</v>
      </c>
    </row>
    <row r="21" spans="1:34">
      <c r="A21" s="2610" t="s">
        <v>907</v>
      </c>
      <c r="B21" s="1004" t="s">
        <v>58</v>
      </c>
      <c r="C21" s="21"/>
      <c r="D21" s="22"/>
      <c r="E21" s="21"/>
      <c r="F21" s="21"/>
      <c r="G21" s="21"/>
      <c r="H21" s="22"/>
      <c r="I21" s="21"/>
      <c r="J21" s="109"/>
      <c r="K21" s="32"/>
      <c r="L21" s="113"/>
      <c r="M21" s="24"/>
      <c r="N21" s="22"/>
      <c r="O21" s="453">
        <f t="shared" si="3"/>
        <v>0</v>
      </c>
      <c r="P21" s="452">
        <f t="shared" si="5"/>
        <v>0</v>
      </c>
      <c r="Q21" s="54"/>
      <c r="R21" s="113"/>
      <c r="S21" s="24"/>
      <c r="T21" s="110"/>
      <c r="U21" s="55"/>
      <c r="V21" s="123"/>
      <c r="W21" s="491">
        <f t="shared" si="4"/>
        <v>0</v>
      </c>
      <c r="X21" s="61"/>
      <c r="Y21" s="1155">
        <f>P21-V21-(IF(AND(Motpart!$Y$10="",Motpart!$Z$10=""),0,IF(AND(Motpart!$Y$10=0,Motpart!$Z$10=0),0,((T21/$T$30)*(Motpart!$Y$10+Motpart!$Z$10)))))</f>
        <v>0</v>
      </c>
      <c r="Z21" s="2025"/>
      <c r="AA21" s="2026"/>
      <c r="AB21" s="2027"/>
      <c r="AC21" s="2028"/>
      <c r="AD21" s="1115"/>
      <c r="AE21" s="1125"/>
      <c r="AF21" s="1121">
        <f t="shared" si="0"/>
        <v>0</v>
      </c>
      <c r="AG21" s="1959">
        <f t="shared" si="1"/>
        <v>0</v>
      </c>
      <c r="AH21" s="2275">
        <f>W21-V21-(IF(AND(Motpart!$Y$10="",Motpart!$Z$10=""),0,IF(AND(Motpart!$Y$10=0,Motpart!$Z$10=0),0,((T21/$T$30)*(Motpart!$Y$10+Motpart!$Z$10)))))</f>
        <v>0</v>
      </c>
    </row>
    <row r="22" spans="1:34">
      <c r="A22" s="2610" t="s">
        <v>233</v>
      </c>
      <c r="B22" s="1004" t="s">
        <v>59</v>
      </c>
      <c r="C22" s="21"/>
      <c r="D22" s="22"/>
      <c r="E22" s="21"/>
      <c r="F22" s="21"/>
      <c r="G22" s="21"/>
      <c r="H22" s="22"/>
      <c r="I22" s="21"/>
      <c r="J22" s="109"/>
      <c r="K22" s="32"/>
      <c r="L22" s="113"/>
      <c r="M22" s="24"/>
      <c r="N22" s="22"/>
      <c r="O22" s="453">
        <f t="shared" si="3"/>
        <v>0</v>
      </c>
      <c r="P22" s="452">
        <f t="shared" si="5"/>
        <v>0</v>
      </c>
      <c r="Q22" s="54"/>
      <c r="R22" s="113"/>
      <c r="S22" s="24"/>
      <c r="T22" s="110"/>
      <c r="U22" s="55"/>
      <c r="V22" s="123"/>
      <c r="W22" s="491">
        <f t="shared" si="4"/>
        <v>0</v>
      </c>
      <c r="X22" s="61"/>
      <c r="Y22" s="1155">
        <f>P22-V22-(IF(AND(Motpart!$Y$10="",Motpart!$Z$10=""),0,IF(AND(Motpart!$Y$10=0,Motpart!$Z$10=0),0,((T22/$T$30)*(Motpart!$Y$10+Motpart!$Z$10)))))</f>
        <v>0</v>
      </c>
      <c r="Z22" s="2029"/>
      <c r="AA22" s="2026"/>
      <c r="AB22" s="2027"/>
      <c r="AC22" s="2028"/>
      <c r="AD22" s="1119"/>
      <c r="AE22" s="1125"/>
      <c r="AF22" s="1121">
        <f t="shared" si="0"/>
        <v>0</v>
      </c>
      <c r="AG22" s="1959">
        <f t="shared" si="1"/>
        <v>0</v>
      </c>
      <c r="AH22" s="2275">
        <f>W22-V22-(IF(AND(Motpart!$Y$10="",Motpart!$Z$10=""),0,IF(AND(Motpart!$Y$10=0,Motpart!$Z$10=0),0,((T22/$T$30)*(Motpart!$Y$10+Motpart!$Z$10)))))</f>
        <v>0</v>
      </c>
    </row>
    <row r="23" spans="1:34">
      <c r="A23" s="2610" t="s">
        <v>234</v>
      </c>
      <c r="B23" s="1012" t="s">
        <v>1095</v>
      </c>
      <c r="C23" s="21"/>
      <c r="D23" s="22"/>
      <c r="E23" s="21"/>
      <c r="F23" s="21"/>
      <c r="G23" s="21"/>
      <c r="H23" s="22"/>
      <c r="I23" s="21"/>
      <c r="J23" s="109"/>
      <c r="K23" s="32"/>
      <c r="L23" s="113"/>
      <c r="M23" s="24"/>
      <c r="N23" s="22"/>
      <c r="O23" s="453">
        <f t="shared" si="3"/>
        <v>0</v>
      </c>
      <c r="P23" s="452">
        <f t="shared" si="5"/>
        <v>0</v>
      </c>
      <c r="Q23" s="54"/>
      <c r="R23" s="113"/>
      <c r="S23" s="24"/>
      <c r="T23" s="110"/>
      <c r="U23" s="55"/>
      <c r="V23" s="123"/>
      <c r="W23" s="491">
        <f t="shared" si="4"/>
        <v>0</v>
      </c>
      <c r="X23" s="61"/>
      <c r="Y23" s="1155">
        <f>P23-V23-(IF(AND(Motpart!$Y$10="",Motpart!$Z$10=""),0,IF(AND(Motpart!$Y$10=0,Motpart!$Z$10=0),0,((T23/$T$30)*(Motpart!$Y$10+Motpart!$Z$10)))))</f>
        <v>0</v>
      </c>
      <c r="Z23" s="2029"/>
      <c r="AA23" s="2026"/>
      <c r="AB23" s="2027"/>
      <c r="AC23" s="2028"/>
      <c r="AD23" s="1119" t="str">
        <f>IF(P23=0,"Belopp saknas",IF(F23&lt;G23,"Kommentera köp av huvudverksamhet",IF(H23&lt;'Verks int o kostn'!I43+'Verks int o kostn'!I44,"Bidrag infrastr.saknas på rad 249","")))</f>
        <v>Belopp saknas</v>
      </c>
      <c r="AE23" s="1125"/>
      <c r="AF23" s="1121">
        <f t="shared" si="0"/>
        <v>0</v>
      </c>
      <c r="AG23" s="1959">
        <f t="shared" si="1"/>
        <v>0</v>
      </c>
      <c r="AH23" s="2275">
        <f>W23-V23-(IF(AND(Motpart!$Y$10="",Motpart!$Z$10=""),0,IF(AND(Motpart!$Y$10=0,Motpart!$Z$10=0),0,((T23/$T$30)*(Motpart!$Y$10+Motpart!$Z$10)))))</f>
        <v>0</v>
      </c>
    </row>
    <row r="24" spans="1:34">
      <c r="A24" s="2610" t="s">
        <v>235</v>
      </c>
      <c r="B24" s="1004" t="s">
        <v>16</v>
      </c>
      <c r="C24" s="21"/>
      <c r="D24" s="22"/>
      <c r="E24" s="21"/>
      <c r="F24" s="21"/>
      <c r="G24" s="21"/>
      <c r="H24" s="22"/>
      <c r="I24" s="21"/>
      <c r="J24" s="109"/>
      <c r="K24" s="32"/>
      <c r="L24" s="113"/>
      <c r="M24" s="24"/>
      <c r="N24" s="22"/>
      <c r="O24" s="453">
        <f t="shared" si="3"/>
        <v>0</v>
      </c>
      <c r="P24" s="452">
        <f t="shared" si="5"/>
        <v>0</v>
      </c>
      <c r="Q24" s="54"/>
      <c r="R24" s="113"/>
      <c r="S24" s="24"/>
      <c r="T24" s="110"/>
      <c r="U24" s="55"/>
      <c r="V24" s="123"/>
      <c r="W24" s="491">
        <f t="shared" si="4"/>
        <v>0</v>
      </c>
      <c r="X24" s="61"/>
      <c r="Y24" s="1155">
        <f>P24-V24-(IF(AND(Motpart!$Y$10="",Motpart!$Z$10=""),0,IF(AND(Motpart!$Y$10=0,Motpart!$Z$10=0),0,((T24/$T$30)*(Motpart!$Y$10+Motpart!$Z$10)))))</f>
        <v>0</v>
      </c>
      <c r="Z24" s="2029"/>
      <c r="AA24" s="2026"/>
      <c r="AB24" s="2027"/>
      <c r="AC24" s="2028"/>
      <c r="AD24" s="1119" t="str">
        <f>IF(P24=0,"Belopp saknas","")</f>
        <v>Belopp saknas</v>
      </c>
      <c r="AE24" s="1125"/>
      <c r="AF24" s="1121">
        <f t="shared" si="0"/>
        <v>0</v>
      </c>
      <c r="AG24" s="1959">
        <f t="shared" si="1"/>
        <v>0</v>
      </c>
      <c r="AH24" s="2275">
        <f>W24-V24-(IF(AND(Motpart!$Y$10="",Motpart!$Z$10=""),0,IF(AND(Motpart!$Y$10=0,Motpart!$Z$10=0),0,((T24/$T$30)*(Motpart!$Y$10+Motpart!$Z$10)))))</f>
        <v>0</v>
      </c>
    </row>
    <row r="25" spans="1:34">
      <c r="A25" s="2610" t="s">
        <v>236</v>
      </c>
      <c r="B25" s="1004" t="s">
        <v>61</v>
      </c>
      <c r="C25" s="21"/>
      <c r="D25" s="22"/>
      <c r="E25" s="21"/>
      <c r="F25" s="21"/>
      <c r="G25" s="21"/>
      <c r="H25" s="22"/>
      <c r="I25" s="21"/>
      <c r="J25" s="109"/>
      <c r="K25" s="32"/>
      <c r="L25" s="113"/>
      <c r="M25" s="24"/>
      <c r="N25" s="22"/>
      <c r="O25" s="453">
        <f t="shared" si="3"/>
        <v>0</v>
      </c>
      <c r="P25" s="452">
        <f t="shared" si="5"/>
        <v>0</v>
      </c>
      <c r="Q25" s="54"/>
      <c r="R25" s="113"/>
      <c r="S25" s="24"/>
      <c r="T25" s="110"/>
      <c r="U25" s="55"/>
      <c r="V25" s="123"/>
      <c r="W25" s="491">
        <f t="shared" si="4"/>
        <v>0</v>
      </c>
      <c r="X25" s="61"/>
      <c r="Y25" s="1155">
        <f>P25-V25-(IF(AND(Motpart!$Y$10="",Motpart!$Z$10=""),0,IF(AND(Motpart!$Y$10=0,Motpart!$Z$10=0),0,((T25/$T$30)*(Motpart!$Y$10+Motpart!$Z$10)))))</f>
        <v>0</v>
      </c>
      <c r="Z25" s="2007"/>
      <c r="AA25" s="2026"/>
      <c r="AB25" s="2027"/>
      <c r="AC25" s="2028"/>
      <c r="AD25" s="1126"/>
      <c r="AE25" s="1125"/>
      <c r="AF25" s="1121">
        <f t="shared" si="0"/>
        <v>0</v>
      </c>
      <c r="AG25" s="1959">
        <f t="shared" si="1"/>
        <v>0</v>
      </c>
      <c r="AH25" s="2275">
        <f>W25-V25-(IF(AND(Motpart!$Y$10="",Motpart!$Z$10=""),0,IF(AND(Motpart!$Y$10=0,Motpart!$Z$10=0),0,((T25/$T$30)*(Motpart!$Y$10+Motpart!$Z$10)))))</f>
        <v>0</v>
      </c>
    </row>
    <row r="26" spans="1:34">
      <c r="A26" s="2610" t="s">
        <v>237</v>
      </c>
      <c r="B26" s="1004" t="s">
        <v>62</v>
      </c>
      <c r="C26" s="21"/>
      <c r="D26" s="22"/>
      <c r="E26" s="21"/>
      <c r="F26" s="21"/>
      <c r="G26" s="21"/>
      <c r="H26" s="22"/>
      <c r="I26" s="21"/>
      <c r="J26" s="109"/>
      <c r="K26" s="32"/>
      <c r="L26" s="113"/>
      <c r="M26" s="24"/>
      <c r="N26" s="22"/>
      <c r="O26" s="453">
        <f t="shared" si="3"/>
        <v>0</v>
      </c>
      <c r="P26" s="452">
        <f t="shared" si="5"/>
        <v>0</v>
      </c>
      <c r="Q26" s="54"/>
      <c r="R26" s="113"/>
      <c r="S26" s="24"/>
      <c r="T26" s="110"/>
      <c r="U26" s="55"/>
      <c r="V26" s="123"/>
      <c r="W26" s="491">
        <f t="shared" si="4"/>
        <v>0</v>
      </c>
      <c r="X26" s="61"/>
      <c r="Y26" s="1155">
        <f>P26-V26-(IF(AND(Motpart!$Y$10="",Motpart!$Z$10=""),0,IF(AND(Motpart!$Y$10=0,Motpart!$Z$10=0),0,((T26/$T$30)*(Motpart!$Y$10+Motpart!$Z$10)))))</f>
        <v>0</v>
      </c>
      <c r="Z26" s="2030"/>
      <c r="AA26" s="2012"/>
      <c r="AB26" s="2012"/>
      <c r="AC26" s="2013"/>
      <c r="AD26" s="1120"/>
      <c r="AE26" s="1125"/>
      <c r="AF26" s="1121">
        <f t="shared" si="0"/>
        <v>0</v>
      </c>
      <c r="AG26" s="1959">
        <f t="shared" si="1"/>
        <v>0</v>
      </c>
      <c r="AH26" s="2275">
        <f>W26-V26-(IF(AND(Motpart!$Y$10="",Motpart!$Z$10=""),0,IF(AND(Motpart!$Y$10=0,Motpart!$Z$10=0),0,((T26/$T$30)*(Motpart!$Y$10+Motpart!$Z$10)))))</f>
        <v>0</v>
      </c>
    </row>
    <row r="27" spans="1:34">
      <c r="A27" s="2610" t="s">
        <v>238</v>
      </c>
      <c r="B27" s="1004" t="s">
        <v>63</v>
      </c>
      <c r="C27" s="21"/>
      <c r="D27" s="22"/>
      <c r="E27" s="21"/>
      <c r="F27" s="21"/>
      <c r="G27" s="21"/>
      <c r="H27" s="22"/>
      <c r="I27" s="21"/>
      <c r="J27" s="109"/>
      <c r="K27" s="32"/>
      <c r="L27" s="113"/>
      <c r="M27" s="24"/>
      <c r="N27" s="22"/>
      <c r="O27" s="453">
        <f t="shared" si="3"/>
        <v>0</v>
      </c>
      <c r="P27" s="452">
        <f t="shared" si="5"/>
        <v>0</v>
      </c>
      <c r="Q27" s="54"/>
      <c r="R27" s="113"/>
      <c r="S27" s="24"/>
      <c r="T27" s="110"/>
      <c r="U27" s="55"/>
      <c r="V27" s="123"/>
      <c r="W27" s="491">
        <f t="shared" si="4"/>
        <v>0</v>
      </c>
      <c r="X27" s="61"/>
      <c r="Y27" s="1155">
        <f>P27-V27-(IF(AND(Motpart!$Y$10="",Motpart!$Z$10=""),0,IF(AND(Motpart!$Y$10=0,Motpart!$Z$10=0),0,((T27/$T$30)*(Motpart!$Y$10+Motpart!$Z$10)))))</f>
        <v>0</v>
      </c>
      <c r="Z27" s="2011"/>
      <c r="AA27" s="2012"/>
      <c r="AB27" s="2012"/>
      <c r="AC27" s="2013"/>
      <c r="AD27" s="1120"/>
      <c r="AE27" s="1125"/>
      <c r="AF27" s="1121">
        <f t="shared" si="0"/>
        <v>0</v>
      </c>
      <c r="AG27" s="1959">
        <f t="shared" si="1"/>
        <v>0</v>
      </c>
      <c r="AH27" s="2275">
        <f>W27-V27-(IF(AND(Motpart!$Y$10="",Motpart!$Z$10=""),0,IF(AND(Motpart!$Y$10=0,Motpart!$Z$10=0),0,((T27/$T$30)*(Motpart!$Y$10+Motpart!$Z$10)))))</f>
        <v>0</v>
      </c>
    </row>
    <row r="28" spans="1:34">
      <c r="A28" s="2610" t="s">
        <v>239</v>
      </c>
      <c r="B28" s="1004" t="s">
        <v>17</v>
      </c>
      <c r="C28" s="21"/>
      <c r="D28" s="22"/>
      <c r="E28" s="21"/>
      <c r="F28" s="21"/>
      <c r="G28" s="21"/>
      <c r="H28" s="22"/>
      <c r="I28" s="21"/>
      <c r="J28" s="109"/>
      <c r="K28" s="32"/>
      <c r="L28" s="113"/>
      <c r="M28" s="24"/>
      <c r="N28" s="22"/>
      <c r="O28" s="453">
        <f t="shared" si="3"/>
        <v>0</v>
      </c>
      <c r="P28" s="452">
        <f t="shared" si="5"/>
        <v>0</v>
      </c>
      <c r="Q28" s="54"/>
      <c r="R28" s="113"/>
      <c r="S28" s="24"/>
      <c r="T28" s="110"/>
      <c r="U28" s="55"/>
      <c r="V28" s="123"/>
      <c r="W28" s="491">
        <f t="shared" si="4"/>
        <v>0</v>
      </c>
      <c r="X28" s="61"/>
      <c r="Y28" s="1155">
        <f>P28-V28-(IF(AND(Motpart!$Y$10="",Motpart!$Z$10=""),0,IF(AND(Motpart!$Y$10=0,Motpart!$Z$10=0),0,((T28/$T$30)*(Motpart!$Y$10+Motpart!$Z$10)))))</f>
        <v>0</v>
      </c>
      <c r="Z28" s="2011"/>
      <c r="AA28" s="2012"/>
      <c r="AB28" s="2012"/>
      <c r="AC28" s="2013"/>
      <c r="AD28" s="1120" t="str">
        <f>IF(P28=0,"Belopp saknas","")</f>
        <v>Belopp saknas</v>
      </c>
      <c r="AE28" s="1125"/>
      <c r="AF28" s="1121">
        <f t="shared" si="0"/>
        <v>0</v>
      </c>
      <c r="AG28" s="1959">
        <f t="shared" si="1"/>
        <v>0</v>
      </c>
      <c r="AH28" s="2275">
        <f>W28-V28-(IF(AND(Motpart!$Y$10="",Motpart!$Z$10=""),0,IF(AND(Motpart!$Y$10=0,Motpart!$Z$10=0),0,((T28/$T$30)*(Motpart!$Y$10+Motpart!$Z$10)))))</f>
        <v>0</v>
      </c>
    </row>
    <row r="29" spans="1:34">
      <c r="A29" s="2610" t="s">
        <v>240</v>
      </c>
      <c r="B29" s="1004" t="s">
        <v>64</v>
      </c>
      <c r="C29" s="21"/>
      <c r="D29" s="22"/>
      <c r="E29" s="21"/>
      <c r="F29" s="21"/>
      <c r="G29" s="21"/>
      <c r="H29" s="22"/>
      <c r="I29" s="21"/>
      <c r="J29" s="109"/>
      <c r="K29" s="32"/>
      <c r="L29" s="113"/>
      <c r="M29" s="24"/>
      <c r="N29" s="22"/>
      <c r="O29" s="453">
        <f t="shared" si="3"/>
        <v>0</v>
      </c>
      <c r="P29" s="452">
        <f t="shared" si="5"/>
        <v>0</v>
      </c>
      <c r="Q29" s="54"/>
      <c r="R29" s="113"/>
      <c r="S29" s="24"/>
      <c r="T29" s="110"/>
      <c r="U29" s="55"/>
      <c r="V29" s="123"/>
      <c r="W29" s="491">
        <f t="shared" si="4"/>
        <v>0</v>
      </c>
      <c r="X29" s="61"/>
      <c r="Y29" s="1155">
        <f>P29-V29-(IF(AND(Motpart!$Y$10="",Motpart!$Z$10=""),0,IF(AND(Motpart!$Y$10=0,Motpart!$Z$10=0),0,((T29/$T$30)*(Motpart!$Y$10+Motpart!$Z$10)))))</f>
        <v>0</v>
      </c>
      <c r="Z29" s="2022"/>
      <c r="AA29" s="2023"/>
      <c r="AB29" s="2023"/>
      <c r="AC29" s="2024"/>
      <c r="AD29" s="1127"/>
      <c r="AE29" s="1125"/>
      <c r="AF29" s="1121">
        <f t="shared" si="0"/>
        <v>0</v>
      </c>
      <c r="AG29" s="1959">
        <f t="shared" si="1"/>
        <v>0</v>
      </c>
      <c r="AH29" s="2275">
        <f>W29-V29-(IF(AND(Motpart!$Y$10="",Motpart!$Z$10=""),0,IF(AND(Motpart!$Y$10=0,Motpart!$Z$10=0),0,((T29/$T$30)*(Motpart!$Y$10+Motpart!$Z$10)))))</f>
        <v>0</v>
      </c>
    </row>
    <row r="30" spans="1:34" ht="12.75" customHeight="1" thickBot="1">
      <c r="A30" s="2623" t="s">
        <v>241</v>
      </c>
      <c r="B30" s="1004" t="s">
        <v>65</v>
      </c>
      <c r="C30" s="445">
        <f t="shared" ref="C30:M30" si="6">SUM(C19:C29)</f>
        <v>0</v>
      </c>
      <c r="D30" s="27">
        <f t="shared" si="6"/>
        <v>0</v>
      </c>
      <c r="E30" s="27">
        <f t="shared" si="6"/>
        <v>0</v>
      </c>
      <c r="F30" s="456">
        <f t="shared" si="6"/>
        <v>0</v>
      </c>
      <c r="G30" s="457">
        <f t="shared" si="6"/>
        <v>0</v>
      </c>
      <c r="H30" s="458">
        <f t="shared" si="6"/>
        <v>0</v>
      </c>
      <c r="I30" s="445">
        <f t="shared" si="6"/>
        <v>0</v>
      </c>
      <c r="J30" s="114">
        <f t="shared" si="6"/>
        <v>0</v>
      </c>
      <c r="K30" s="161"/>
      <c r="L30" s="454">
        <f>SUM(L19:L29)</f>
        <v>0</v>
      </c>
      <c r="M30" s="445">
        <f t="shared" si="6"/>
        <v>0</v>
      </c>
      <c r="N30" s="27">
        <f t="shared" ref="N30:W30" si="7">SUM(N19:N29)</f>
        <v>0</v>
      </c>
      <c r="O30" s="27">
        <f t="shared" si="7"/>
        <v>0</v>
      </c>
      <c r="P30" s="114">
        <f t="shared" si="7"/>
        <v>0</v>
      </c>
      <c r="Q30" s="54"/>
      <c r="R30" s="454">
        <f t="shared" si="7"/>
        <v>0</v>
      </c>
      <c r="S30" s="445">
        <f t="shared" si="7"/>
        <v>0</v>
      </c>
      <c r="T30" s="114">
        <f t="shared" si="7"/>
        <v>0</v>
      </c>
      <c r="U30" s="54"/>
      <c r="V30" s="126">
        <f t="shared" si="7"/>
        <v>0</v>
      </c>
      <c r="W30" s="127">
        <f t="shared" si="7"/>
        <v>0</v>
      </c>
      <c r="X30" s="61"/>
      <c r="Y30" s="2032">
        <f>P30-V30-SUM(Motpart!Y10:Z10)</f>
        <v>0</v>
      </c>
      <c r="Z30" s="1122" t="e">
        <f>(P30-W30)*1000/invanare</f>
        <v>#DIV/0!</v>
      </c>
      <c r="AA30" s="1122" t="e">
        <f>Y30*1000/invanare</f>
        <v>#DIV/0!</v>
      </c>
      <c r="AB30" s="1122"/>
      <c r="AC30" s="1128" t="str">
        <f>IF(ISERROR((AA30-AB30)/AB30)," ",((AA30-AB30)/AB30))</f>
        <v xml:space="preserve"> </v>
      </c>
      <c r="AD30" s="1955" t="e">
        <f>IF(AA30="","Belopp saknas",IF(OR(AC30&gt;30%,AC30&lt;-15%),"Kommentera förändringen",""))</f>
        <v>#DIV/0!</v>
      </c>
      <c r="AE30" s="1964" t="str">
        <f>IF(ISERROR(F30/(AA30/1000*invanare)),"",(F30/(AA30/100000*invanare)))</f>
        <v/>
      </c>
      <c r="AF30" s="1121">
        <f t="shared" si="0"/>
        <v>0</v>
      </c>
      <c r="AG30" s="1962">
        <f t="shared" si="1"/>
        <v>0</v>
      </c>
      <c r="AH30" s="2277">
        <f>W30-V30-SUM(Motpart!Y10:Z10)</f>
        <v>0</v>
      </c>
    </row>
    <row r="31" spans="1:34" ht="37.5" customHeight="1" thickBot="1">
      <c r="A31" s="2619"/>
      <c r="B31" s="1007" t="s">
        <v>66</v>
      </c>
      <c r="C31" s="1047"/>
      <c r="D31" s="1048"/>
      <c r="E31" s="1049"/>
      <c r="F31" s="1050"/>
      <c r="G31" s="1051"/>
      <c r="H31" s="1052"/>
      <c r="I31" s="1051"/>
      <c r="J31" s="1053"/>
      <c r="K31" s="32"/>
      <c r="L31" s="1078"/>
      <c r="M31" s="1051"/>
      <c r="N31" s="1048"/>
      <c r="O31" s="1048"/>
      <c r="P31" s="1053"/>
      <c r="Q31" s="55"/>
      <c r="R31" s="1078"/>
      <c r="S31" s="1051"/>
      <c r="T31" s="1053"/>
      <c r="U31" s="55"/>
      <c r="V31" s="1093"/>
      <c r="W31" s="1094"/>
      <c r="X31" s="32"/>
      <c r="Y31" s="2033" t="s">
        <v>1339</v>
      </c>
      <c r="Z31" s="2964"/>
      <c r="AA31" s="2965"/>
      <c r="AB31" s="2965"/>
      <c r="AC31" s="2966"/>
      <c r="AD31" s="1115"/>
      <c r="AE31" s="1125" t="str">
        <f>IF(ISERROR(F30/(AA30/1000*invanare)),"",(SUM(Motpart!D10,Motpart!F10)/(AA30/100000*invanare)))</f>
        <v/>
      </c>
      <c r="AF31" s="1853"/>
      <c r="AG31" s="1961"/>
      <c r="AH31" s="2278"/>
    </row>
    <row r="32" spans="1:34" ht="9" customHeight="1">
      <c r="A32" s="2625"/>
      <c r="B32" s="1008" t="s">
        <v>67</v>
      </c>
      <c r="C32" s="1054"/>
      <c r="D32" s="1055"/>
      <c r="E32" s="1056"/>
      <c r="F32" s="1057"/>
      <c r="G32" s="1058"/>
      <c r="H32" s="1059"/>
      <c r="I32" s="1058"/>
      <c r="J32" s="1060"/>
      <c r="K32" s="32"/>
      <c r="L32" s="1079"/>
      <c r="M32" s="1058"/>
      <c r="N32" s="1055"/>
      <c r="O32" s="1055"/>
      <c r="P32" s="1060"/>
      <c r="Q32" s="55"/>
      <c r="R32" s="1079"/>
      <c r="S32" s="1058"/>
      <c r="T32" s="1060"/>
      <c r="U32" s="55"/>
      <c r="V32" s="1095"/>
      <c r="W32" s="1096"/>
      <c r="X32" s="32"/>
      <c r="Y32" s="1854"/>
      <c r="Z32" s="1107"/>
      <c r="AA32" s="1108"/>
      <c r="AB32" s="1109"/>
      <c r="AC32" s="1110"/>
      <c r="AD32" s="1115"/>
      <c r="AE32" s="1125"/>
      <c r="AF32" s="1854"/>
      <c r="AG32" s="1960"/>
      <c r="AH32" s="2279"/>
    </row>
    <row r="33" spans="1:34" ht="12" customHeight="1">
      <c r="A33" s="2610" t="s">
        <v>242</v>
      </c>
      <c r="B33" s="1006" t="s">
        <v>68</v>
      </c>
      <c r="C33" s="21"/>
      <c r="D33" s="22"/>
      <c r="E33" s="565"/>
      <c r="F33" s="566"/>
      <c r="G33" s="21"/>
      <c r="H33" s="567"/>
      <c r="I33" s="21"/>
      <c r="J33" s="109"/>
      <c r="K33" s="32"/>
      <c r="L33" s="112"/>
      <c r="M33" s="21"/>
      <c r="N33" s="22"/>
      <c r="O33" s="453">
        <f>IF(I$120=0,0,(SUM(C33:E33,G33,I33:M33)-V33)/(SUM(C$110:E$110,G$110,I$110:M$110)-V$110)*I$120)</f>
        <v>0</v>
      </c>
      <c r="P33" s="452">
        <f>SUM(C33:O33)</f>
        <v>0</v>
      </c>
      <c r="Q33" s="54"/>
      <c r="R33" s="112"/>
      <c r="S33" s="21"/>
      <c r="T33" s="109"/>
      <c r="U33" s="55"/>
      <c r="V33" s="122"/>
      <c r="W33" s="491">
        <f>SUM(R33:V33)</f>
        <v>0</v>
      </c>
      <c r="X33" s="61"/>
      <c r="Y33" s="1121">
        <f>P33-V33-(IF(AND(Motpart!$Y$11="",Motpart!$Z$11=""),0,IF(AND(Motpart!$Y$11=0,Motpart!$Z$11=0),0,((T33/$T$37)*(Motpart!$Y$11+Motpart!$Z$11)))))</f>
        <v>0</v>
      </c>
      <c r="Z33" s="1107"/>
      <c r="AA33" s="1107"/>
      <c r="AB33" s="1107"/>
      <c r="AC33" s="1107"/>
      <c r="AD33" s="1120"/>
      <c r="AE33" s="1125"/>
      <c r="AF33" s="1121">
        <f>P33-W33</f>
        <v>0</v>
      </c>
      <c r="AG33" s="1959">
        <f t="shared" si="1"/>
        <v>0</v>
      </c>
      <c r="AH33" s="2275">
        <f>W33-V33-(IF(AND(Motpart!$Y$11="",Motpart!$Z$11=""),0,IF(AND(Motpart!$Y$11=0,Motpart!$Z$11=0),0,((T33/$T$37)*(Motpart!$Y$11+Motpart!$Z$11)))))</f>
        <v>0</v>
      </c>
    </row>
    <row r="34" spans="1:34">
      <c r="A34" s="2610" t="s">
        <v>243</v>
      </c>
      <c r="B34" s="1004" t="s">
        <v>69</v>
      </c>
      <c r="C34" s="21"/>
      <c r="D34" s="22"/>
      <c r="E34" s="21"/>
      <c r="F34" s="21"/>
      <c r="G34" s="21"/>
      <c r="H34" s="25"/>
      <c r="I34" s="24"/>
      <c r="J34" s="110"/>
      <c r="K34" s="32"/>
      <c r="L34" s="113"/>
      <c r="M34" s="24"/>
      <c r="N34" s="22"/>
      <c r="O34" s="453">
        <f>IF(I$120=0,0,(SUM(C34:E34,G34,I34:M34)-V34)/(SUM(C$110:E$110,G$110,I$110:M$110)-V$110)*I$120)</f>
        <v>0</v>
      </c>
      <c r="P34" s="452">
        <f>SUM(C34:O34)</f>
        <v>0</v>
      </c>
      <c r="Q34" s="54"/>
      <c r="R34" s="113"/>
      <c r="S34" s="24"/>
      <c r="T34" s="110"/>
      <c r="U34" s="55"/>
      <c r="V34" s="123"/>
      <c r="W34" s="491">
        <f>SUM(R34:V34)</f>
        <v>0</v>
      </c>
      <c r="X34" s="61"/>
      <c r="Y34" s="1155">
        <f>P34-V34-(IF(AND(Motpart!$Y$11="",Motpart!$Z$11=""),0,IF(AND(Motpart!$Y$11=0,Motpart!$Z$11=0),0,((T34/$T$37)*(Motpart!$Y$11+Motpart!$Z$11)))))</f>
        <v>0</v>
      </c>
      <c r="Z34" s="1107"/>
      <c r="AA34" s="1107"/>
      <c r="AB34" s="1107"/>
      <c r="AC34" s="1107"/>
      <c r="AD34" s="1127"/>
      <c r="AE34" s="1125"/>
      <c r="AF34" s="1121">
        <f t="shared" ref="AF34:AF97" si="8">P34-W34</f>
        <v>0</v>
      </c>
      <c r="AG34" s="1959">
        <f t="shared" si="1"/>
        <v>0</v>
      </c>
      <c r="AH34" s="2275">
        <f>W34-V34-(IF(AND(Motpart!$Y$11="",Motpart!$Z$11=""),0,IF(AND(Motpart!$Y$11=0,Motpart!$Z$11=0),0,((T34/$T$37)*(Motpart!$Y$11+Motpart!$Z$11)))))</f>
        <v>0</v>
      </c>
    </row>
    <row r="35" spans="1:34">
      <c r="A35" s="2610" t="s">
        <v>244</v>
      </c>
      <c r="B35" s="1004" t="s">
        <v>70</v>
      </c>
      <c r="C35" s="21"/>
      <c r="D35" s="22"/>
      <c r="E35" s="24"/>
      <c r="F35" s="24"/>
      <c r="G35" s="24"/>
      <c r="H35" s="25"/>
      <c r="I35" s="24"/>
      <c r="J35" s="110"/>
      <c r="K35" s="32"/>
      <c r="L35" s="113"/>
      <c r="M35" s="24"/>
      <c r="N35" s="22"/>
      <c r="O35" s="453">
        <f>IF(I$120=0,0,(SUM(C35:E35,G35,I35:M35)-V35)/(SUM(C$110:E$110,G$110,I$110:M$110)-V$110)*I$120)</f>
        <v>0</v>
      </c>
      <c r="P35" s="452">
        <f>SUM(C35:O35)</f>
        <v>0</v>
      </c>
      <c r="Q35" s="54"/>
      <c r="R35" s="113"/>
      <c r="S35" s="24"/>
      <c r="T35" s="110"/>
      <c r="U35" s="55"/>
      <c r="V35" s="123"/>
      <c r="W35" s="491">
        <f>SUM(R35:V35)</f>
        <v>0</v>
      </c>
      <c r="X35" s="61"/>
      <c r="Y35" s="1155">
        <f>P35-V35-(IF(AND(Motpart!$Y$11="",Motpart!$Z$11=""),0,IF(AND(Motpart!$Y$11=0,Motpart!$Z$11=0),0,((T35/$T$37)*(Motpart!$Y$11+Motpart!$Z$11)))))</f>
        <v>0</v>
      </c>
      <c r="Z35" s="1107"/>
      <c r="AA35" s="1107"/>
      <c r="AB35" s="1107"/>
      <c r="AC35" s="1107"/>
      <c r="AD35" s="1120"/>
      <c r="AE35" s="1125"/>
      <c r="AF35" s="1121">
        <f t="shared" si="8"/>
        <v>0</v>
      </c>
      <c r="AG35" s="1959">
        <f t="shared" si="1"/>
        <v>0</v>
      </c>
      <c r="AH35" s="2275">
        <f>W35-V35-(IF(AND(Motpart!$Y$11="",Motpart!$Z$11=""),0,IF(AND(Motpart!$Y$11=0,Motpart!$Z$11=0),0,((T35/$T$37)*(Motpart!$Y$11+Motpart!$Z$11)))))</f>
        <v>0</v>
      </c>
    </row>
    <row r="36" spans="1:34">
      <c r="A36" s="2610" t="s">
        <v>245</v>
      </c>
      <c r="B36" s="1004" t="s">
        <v>71</v>
      </c>
      <c r="C36" s="21"/>
      <c r="D36" s="22"/>
      <c r="E36" s="24"/>
      <c r="F36" s="24"/>
      <c r="G36" s="24"/>
      <c r="H36" s="25"/>
      <c r="I36" s="24"/>
      <c r="J36" s="110"/>
      <c r="K36" s="32"/>
      <c r="L36" s="113"/>
      <c r="M36" s="24"/>
      <c r="N36" s="22"/>
      <c r="O36" s="453">
        <f>IF(I$120=0,0,(SUM(C36:E36,G36,I36:M36)-V36)/(SUM(C$110:E$110,G$110,I$110:M$110)-V$110)*I$120)</f>
        <v>0</v>
      </c>
      <c r="P36" s="452">
        <f>SUM(C36:O36)</f>
        <v>0</v>
      </c>
      <c r="Q36" s="54"/>
      <c r="R36" s="113"/>
      <c r="S36" s="24"/>
      <c r="T36" s="110"/>
      <c r="U36" s="55"/>
      <c r="V36" s="123"/>
      <c r="W36" s="491">
        <f>SUM(R36:V36)</f>
        <v>0</v>
      </c>
      <c r="X36" s="61"/>
      <c r="Y36" s="1155">
        <f>P36-V36-(IF(AND(Motpart!$Y$11="",Motpart!$Z$11=""),0,IF(AND(Motpart!$Y$11=0,Motpart!$Z$11=0),0,((T36/$T$37)*(Motpart!$Y$11+Motpart!$Z$11)))))</f>
        <v>0</v>
      </c>
      <c r="Z36" s="1130" t="e">
        <f>(P36-W36)*1000/invanare</f>
        <v>#DIV/0!</v>
      </c>
      <c r="AA36" s="1130" t="e">
        <f>Y36*1000/inv7_15</f>
        <v>#DIV/0!</v>
      </c>
      <c r="AB36" s="1130"/>
      <c r="AC36" s="1131" t="str">
        <f>IF(ISERROR((AA36-AB36)/AB36)," ",((AA36-AB36)/AB36))</f>
        <v xml:space="preserve"> </v>
      </c>
      <c r="AD36" s="1124" t="e">
        <f>IF(AND(AB36=0,AA36=0),"",IF(AA36="","Belopp saknas",IF(OR(AC36&gt;30%,AC36&lt;-10%),"Kommentera förändringen","")))</f>
        <v>#DIV/0!</v>
      </c>
      <c r="AE36" s="1125"/>
      <c r="AF36" s="1121">
        <f t="shared" si="8"/>
        <v>0</v>
      </c>
      <c r="AG36" s="1959">
        <f t="shared" si="1"/>
        <v>0</v>
      </c>
      <c r="AH36" s="2275">
        <f>W36-V36-(IF(AND(Motpart!$Y$11="",Motpart!$Z$11=""),0,IF(AND(Motpart!$Y$11=0,Motpart!$Z$11=0),0,((T36/$T$37)*(Motpart!$Y$11+Motpart!$Z$11)))))</f>
        <v>0</v>
      </c>
    </row>
    <row r="37" spans="1:34">
      <c r="A37" s="2610" t="s">
        <v>246</v>
      </c>
      <c r="B37" s="1004" t="s">
        <v>72</v>
      </c>
      <c r="C37" s="445">
        <f t="shared" ref="C37:M37" si="9">SUM(C33:C36)</f>
        <v>0</v>
      </c>
      <c r="D37" s="27">
        <f t="shared" si="9"/>
        <v>0</v>
      </c>
      <c r="E37" s="445">
        <f t="shared" si="9"/>
        <v>0</v>
      </c>
      <c r="F37" s="445">
        <f t="shared" si="9"/>
        <v>0</v>
      </c>
      <c r="G37" s="445">
        <f t="shared" si="9"/>
        <v>0</v>
      </c>
      <c r="H37" s="27">
        <f t="shared" si="9"/>
        <v>0</v>
      </c>
      <c r="I37" s="445">
        <f t="shared" si="9"/>
        <v>0</v>
      </c>
      <c r="J37" s="114">
        <f t="shared" si="9"/>
        <v>0</v>
      </c>
      <c r="K37" s="161"/>
      <c r="L37" s="454">
        <f>SUM(L33:L36)</f>
        <v>0</v>
      </c>
      <c r="M37" s="445">
        <f t="shared" si="9"/>
        <v>0</v>
      </c>
      <c r="N37" s="27">
        <f t="shared" ref="N37:W37" si="10">SUM(N33:N36)</f>
        <v>0</v>
      </c>
      <c r="O37" s="27">
        <f t="shared" si="10"/>
        <v>0</v>
      </c>
      <c r="P37" s="114">
        <f t="shared" si="10"/>
        <v>0</v>
      </c>
      <c r="Q37" s="54"/>
      <c r="R37" s="454">
        <f t="shared" si="10"/>
        <v>0</v>
      </c>
      <c r="S37" s="445">
        <f t="shared" si="10"/>
        <v>0</v>
      </c>
      <c r="T37" s="114">
        <f t="shared" si="10"/>
        <v>0</v>
      </c>
      <c r="U37" s="54"/>
      <c r="V37" s="126">
        <f t="shared" si="10"/>
        <v>0</v>
      </c>
      <c r="W37" s="127">
        <f t="shared" si="10"/>
        <v>0</v>
      </c>
      <c r="X37" s="61"/>
      <c r="Y37" s="1121">
        <f>P37-V37-SUM(Motpart!Y11:Z11)</f>
        <v>0</v>
      </c>
      <c r="Z37" s="1132" t="e">
        <f>(P37-W37)*1000/invanare</f>
        <v>#DIV/0!</v>
      </c>
      <c r="AA37" s="1133" t="e">
        <f>Y37*1000/invanare</f>
        <v>#DIV/0!</v>
      </c>
      <c r="AB37" s="1133"/>
      <c r="AC37" s="1134" t="str">
        <f>IF(ISERROR((AA37-AB37)/AB37)," ",((AA37-AB37)/AB37))</f>
        <v xml:space="preserve"> </v>
      </c>
      <c r="AD37" s="1124" t="e">
        <f>IF(AA37="","Belopp saknas",IF(OR(AC37&gt;25%,AC37&lt;-15%),"Kommentera förändringen",""))</f>
        <v>#DIV/0!</v>
      </c>
      <c r="AE37" s="1125"/>
      <c r="AF37" s="1121">
        <f t="shared" si="8"/>
        <v>0</v>
      </c>
      <c r="AG37" s="1959">
        <f t="shared" si="1"/>
        <v>0</v>
      </c>
      <c r="AH37" s="2275">
        <f>W37-V37-SUM(Motpart!Y11:Z11)</f>
        <v>0</v>
      </c>
    </row>
    <row r="38" spans="1:34" ht="9" customHeight="1">
      <c r="A38" s="2625"/>
      <c r="B38" s="1008" t="s">
        <v>73</v>
      </c>
      <c r="C38" s="1061"/>
      <c r="D38" s="1062"/>
      <c r="E38" s="1063"/>
      <c r="F38" s="1063"/>
      <c r="G38" s="1063"/>
      <c r="H38" s="1062"/>
      <c r="I38" s="1063"/>
      <c r="J38" s="1064"/>
      <c r="K38" s="32"/>
      <c r="L38" s="1080"/>
      <c r="M38" s="1063"/>
      <c r="N38" s="1062"/>
      <c r="O38" s="1062"/>
      <c r="P38" s="1064"/>
      <c r="Q38" s="55"/>
      <c r="R38" s="1080"/>
      <c r="S38" s="1063"/>
      <c r="T38" s="1064"/>
      <c r="U38" s="55"/>
      <c r="V38" s="1097"/>
      <c r="W38" s="1098"/>
      <c r="X38" s="32"/>
      <c r="Y38" s="1854"/>
      <c r="Z38" s="1107"/>
      <c r="AA38" s="1108"/>
      <c r="AB38" s="1109"/>
      <c r="AC38" s="1110"/>
      <c r="AD38" s="1115"/>
      <c r="AE38" s="1125"/>
      <c r="AF38" s="1121">
        <f t="shared" si="8"/>
        <v>0</v>
      </c>
      <c r="AG38" s="1959">
        <f t="shared" si="1"/>
        <v>0</v>
      </c>
      <c r="AH38" s="2275"/>
    </row>
    <row r="39" spans="1:34" ht="11.25" customHeight="1">
      <c r="A39" s="2610" t="s">
        <v>247</v>
      </c>
      <c r="B39" s="1006" t="s">
        <v>74</v>
      </c>
      <c r="C39" s="21"/>
      <c r="D39" s="22"/>
      <c r="E39" s="21"/>
      <c r="F39" s="21"/>
      <c r="G39" s="21"/>
      <c r="H39" s="22"/>
      <c r="I39" s="21"/>
      <c r="J39" s="109"/>
      <c r="K39" s="32"/>
      <c r="L39" s="112"/>
      <c r="M39" s="21"/>
      <c r="N39" s="22"/>
      <c r="O39" s="453">
        <f>IF(I$120=0,0,(SUM(C39:E39,G39,I39:M39)-V39)/(SUM(C$110:E$110,G$110,I$110:M$110)-V$110)*I$120)</f>
        <v>0</v>
      </c>
      <c r="P39" s="452">
        <f>SUM(C39:O39)</f>
        <v>0</v>
      </c>
      <c r="Q39" s="54"/>
      <c r="R39" s="112"/>
      <c r="S39" s="21"/>
      <c r="T39" s="109"/>
      <c r="U39" s="55"/>
      <c r="V39" s="122"/>
      <c r="W39" s="491">
        <f>SUM(R39:V39)</f>
        <v>0</v>
      </c>
      <c r="X39" s="61"/>
      <c r="Y39" s="1155">
        <f>P39-V39-(IF(AND(Motpart!$Y$12="",Motpart!$Z$12=""),0,IF(AND(Motpart!$Y$12=0,Motpart!$Z$12=0),0,((T39/$T$42)*(Motpart!$Y$12+Motpart!$Z$12)))))</f>
        <v>0</v>
      </c>
      <c r="Z39" s="2035"/>
      <c r="AA39" s="2036"/>
      <c r="AB39" s="2036"/>
      <c r="AC39" s="2037"/>
      <c r="AD39" s="1127"/>
      <c r="AE39" s="1125"/>
      <c r="AF39" s="1121">
        <f t="shared" si="8"/>
        <v>0</v>
      </c>
      <c r="AG39" s="1959">
        <f t="shared" si="1"/>
        <v>0</v>
      </c>
      <c r="AH39" s="2275">
        <f>W39-V39-(IF(AND(Motpart!$Y$12="",Motpart!$Z$12=""),0,IF(AND(Motpart!$Y$12=0,Motpart!$Z$12=0),0,((T39/$T$42)*(Motpart!$Y$12+Motpart!$Z$12)))))</f>
        <v>0</v>
      </c>
    </row>
    <row r="40" spans="1:34">
      <c r="A40" s="2610" t="s">
        <v>248</v>
      </c>
      <c r="B40" s="1004" t="s">
        <v>75</v>
      </c>
      <c r="C40" s="21"/>
      <c r="D40" s="22"/>
      <c r="E40" s="24"/>
      <c r="F40" s="24"/>
      <c r="G40" s="24"/>
      <c r="H40" s="25"/>
      <c r="I40" s="24"/>
      <c r="J40" s="110"/>
      <c r="K40" s="32"/>
      <c r="L40" s="113"/>
      <c r="M40" s="24"/>
      <c r="N40" s="22"/>
      <c r="O40" s="453">
        <f>IF(I$120=0,0,(SUM(C40:E40,G40,I40:M40)-V40)/(SUM(C$110:E$110,G$110,I$110:M$110)-V$110)*I$120)</f>
        <v>0</v>
      </c>
      <c r="P40" s="452">
        <f>SUM(C40:O40)</f>
        <v>0</v>
      </c>
      <c r="Q40" s="54"/>
      <c r="R40" s="113"/>
      <c r="S40" s="24"/>
      <c r="T40" s="110"/>
      <c r="U40" s="55"/>
      <c r="V40" s="123"/>
      <c r="W40" s="491">
        <f>SUM(R40:V40)</f>
        <v>0</v>
      </c>
      <c r="X40" s="61"/>
      <c r="Y40" s="1155">
        <f>P40-V40-(IF(AND(Motpart!$Y$12="",Motpart!$Z$12=""),0,IF(AND(Motpart!$Y$12=0,Motpart!$Z$12=0),0,((T40/$T$42)*(Motpart!$Y$12+Motpart!$Z$12)))))</f>
        <v>0</v>
      </c>
      <c r="Z40" s="2035"/>
      <c r="AA40" s="2036"/>
      <c r="AB40" s="2036"/>
      <c r="AC40" s="2037"/>
      <c r="AD40" s="1120"/>
      <c r="AE40" s="1125"/>
      <c r="AF40" s="1121">
        <f t="shared" si="8"/>
        <v>0</v>
      </c>
      <c r="AG40" s="1959">
        <f t="shared" si="1"/>
        <v>0</v>
      </c>
      <c r="AH40" s="2275">
        <f>W40-V40-(IF(AND(Motpart!$Y$12="",Motpart!$Z$12=""),0,IF(AND(Motpart!$Y$12=0,Motpart!$Z$12=0),0,((T40/$T$42)*(Motpart!$Y$12+Motpart!$Z$12)))))</f>
        <v>0</v>
      </c>
    </row>
    <row r="41" spans="1:34">
      <c r="A41" s="2610" t="s">
        <v>249</v>
      </c>
      <c r="B41" s="1004" t="s">
        <v>76</v>
      </c>
      <c r="C41" s="21"/>
      <c r="D41" s="22"/>
      <c r="E41" s="24"/>
      <c r="F41" s="24"/>
      <c r="G41" s="24"/>
      <c r="H41" s="25"/>
      <c r="I41" s="24"/>
      <c r="J41" s="110"/>
      <c r="K41" s="32"/>
      <c r="L41" s="113"/>
      <c r="M41" s="24"/>
      <c r="N41" s="22"/>
      <c r="O41" s="453">
        <f>IF(I$120=0,0,(SUM(C41:E41,G41,I41:M41)-V41)/(SUM(C$110:E$110,G$110,I$110:M$110)-V$110)*I$120)</f>
        <v>0</v>
      </c>
      <c r="P41" s="452">
        <f>SUM(C41:O41)</f>
        <v>0</v>
      </c>
      <c r="Q41" s="54"/>
      <c r="R41" s="113"/>
      <c r="S41" s="24"/>
      <c r="T41" s="110"/>
      <c r="U41" s="55"/>
      <c r="V41" s="123"/>
      <c r="W41" s="491">
        <f>SUM(R41:V41)</f>
        <v>0</v>
      </c>
      <c r="X41" s="61"/>
      <c r="Y41" s="1155">
        <f>P41-V41-(IF(AND(Motpart!$Y$12="",Motpart!$Z$12=""),0,IF(AND(Motpart!$Y$12=0,Motpart!$Z$12=0),0,((T41/$T$42)*(Motpart!$Y$12+Motpart!$Z$12)))))</f>
        <v>0</v>
      </c>
      <c r="Z41" s="2035"/>
      <c r="AA41" s="2036"/>
      <c r="AB41" s="2036"/>
      <c r="AC41" s="2037"/>
      <c r="AD41" s="1127"/>
      <c r="AE41" s="1125"/>
      <c r="AF41" s="1121">
        <f t="shared" si="8"/>
        <v>0</v>
      </c>
      <c r="AG41" s="1959">
        <f t="shared" si="1"/>
        <v>0</v>
      </c>
      <c r="AH41" s="2275">
        <f>W41-V41-(IF(AND(Motpart!$Y$12="",Motpart!$Z$12=""),0,IF(AND(Motpart!$Y$12=0,Motpart!$Z$12=0),0,((T41/$T$42)*(Motpart!$Y$12+Motpart!$Z$12)))))</f>
        <v>0</v>
      </c>
    </row>
    <row r="42" spans="1:34">
      <c r="A42" s="2610" t="s">
        <v>250</v>
      </c>
      <c r="B42" s="1004" t="s">
        <v>77</v>
      </c>
      <c r="C42" s="445">
        <f t="shared" ref="C42:W42" si="11">SUM(C39:C41)</f>
        <v>0</v>
      </c>
      <c r="D42" s="27">
        <f t="shared" si="11"/>
        <v>0</v>
      </c>
      <c r="E42" s="445">
        <f t="shared" si="11"/>
        <v>0</v>
      </c>
      <c r="F42" s="445">
        <f t="shared" si="11"/>
        <v>0</v>
      </c>
      <c r="G42" s="445">
        <f t="shared" si="11"/>
        <v>0</v>
      </c>
      <c r="H42" s="27">
        <f t="shared" si="11"/>
        <v>0</v>
      </c>
      <c r="I42" s="445">
        <f t="shared" si="11"/>
        <v>0</v>
      </c>
      <c r="J42" s="114">
        <f t="shared" si="11"/>
        <v>0</v>
      </c>
      <c r="K42" s="161"/>
      <c r="L42" s="454">
        <f>SUM(L39:L41)</f>
        <v>0</v>
      </c>
      <c r="M42" s="445">
        <f t="shared" si="11"/>
        <v>0</v>
      </c>
      <c r="N42" s="27">
        <f t="shared" si="11"/>
        <v>0</v>
      </c>
      <c r="O42" s="27">
        <f t="shared" si="11"/>
        <v>0</v>
      </c>
      <c r="P42" s="452">
        <f>SUM(C42:O42)</f>
        <v>0</v>
      </c>
      <c r="Q42" s="54"/>
      <c r="R42" s="454">
        <f t="shared" si="11"/>
        <v>0</v>
      </c>
      <c r="S42" s="445">
        <f t="shared" si="11"/>
        <v>0</v>
      </c>
      <c r="T42" s="114">
        <f t="shared" si="11"/>
        <v>0</v>
      </c>
      <c r="U42" s="54"/>
      <c r="V42" s="126">
        <f t="shared" si="11"/>
        <v>0</v>
      </c>
      <c r="W42" s="127">
        <f t="shared" si="11"/>
        <v>0</v>
      </c>
      <c r="X42" s="61"/>
      <c r="Y42" s="1121">
        <f>P42-V42-SUM(Motpart!Y12:Z12)</f>
        <v>0</v>
      </c>
      <c r="Z42" s="1132" t="e">
        <f>(P42-W42)*1000/invanare</f>
        <v>#DIV/0!</v>
      </c>
      <c r="AA42" s="1133" t="e">
        <f>Y42*1000/invanare</f>
        <v>#DIV/0!</v>
      </c>
      <c r="AB42" s="1133"/>
      <c r="AC42" s="1134" t="str">
        <f>IF(ISERROR((AA42-AB42)/AB42)," ",((AA42-AB42)/AB42))</f>
        <v xml:space="preserve"> </v>
      </c>
      <c r="AD42" s="1124" t="e">
        <f>IF(AA42="","Belopp saknas",IF(OR(AC42&gt;35%,AC42&lt;-15%),"Kommentera förändringen",IF(OR(AC42&gt;25%),"Kontrollera förändringen","")))</f>
        <v>#DIV/0!</v>
      </c>
      <c r="AE42" s="1125"/>
      <c r="AF42" s="1121">
        <f t="shared" si="8"/>
        <v>0</v>
      </c>
      <c r="AG42" s="1959">
        <f t="shared" si="1"/>
        <v>0</v>
      </c>
      <c r="AH42" s="2275">
        <f>W42-V42-SUM(Motpart!Y12:Z12)</f>
        <v>0</v>
      </c>
    </row>
    <row r="43" spans="1:34" ht="12.75" customHeight="1" thickBot="1">
      <c r="A43" s="2621" t="s">
        <v>251</v>
      </c>
      <c r="B43" s="1009" t="s">
        <v>78</v>
      </c>
      <c r="C43" s="459">
        <f>SUM(C37,C42)</f>
        <v>0</v>
      </c>
      <c r="D43" s="460">
        <f t="shared" ref="D43:P43" si="12">SUM(D37,D42)</f>
        <v>0</v>
      </c>
      <c r="E43" s="459">
        <f t="shared" si="12"/>
        <v>0</v>
      </c>
      <c r="F43" s="459">
        <f t="shared" si="12"/>
        <v>0</v>
      </c>
      <c r="G43" s="459">
        <f t="shared" si="12"/>
        <v>0</v>
      </c>
      <c r="H43" s="460">
        <f t="shared" si="12"/>
        <v>0</v>
      </c>
      <c r="I43" s="459">
        <f t="shared" si="12"/>
        <v>0</v>
      </c>
      <c r="J43" s="461">
        <f t="shared" si="12"/>
        <v>0</v>
      </c>
      <c r="K43" s="161"/>
      <c r="L43" s="462">
        <f>SUM(L37,L42)</f>
        <v>0</v>
      </c>
      <c r="M43" s="459">
        <f t="shared" si="12"/>
        <v>0</v>
      </c>
      <c r="N43" s="460">
        <f t="shared" si="12"/>
        <v>0</v>
      </c>
      <c r="O43" s="460">
        <f t="shared" si="12"/>
        <v>0</v>
      </c>
      <c r="P43" s="461">
        <f t="shared" si="12"/>
        <v>0</v>
      </c>
      <c r="Q43" s="54"/>
      <c r="R43" s="462">
        <f>SUM(R37,R42)</f>
        <v>0</v>
      </c>
      <c r="S43" s="459">
        <f>SUM(S37,S42)</f>
        <v>0</v>
      </c>
      <c r="T43" s="461">
        <f>SUM(T37,T42)</f>
        <v>0</v>
      </c>
      <c r="U43" s="54"/>
      <c r="V43" s="493">
        <f>SUM(V37,V42)</f>
        <v>0</v>
      </c>
      <c r="W43" s="492">
        <f>SUM(W37,W42)</f>
        <v>0</v>
      </c>
      <c r="X43" s="61"/>
      <c r="Y43" s="1164">
        <f>Y37+Y42</f>
        <v>0</v>
      </c>
      <c r="Z43" s="1135"/>
      <c r="AA43" s="1136"/>
      <c r="AB43" s="1137"/>
      <c r="AC43" s="1138"/>
      <c r="AD43" s="1313"/>
      <c r="AE43" s="1965"/>
      <c r="AF43" s="1164">
        <f t="shared" si="8"/>
        <v>0</v>
      </c>
      <c r="AG43" s="1962">
        <f t="shared" si="1"/>
        <v>0</v>
      </c>
      <c r="AH43" s="2277">
        <f>AH37+AH42</f>
        <v>0</v>
      </c>
    </row>
    <row r="44" spans="1:34" ht="48" customHeight="1" thickBot="1">
      <c r="A44" s="2625"/>
      <c r="B44" s="1010" t="s">
        <v>79</v>
      </c>
      <c r="C44" s="1140"/>
      <c r="D44" s="1141"/>
      <c r="E44" s="1142"/>
      <c r="F44" s="1142"/>
      <c r="G44" s="1142"/>
      <c r="H44" s="1141"/>
      <c r="I44" s="1142"/>
      <c r="J44" s="1143"/>
      <c r="K44" s="33"/>
      <c r="L44" s="595"/>
      <c r="M44" s="596"/>
      <c r="N44" s="589"/>
      <c r="O44" s="589"/>
      <c r="P44" s="591"/>
      <c r="Q44" s="228"/>
      <c r="R44" s="595"/>
      <c r="S44" s="590"/>
      <c r="T44" s="591"/>
      <c r="U44" s="228"/>
      <c r="V44" s="599"/>
      <c r="W44" s="600"/>
      <c r="X44" s="33"/>
      <c r="Y44" s="2033" t="s">
        <v>1340</v>
      </c>
      <c r="Z44" s="2967"/>
      <c r="AA44" s="2965"/>
      <c r="AB44" s="2965"/>
      <c r="AC44" s="2966"/>
      <c r="AD44" s="1115"/>
      <c r="AE44" s="1125"/>
      <c r="AF44" s="1971"/>
      <c r="AG44" s="1961"/>
      <c r="AH44" s="2278"/>
    </row>
    <row r="45" spans="1:34" ht="39.75" customHeight="1">
      <c r="A45" s="2626" t="s">
        <v>434</v>
      </c>
      <c r="B45" s="1011" t="s">
        <v>635</v>
      </c>
      <c r="C45" s="1144"/>
      <c r="D45" s="1145"/>
      <c r="E45" s="1146"/>
      <c r="F45" s="1146"/>
      <c r="G45" s="1146"/>
      <c r="H45" s="1145"/>
      <c r="I45" s="1146"/>
      <c r="J45" s="1147"/>
      <c r="K45" s="33"/>
      <c r="L45" s="597"/>
      <c r="M45" s="598"/>
      <c r="N45" s="592"/>
      <c r="O45" s="592"/>
      <c r="P45" s="594"/>
      <c r="Q45" s="228"/>
      <c r="R45" s="597"/>
      <c r="S45" s="593"/>
      <c r="T45" s="594"/>
      <c r="U45" s="228"/>
      <c r="V45" s="601"/>
      <c r="W45" s="602"/>
      <c r="X45" s="33"/>
      <c r="Y45" s="2049"/>
      <c r="Z45" s="2968" t="s">
        <v>1343</v>
      </c>
      <c r="AA45" s="2969"/>
      <c r="AB45" s="2060"/>
      <c r="AC45" s="2061"/>
      <c r="AD45" s="1115"/>
      <c r="AE45" s="1125"/>
      <c r="AF45" s="1155"/>
      <c r="AG45" s="1960"/>
      <c r="AH45" s="2279"/>
    </row>
    <row r="46" spans="1:34">
      <c r="A46" s="2610" t="s">
        <v>252</v>
      </c>
      <c r="B46" s="1006" t="s">
        <v>80</v>
      </c>
      <c r="C46" s="21"/>
      <c r="D46" s="22"/>
      <c r="E46" s="21"/>
      <c r="F46" s="21"/>
      <c r="G46" s="21"/>
      <c r="H46" s="22"/>
      <c r="I46" s="21"/>
      <c r="J46" s="109"/>
      <c r="K46" s="32"/>
      <c r="L46" s="112"/>
      <c r="M46" s="21"/>
      <c r="N46" s="22"/>
      <c r="O46" s="453">
        <f>IF(I$120=0,0,(SUM(C46:E46,G46,I46:M46)-V46)/(SUM(C$110:E$110,G$110,I$110:M$110)-V$110)*I$120)</f>
        <v>0</v>
      </c>
      <c r="P46" s="452">
        <f>SUM(C46:O46)</f>
        <v>0</v>
      </c>
      <c r="Q46" s="54"/>
      <c r="R46" s="112"/>
      <c r="S46" s="21"/>
      <c r="T46" s="109"/>
      <c r="U46" s="55"/>
      <c r="V46" s="122"/>
      <c r="W46" s="491">
        <f t="shared" ref="W46:W51" si="13">SUM(R46:V46)</f>
        <v>0</v>
      </c>
      <c r="X46" s="61"/>
      <c r="Y46" s="1121">
        <f>P46-V46-(IF(AND(Motpart!$Y$16="",Motpart!$Z$16=""),0,IF(AND(Motpart!$Y$16=0,Motpart!$Z$16=0),0,((T46/($T$46+$T$49))*(Motpart!$Y$16+Motpart!$Z$16)))))</f>
        <v>0</v>
      </c>
      <c r="Z46" s="2007"/>
      <c r="AA46" s="2026"/>
      <c r="AB46" s="2027"/>
      <c r="AC46" s="2028"/>
      <c r="AD46" s="1115"/>
      <c r="AE46" s="1125"/>
      <c r="AF46" s="1121">
        <f t="shared" si="8"/>
        <v>0</v>
      </c>
      <c r="AG46" s="1959">
        <f t="shared" si="1"/>
        <v>0</v>
      </c>
      <c r="AH46" s="2275">
        <f>W46-V46-(IF(AND(Motpart!$Y$16="",Motpart!$Z$16=""),0,IF(AND(Motpart!$Y$16=0,Motpart!$Z$16=0),0,((T46/($T$46+$T$49))*(Motpart!$Y$16+Motpart!$Z$16)))))</f>
        <v>0</v>
      </c>
    </row>
    <row r="47" spans="1:34">
      <c r="A47" s="2610" t="s">
        <v>253</v>
      </c>
      <c r="B47" s="1004" t="s">
        <v>81</v>
      </c>
      <c r="C47" s="21"/>
      <c r="D47" s="22"/>
      <c r="E47" s="24"/>
      <c r="F47" s="24"/>
      <c r="G47" s="24"/>
      <c r="H47" s="25"/>
      <c r="I47" s="24"/>
      <c r="J47" s="110"/>
      <c r="K47" s="32"/>
      <c r="L47" s="113"/>
      <c r="M47" s="24"/>
      <c r="N47" s="22"/>
      <c r="O47" s="453">
        <f>IF(I$120=0,0,(SUM(C47:E47,G47,I47:M47)-V47)/(SUM(C$110:E$110,G$110,I$110:M$110)-V$110)*I$120)</f>
        <v>0</v>
      </c>
      <c r="P47" s="452">
        <f>SUM(C47:O47)</f>
        <v>0</v>
      </c>
      <c r="Q47" s="54"/>
      <c r="R47" s="2333"/>
      <c r="S47" s="2334"/>
      <c r="T47" s="247"/>
      <c r="U47" s="55"/>
      <c r="V47" s="123"/>
      <c r="W47" s="491">
        <f t="shared" si="13"/>
        <v>0</v>
      </c>
      <c r="X47" s="61"/>
      <c r="Y47" s="1121">
        <f>P47-V47-SUM(Motpart!Y13:Z13)</f>
        <v>0</v>
      </c>
      <c r="Z47" s="2030"/>
      <c r="AA47" s="2012"/>
      <c r="AB47" s="2012"/>
      <c r="AC47" s="2013"/>
      <c r="AD47" s="1127" t="str">
        <f>IF(H47&gt;F47,"Annan utförare:Köp av verks.i RS!","")</f>
        <v/>
      </c>
      <c r="AE47" s="1125"/>
      <c r="AF47" s="1121">
        <f t="shared" si="8"/>
        <v>0</v>
      </c>
      <c r="AG47" s="1959">
        <f t="shared" si="1"/>
        <v>0</v>
      </c>
      <c r="AH47" s="2275">
        <f>W47-V47-SUM(Motpart!Y13:Z13)</f>
        <v>0</v>
      </c>
    </row>
    <row r="48" spans="1:34">
      <c r="A48" s="2610" t="s">
        <v>254</v>
      </c>
      <c r="B48" s="1004" t="s">
        <v>82</v>
      </c>
      <c r="C48" s="24"/>
      <c r="D48" s="22"/>
      <c r="E48" s="24"/>
      <c r="F48" s="24"/>
      <c r="G48" s="24"/>
      <c r="H48" s="25"/>
      <c r="I48" s="28"/>
      <c r="J48" s="110"/>
      <c r="K48" s="32"/>
      <c r="L48" s="113"/>
      <c r="M48" s="24"/>
      <c r="N48" s="22"/>
      <c r="O48" s="453">
        <f>IF(I$120=0,0,(SUM(C48:E48,G48,I48:M48)-V48)/(SUM(C$110:E$110,G$110,I$110:M$110)-V$110)*I$120)</f>
        <v>0</v>
      </c>
      <c r="P48" s="452">
        <f>SUM(C48:O48)</f>
        <v>0</v>
      </c>
      <c r="Q48" s="54"/>
      <c r="R48" s="2333"/>
      <c r="S48" s="2334"/>
      <c r="T48" s="247"/>
      <c r="U48" s="55"/>
      <c r="V48" s="123"/>
      <c r="W48" s="491">
        <f t="shared" si="13"/>
        <v>0</v>
      </c>
      <c r="X48" s="61"/>
      <c r="Y48" s="1155">
        <f>P48-V48-SUM(Motpart!Y14:Z14)</f>
        <v>0</v>
      </c>
      <c r="Z48" s="2011"/>
      <c r="AA48" s="2012"/>
      <c r="AB48" s="2012"/>
      <c r="AC48" s="2013"/>
      <c r="AD48" s="1127" t="str">
        <f>IF(AND(C48&gt;5000,R48&lt;50),"Kommentera Taxor o avgifter","")</f>
        <v/>
      </c>
      <c r="AE48" s="1148" t="e">
        <f>(SUM(I51:L51))*1000/invanare</f>
        <v>#DIV/0!</v>
      </c>
      <c r="AF48" s="1121">
        <f t="shared" si="8"/>
        <v>0</v>
      </c>
      <c r="AG48" s="1959">
        <f t="shared" si="1"/>
        <v>0</v>
      </c>
      <c r="AH48" s="2275">
        <f>W48-V48-SUM(Motpart!Y14:Z14)</f>
        <v>0</v>
      </c>
    </row>
    <row r="49" spans="1:34">
      <c r="A49" s="2610" t="s">
        <v>255</v>
      </c>
      <c r="B49" s="1006" t="s">
        <v>83</v>
      </c>
      <c r="C49" s="21"/>
      <c r="D49" s="22"/>
      <c r="E49" s="21"/>
      <c r="F49" s="21"/>
      <c r="G49" s="21"/>
      <c r="H49" s="22"/>
      <c r="I49" s="21"/>
      <c r="J49" s="109"/>
      <c r="K49" s="32"/>
      <c r="L49" s="112"/>
      <c r="M49" s="21"/>
      <c r="N49" s="22"/>
      <c r="O49" s="453">
        <f>IF(I$120=0,0,(SUM(C49:E49,G49,I49:M49)-V49)/(SUM(C$110:E$110,G$110,I$110:M$110)-V$110)*I$120)</f>
        <v>0</v>
      </c>
      <c r="P49" s="452">
        <f>SUM(C49:O49)</f>
        <v>0</v>
      </c>
      <c r="Q49" s="54"/>
      <c r="R49" s="2335"/>
      <c r="S49" s="2336"/>
      <c r="T49" s="250"/>
      <c r="U49" s="55"/>
      <c r="V49" s="122"/>
      <c r="W49" s="491">
        <f t="shared" si="13"/>
        <v>0</v>
      </c>
      <c r="X49" s="61"/>
      <c r="Y49" s="1155">
        <f>P49-V49-(IF(AND(Motpart!$Y$16="",Motpart!$Z$16=""),0,IF(AND(Motpart!$Y$16=0,Motpart!$Z$16=0),0,((T49/($T$49+$T$46))*(Motpart!$Y$16+Motpart!$Z$16)))))</f>
        <v>0</v>
      </c>
      <c r="Z49" s="2011"/>
      <c r="AA49" s="2012"/>
      <c r="AB49" s="2012"/>
      <c r="AC49" s="2013"/>
      <c r="AD49" s="1127"/>
      <c r="AE49" s="1148" t="e">
        <f>(R51)*1000/invanare</f>
        <v>#DIV/0!</v>
      </c>
      <c r="AF49" s="1121">
        <f t="shared" si="8"/>
        <v>0</v>
      </c>
      <c r="AG49" s="1959">
        <f t="shared" si="1"/>
        <v>0</v>
      </c>
      <c r="AH49" s="2275">
        <f>W49-V49-(IF(AND(Motpart!$Y$16="",Motpart!$Z$16=""),0,IF(AND(Motpart!$Y$16=0,Motpart!$Z$16=0),0,((T49/($T$49+$T$46))*(Motpart!$Y$16+Motpart!$Z$16)))))</f>
        <v>0</v>
      </c>
    </row>
    <row r="50" spans="1:34">
      <c r="A50" s="2610" t="s">
        <v>256</v>
      </c>
      <c r="B50" s="1004" t="s">
        <v>84</v>
      </c>
      <c r="C50" s="21"/>
      <c r="D50" s="22"/>
      <c r="E50" s="24"/>
      <c r="F50" s="24"/>
      <c r="G50" s="24"/>
      <c r="H50" s="25"/>
      <c r="I50" s="28"/>
      <c r="J50" s="110"/>
      <c r="K50" s="32"/>
      <c r="L50" s="113"/>
      <c r="M50" s="24"/>
      <c r="N50" s="22"/>
      <c r="O50" s="453">
        <f>IF(I$120=0,0,(SUM(C50:E50,G50,I50:M50)-V50)/(SUM(C$110:E$110,G$110,I$110:M$110)-V$110)*I$120)</f>
        <v>0</v>
      </c>
      <c r="P50" s="452">
        <f>SUM(C50:O50)</f>
        <v>0</v>
      </c>
      <c r="Q50" s="54"/>
      <c r="R50" s="2333"/>
      <c r="S50" s="2334"/>
      <c r="T50" s="247"/>
      <c r="U50" s="55"/>
      <c r="V50" s="123"/>
      <c r="W50" s="491">
        <f t="shared" si="13"/>
        <v>0</v>
      </c>
      <c r="X50" s="61"/>
      <c r="Y50" s="1155">
        <f>P50-V50-SUM(Motpart!Y15:Z15)</f>
        <v>0</v>
      </c>
      <c r="Z50" s="2011"/>
      <c r="AA50" s="2012"/>
      <c r="AB50" s="2012"/>
      <c r="AC50" s="2013"/>
      <c r="AD50" s="1558"/>
      <c r="AE50" s="1125"/>
      <c r="AF50" s="1121">
        <f t="shared" si="8"/>
        <v>0</v>
      </c>
      <c r="AG50" s="1959">
        <f t="shared" si="1"/>
        <v>0</v>
      </c>
      <c r="AH50" s="2275">
        <f>W50-V50-SUM(Motpart!Y15:Z15)</f>
        <v>0</v>
      </c>
    </row>
    <row r="51" spans="1:34" ht="13.5" thickBot="1">
      <c r="A51" s="2610" t="s">
        <v>257</v>
      </c>
      <c r="B51" s="1012" t="s">
        <v>1812</v>
      </c>
      <c r="C51" s="445">
        <f t="shared" ref="C51:M51" si="14">SUM(C46:C50)</f>
        <v>0</v>
      </c>
      <c r="D51" s="27">
        <f t="shared" si="14"/>
        <v>0</v>
      </c>
      <c r="E51" s="445">
        <f t="shared" si="14"/>
        <v>0</v>
      </c>
      <c r="F51" s="445">
        <f t="shared" si="14"/>
        <v>0</v>
      </c>
      <c r="G51" s="445">
        <f t="shared" si="14"/>
        <v>0</v>
      </c>
      <c r="H51" s="27">
        <f t="shared" si="14"/>
        <v>0</v>
      </c>
      <c r="I51" s="445">
        <f t="shared" si="14"/>
        <v>0</v>
      </c>
      <c r="J51" s="114">
        <f t="shared" si="14"/>
        <v>0</v>
      </c>
      <c r="K51" s="161"/>
      <c r="L51" s="454">
        <f>SUM(L46:L50)</f>
        <v>0</v>
      </c>
      <c r="M51" s="445">
        <f t="shared" si="14"/>
        <v>0</v>
      </c>
      <c r="N51" s="27">
        <f t="shared" ref="N51:V51" si="15">SUM(N46:N50)</f>
        <v>0</v>
      </c>
      <c r="O51" s="27">
        <f t="shared" si="15"/>
        <v>0</v>
      </c>
      <c r="P51" s="114">
        <f t="shared" si="15"/>
        <v>0</v>
      </c>
      <c r="Q51" s="54"/>
      <c r="R51" s="454">
        <f t="shared" si="15"/>
        <v>0</v>
      </c>
      <c r="S51" s="445">
        <f t="shared" si="15"/>
        <v>0</v>
      </c>
      <c r="T51" s="114">
        <f>SUM(T46:T50)</f>
        <v>0</v>
      </c>
      <c r="U51" s="54"/>
      <c r="V51" s="126">
        <f t="shared" si="15"/>
        <v>0</v>
      </c>
      <c r="W51" s="491">
        <f t="shared" si="13"/>
        <v>0</v>
      </c>
      <c r="X51" s="61"/>
      <c r="Y51" s="1121">
        <f>P51-V51-SUM(Motpart!Y13:Z16)</f>
        <v>0</v>
      </c>
      <c r="Z51" s="2053" t="e">
        <f>(P51-W51)*1000/invanare</f>
        <v>#DIV/0!</v>
      </c>
      <c r="AA51" s="2054" t="e">
        <f>Y51*1000/invanare</f>
        <v>#DIV/0!</v>
      </c>
      <c r="AB51" s="2054"/>
      <c r="AC51" s="2055" t="str">
        <f>IF(ISERROR((AA51-AB51)/AB51)," ",((AA51-AB51)/AB51))</f>
        <v xml:space="preserve"> </v>
      </c>
      <c r="AD51" s="1124" t="e">
        <f>IF(AA51="","Belopp saknas",IF(T51-SUM(Motpart!Y13:Z16,Motpart!AB13:AC16)&lt;SUM(AB45:AC45),"Är alla riktade statsbidrag för förskola med i kol T?",IF(OR(AC51&gt;20%,AC51&lt;-5%),"Kommentera förändringen","")))</f>
        <v>#DIV/0!</v>
      </c>
      <c r="AE51" s="1129" t="str">
        <f>IF(ISERROR(F51/(AA51/1000*invanare)),"",(F51/(AA51/100000*invanare)))</f>
        <v/>
      </c>
      <c r="AF51" s="1121">
        <f t="shared" si="8"/>
        <v>0</v>
      </c>
      <c r="AG51" s="1959">
        <f t="shared" si="1"/>
        <v>0</v>
      </c>
      <c r="AH51" s="2275">
        <f>W51-V51-SUM(Motpart!Y13:Z16)</f>
        <v>0</v>
      </c>
    </row>
    <row r="52" spans="1:34" ht="44.25" customHeight="1" thickBot="1">
      <c r="A52" s="2627"/>
      <c r="B52" s="1010" t="s">
        <v>85</v>
      </c>
      <c r="C52" s="588"/>
      <c r="D52" s="587"/>
      <c r="E52" s="585"/>
      <c r="F52" s="585"/>
      <c r="G52" s="585"/>
      <c r="H52" s="587"/>
      <c r="I52" s="585"/>
      <c r="J52" s="586"/>
      <c r="K52" s="32"/>
      <c r="L52" s="584"/>
      <c r="M52" s="585"/>
      <c r="N52" s="587"/>
      <c r="O52" s="603"/>
      <c r="P52" s="586"/>
      <c r="Q52" s="55"/>
      <c r="R52" s="584"/>
      <c r="S52" s="585"/>
      <c r="T52" s="586"/>
      <c r="U52" s="55"/>
      <c r="V52" s="582"/>
      <c r="W52" s="583"/>
      <c r="X52" s="32"/>
      <c r="Y52" s="2033" t="s">
        <v>710</v>
      </c>
      <c r="Z52" s="2967"/>
      <c r="AA52" s="2965"/>
      <c r="AB52" s="2965"/>
      <c r="AC52" s="2966"/>
      <c r="AD52" s="1149"/>
      <c r="AE52" s="1125" t="str">
        <f>IF(ISERROR(F51/(AA51/1000*invanare)),"",(SUM(Motpart!D13:D16,Motpart!F13:F16)/(AA51/100000*invanare)))</f>
        <v/>
      </c>
      <c r="AF52" s="1855"/>
      <c r="AG52" s="1963"/>
      <c r="AH52" s="2280"/>
    </row>
    <row r="53" spans="1:34">
      <c r="A53" s="2610" t="s">
        <v>441</v>
      </c>
      <c r="B53" s="996" t="s">
        <v>532</v>
      </c>
      <c r="C53" s="21"/>
      <c r="D53" s="22"/>
      <c r="E53" s="21"/>
      <c r="F53" s="21"/>
      <c r="G53" s="21"/>
      <c r="H53" s="22"/>
      <c r="I53" s="21"/>
      <c r="J53" s="109"/>
      <c r="K53" s="32"/>
      <c r="L53" s="112"/>
      <c r="M53" s="21"/>
      <c r="N53" s="22"/>
      <c r="O53" s="453">
        <f>IF(I$120=0,0,(SUM(C53:E53,G53,I53:M53)-V53)/(SUM(C$110:E$110,G$110,I$110:M$110)-V$110)*I$120)</f>
        <v>0</v>
      </c>
      <c r="P53" s="452">
        <f>SUM(C53:O53)</f>
        <v>0</v>
      </c>
      <c r="Q53" s="54"/>
      <c r="R53" s="112"/>
      <c r="S53" s="21"/>
      <c r="T53" s="109"/>
      <c r="U53" s="55"/>
      <c r="V53" s="122"/>
      <c r="W53" s="491">
        <f>SUM(R53:V53)</f>
        <v>0</v>
      </c>
      <c r="X53" s="61"/>
      <c r="Y53" s="1856">
        <f>P53-V53-SUM(Motpart!Y17:Z17)</f>
        <v>0</v>
      </c>
      <c r="Z53" s="2354"/>
      <c r="AA53" s="2355"/>
      <c r="AB53" s="2356"/>
      <c r="AC53" s="2357"/>
      <c r="AD53" s="1126" t="str">
        <f>IF(R53&gt;100,"Varför avgifter?","")</f>
        <v/>
      </c>
      <c r="AE53" s="1125"/>
      <c r="AF53" s="1155">
        <f t="shared" si="8"/>
        <v>0</v>
      </c>
      <c r="AG53" s="1960">
        <f t="shared" si="1"/>
        <v>0</v>
      </c>
      <c r="AH53" s="2279">
        <f>W53-V53-SUM(Motpart!Y17:Z17)</f>
        <v>0</v>
      </c>
    </row>
    <row r="54" spans="1:34">
      <c r="A54" s="2610" t="s">
        <v>531</v>
      </c>
      <c r="B54" s="994" t="s">
        <v>423</v>
      </c>
      <c r="C54" s="21"/>
      <c r="D54" s="22"/>
      <c r="E54" s="24"/>
      <c r="F54" s="24"/>
      <c r="G54" s="24"/>
      <c r="H54" s="25"/>
      <c r="I54" s="24"/>
      <c r="J54" s="110"/>
      <c r="K54" s="32"/>
      <c r="L54" s="113"/>
      <c r="M54" s="24"/>
      <c r="N54" s="22"/>
      <c r="O54" s="453">
        <f>IF(I$120=0,0,(SUM(C54:E54,G54,I54:M54)-V54)/(SUM(C$110:E$110,G$110,I$110:M$110)-V$110)*I$120)</f>
        <v>0</v>
      </c>
      <c r="P54" s="452">
        <f>SUM(C54:O54)</f>
        <v>0</v>
      </c>
      <c r="Q54" s="54"/>
      <c r="R54" s="113"/>
      <c r="S54" s="24"/>
      <c r="T54" s="110"/>
      <c r="U54" s="55"/>
      <c r="V54" s="123"/>
      <c r="W54" s="491">
        <f>SUM(R54:V54)</f>
        <v>0</v>
      </c>
      <c r="X54" s="61"/>
      <c r="Y54" s="1856">
        <f>P54-V54-SUM(Motpart!Y18:Z18)</f>
        <v>0</v>
      </c>
      <c r="Z54" s="2050"/>
      <c r="AA54" s="2051"/>
      <c r="AB54" s="2358"/>
      <c r="AC54" s="2010"/>
      <c r="AD54" s="1115"/>
      <c r="AE54" s="1125"/>
      <c r="AF54" s="1121">
        <f t="shared" si="8"/>
        <v>0</v>
      </c>
      <c r="AG54" s="1959">
        <f t="shared" si="1"/>
        <v>0</v>
      </c>
      <c r="AH54" s="2279">
        <f>W54-V54-SUM(Motpart!Y18:Z18)</f>
        <v>0</v>
      </c>
    </row>
    <row r="55" spans="1:34">
      <c r="A55" s="2610" t="s">
        <v>258</v>
      </c>
      <c r="B55" s="2807" t="s">
        <v>1820</v>
      </c>
      <c r="C55" s="21"/>
      <c r="D55" s="22"/>
      <c r="E55" s="24"/>
      <c r="F55" s="24"/>
      <c r="G55" s="24"/>
      <c r="H55" s="25"/>
      <c r="I55" s="24"/>
      <c r="J55" s="110"/>
      <c r="K55" s="32"/>
      <c r="L55" s="113"/>
      <c r="M55" s="24"/>
      <c r="N55" s="22"/>
      <c r="O55" s="453">
        <f>IF(I$120=0,0,(SUM(C55:E55,G55,I55:M55)-V55)/(SUM(C$110:E$110,G$110,I$110:M$110)-V$110)*I$120)</f>
        <v>0</v>
      </c>
      <c r="P55" s="452">
        <f>SUM(C55:O55)</f>
        <v>0</v>
      </c>
      <c r="Q55" s="54"/>
      <c r="R55" s="113"/>
      <c r="S55" s="24"/>
      <c r="T55" s="110"/>
      <c r="U55" s="55"/>
      <c r="V55" s="123"/>
      <c r="W55" s="491">
        <f>SUM(R55:V55)</f>
        <v>0</v>
      </c>
      <c r="X55" s="61"/>
      <c r="Y55" s="1856">
        <f>P55-V55-SUM(Motpart!Y19:Z19)</f>
        <v>0</v>
      </c>
      <c r="Z55" s="2050"/>
      <c r="AA55" s="2051"/>
      <c r="AB55" s="2358"/>
      <c r="AC55" s="2010"/>
      <c r="AD55" s="1115"/>
      <c r="AE55" s="1125"/>
      <c r="AF55" s="1121">
        <f t="shared" si="8"/>
        <v>0</v>
      </c>
      <c r="AG55" s="1959">
        <f t="shared" si="1"/>
        <v>0</v>
      </c>
      <c r="AH55" s="2279">
        <f>W55-V55-SUM(Motpart!Y19:Z19)</f>
        <v>0</v>
      </c>
    </row>
    <row r="56" spans="1:34">
      <c r="A56" s="2610" t="s">
        <v>259</v>
      </c>
      <c r="B56" s="1004" t="s">
        <v>86</v>
      </c>
      <c r="C56" s="21"/>
      <c r="D56" s="22"/>
      <c r="E56" s="24"/>
      <c r="F56" s="24"/>
      <c r="G56" s="24"/>
      <c r="H56" s="25"/>
      <c r="I56" s="24"/>
      <c r="J56" s="110"/>
      <c r="K56" s="32"/>
      <c r="L56" s="113"/>
      <c r="M56" s="24"/>
      <c r="N56" s="22"/>
      <c r="O56" s="453">
        <f>IF(I$120=0,0,(SUM(C56:E56,G56,I56:M56)-V56)/(SUM(C$110:E$110,G$110,I$110:M$110)-V$110)*I$120)</f>
        <v>0</v>
      </c>
      <c r="P56" s="452">
        <f>SUM(C56:O56)</f>
        <v>0</v>
      </c>
      <c r="Q56" s="54"/>
      <c r="R56" s="113"/>
      <c r="S56" s="24"/>
      <c r="T56" s="110"/>
      <c r="U56" s="55"/>
      <c r="V56" s="123"/>
      <c r="W56" s="491">
        <f>SUM(R56:V56)</f>
        <v>0</v>
      </c>
      <c r="X56" s="61"/>
      <c r="Y56" s="1856">
        <f>P56-V56-SUM(Motpart!Y20:Z20)</f>
        <v>0</v>
      </c>
      <c r="Z56" s="1610"/>
      <c r="AA56" s="2052"/>
      <c r="AB56" s="897"/>
      <c r="AC56" s="2010"/>
      <c r="AD56" s="1115"/>
      <c r="AE56" s="1125"/>
      <c r="AF56" s="1121">
        <f t="shared" si="8"/>
        <v>0</v>
      </c>
      <c r="AG56" s="1959">
        <f t="shared" si="1"/>
        <v>0</v>
      </c>
      <c r="AH56" s="2279">
        <f>W56-V56-SUM(Motpart!Y20:Z20)</f>
        <v>0</v>
      </c>
    </row>
    <row r="57" spans="1:34">
      <c r="A57" s="2610" t="s">
        <v>260</v>
      </c>
      <c r="B57" s="2810" t="s">
        <v>1821</v>
      </c>
      <c r="C57" s="21"/>
      <c r="D57" s="22"/>
      <c r="E57" s="24"/>
      <c r="F57" s="24"/>
      <c r="G57" s="24"/>
      <c r="H57" s="25"/>
      <c r="I57" s="24"/>
      <c r="J57" s="110"/>
      <c r="K57" s="32"/>
      <c r="L57" s="113"/>
      <c r="M57" s="24"/>
      <c r="N57" s="22"/>
      <c r="O57" s="453">
        <f>IF(I$120=0,0,(SUM(C57:E57,G57,I57:M57)-V57)/(SUM(C$110:E$110,G$110,I$110:M$110)-V$110)*I$120)</f>
        <v>0</v>
      </c>
      <c r="P57" s="452">
        <f>SUM(C57:O57)</f>
        <v>0</v>
      </c>
      <c r="Q57" s="54"/>
      <c r="R57" s="113"/>
      <c r="S57" s="24"/>
      <c r="T57" s="110"/>
      <c r="U57" s="55"/>
      <c r="V57" s="123"/>
      <c r="W57" s="491">
        <f>SUM(R57:V57)</f>
        <v>0</v>
      </c>
      <c r="X57" s="61"/>
      <c r="Y57" s="1155">
        <f>P57-V57-SUM(Motpart!Y21:Z21)</f>
        <v>0</v>
      </c>
      <c r="Z57" s="1610"/>
      <c r="AA57" s="2008"/>
      <c r="AB57" s="897"/>
      <c r="AC57" s="2010"/>
      <c r="AD57" s="1115"/>
      <c r="AE57" s="1125"/>
      <c r="AF57" s="1121">
        <f t="shared" si="8"/>
        <v>0</v>
      </c>
      <c r="AG57" s="1959">
        <f t="shared" si="1"/>
        <v>0</v>
      </c>
      <c r="AH57" s="2279">
        <f>W57-V57-SUM(Motpart!Y21:Z21)</f>
        <v>0</v>
      </c>
    </row>
    <row r="58" spans="1:34">
      <c r="A58" s="2610" t="s">
        <v>261</v>
      </c>
      <c r="B58" s="1004" t="s">
        <v>87</v>
      </c>
      <c r="C58" s="445">
        <f t="shared" ref="C58:J58" si="16">SUM(C53:C57)</f>
        <v>0</v>
      </c>
      <c r="D58" s="27">
        <f t="shared" si="16"/>
        <v>0</v>
      </c>
      <c r="E58" s="445">
        <f t="shared" si="16"/>
        <v>0</v>
      </c>
      <c r="F58" s="445">
        <f t="shared" si="16"/>
        <v>0</v>
      </c>
      <c r="G58" s="445">
        <f t="shared" si="16"/>
        <v>0</v>
      </c>
      <c r="H58" s="27">
        <f t="shared" si="16"/>
        <v>0</v>
      </c>
      <c r="I58" s="445">
        <f t="shared" si="16"/>
        <v>0</v>
      </c>
      <c r="J58" s="114">
        <f t="shared" si="16"/>
        <v>0</v>
      </c>
      <c r="K58" s="161"/>
      <c r="L58" s="454">
        <f>SUM(L53:L57)</f>
        <v>0</v>
      </c>
      <c r="M58" s="445">
        <f>SUM(M53:M57)</f>
        <v>0</v>
      </c>
      <c r="N58" s="27">
        <f>SUM(N53:N57)</f>
        <v>0</v>
      </c>
      <c r="O58" s="27">
        <f>SUM(O53:O57)</f>
        <v>0</v>
      </c>
      <c r="P58" s="114">
        <f>SUM(P53:P57)</f>
        <v>0</v>
      </c>
      <c r="Q58" s="54"/>
      <c r="R58" s="454">
        <f>SUM(R53:R57)</f>
        <v>0</v>
      </c>
      <c r="S58" s="445">
        <f>SUM(S53:S57)</f>
        <v>0</v>
      </c>
      <c r="T58" s="114">
        <f>SUM(T53:T57)</f>
        <v>0</v>
      </c>
      <c r="U58" s="54"/>
      <c r="V58" s="126">
        <f>SUM(V53:V57)</f>
        <v>0</v>
      </c>
      <c r="W58" s="127">
        <f>SUM(W53:W57)</f>
        <v>0</v>
      </c>
      <c r="X58" s="61"/>
      <c r="Y58" s="2056">
        <f>P58-V58-SUM(Motpart!Y17:Z21)</f>
        <v>0</v>
      </c>
      <c r="Z58" s="2029"/>
      <c r="AA58" s="2008"/>
      <c r="AB58" s="2009"/>
      <c r="AC58" s="2010"/>
      <c r="AD58" s="1115"/>
      <c r="AE58" s="1125"/>
      <c r="AF58" s="1121">
        <f t="shared" si="8"/>
        <v>0</v>
      </c>
      <c r="AG58" s="1959">
        <f t="shared" si="1"/>
        <v>0</v>
      </c>
      <c r="AH58" s="2275">
        <f>W58-V58-SUM(Motpart!Y17:Z21)</f>
        <v>0</v>
      </c>
    </row>
    <row r="59" spans="1:34" ht="13.5" customHeight="1">
      <c r="A59" s="2628"/>
      <c r="B59" s="1013" t="s">
        <v>88</v>
      </c>
      <c r="C59" s="605"/>
      <c r="D59" s="606"/>
      <c r="E59" s="607"/>
      <c r="F59" s="608"/>
      <c r="G59" s="607"/>
      <c r="H59" s="609"/>
      <c r="I59" s="607"/>
      <c r="J59" s="610"/>
      <c r="K59" s="33"/>
      <c r="L59" s="611"/>
      <c r="M59" s="607"/>
      <c r="N59" s="606"/>
      <c r="O59" s="606"/>
      <c r="P59" s="610"/>
      <c r="Q59" s="228"/>
      <c r="R59" s="611"/>
      <c r="S59" s="607"/>
      <c r="T59" s="610"/>
      <c r="U59" s="228"/>
      <c r="V59" s="612"/>
      <c r="W59" s="613"/>
      <c r="X59" s="33"/>
      <c r="Y59" s="2057"/>
      <c r="Z59" s="2058"/>
      <c r="AA59" s="2058"/>
      <c r="AB59" s="2058"/>
      <c r="AC59" s="2059"/>
      <c r="AD59" s="1149"/>
      <c r="AE59" s="1125"/>
      <c r="AF59" s="1121"/>
      <c r="AG59" s="1959"/>
      <c r="AH59" s="2275"/>
    </row>
    <row r="60" spans="1:34">
      <c r="A60" s="2629" t="s">
        <v>539</v>
      </c>
      <c r="B60" s="1014" t="s">
        <v>424</v>
      </c>
      <c r="C60" s="604"/>
      <c r="D60" s="22"/>
      <c r="E60" s="21"/>
      <c r="F60" s="21"/>
      <c r="G60" s="21"/>
      <c r="H60" s="22"/>
      <c r="I60" s="21"/>
      <c r="J60" s="109"/>
      <c r="K60" s="32"/>
      <c r="L60" s="112"/>
      <c r="M60" s="21"/>
      <c r="N60" s="22"/>
      <c r="O60" s="453">
        <f>IF(I$120=0,0,(SUM(C60:E60,G60,I60:M60)-V60)/(SUM(C$110:E$110,G$110,I$110:M$110)-V$110)*I$120)</f>
        <v>0</v>
      </c>
      <c r="P60" s="452">
        <f>SUM(C60:O60)</f>
        <v>0</v>
      </c>
      <c r="Q60" s="54"/>
      <c r="R60" s="112"/>
      <c r="S60" s="21"/>
      <c r="T60" s="109"/>
      <c r="U60" s="55"/>
      <c r="V60" s="122"/>
      <c r="W60" s="491">
        <f t="shared" ref="W60:W66" si="17">SUM(R60:V60)</f>
        <v>0</v>
      </c>
      <c r="X60" s="61"/>
      <c r="Y60" s="1155">
        <f>P60-V60-SUM(Motpart!Y22:Z22)</f>
        <v>0</v>
      </c>
      <c r="Z60" s="2029"/>
      <c r="AA60" s="2008"/>
      <c r="AB60" s="2009"/>
      <c r="AC60" s="2010"/>
      <c r="AD60" s="1115"/>
      <c r="AE60" s="1125"/>
      <c r="AF60" s="1121">
        <f t="shared" si="8"/>
        <v>0</v>
      </c>
      <c r="AG60" s="1959">
        <f t="shared" si="1"/>
        <v>0</v>
      </c>
      <c r="AH60" s="2275">
        <f>W60-V60-SUM(Motpart!Y22:Z22)</f>
        <v>0</v>
      </c>
    </row>
    <row r="61" spans="1:34">
      <c r="A61" s="2623" t="s">
        <v>540</v>
      </c>
      <c r="B61" s="1015" t="s">
        <v>425</v>
      </c>
      <c r="C61" s="23"/>
      <c r="D61" s="22"/>
      <c r="E61" s="21"/>
      <c r="F61" s="21"/>
      <c r="G61" s="21"/>
      <c r="H61" s="22"/>
      <c r="I61" s="21"/>
      <c r="J61" s="109"/>
      <c r="K61" s="614"/>
      <c r="L61" s="112"/>
      <c r="M61" s="21"/>
      <c r="N61" s="22"/>
      <c r="O61" s="453">
        <f>IF(I$120=0,0,(SUM(C61:E61,G61,I61:M61)-V61)/(SUM(C$110:E$110,G$110,I$110:M$110)-V$110)*I$120)</f>
        <v>0</v>
      </c>
      <c r="P61" s="452">
        <f>SUM(C61:O61)</f>
        <v>0</v>
      </c>
      <c r="Q61" s="54"/>
      <c r="R61" s="113"/>
      <c r="S61" s="24"/>
      <c r="T61" s="110"/>
      <c r="U61" s="55"/>
      <c r="V61" s="123"/>
      <c r="W61" s="491">
        <f t="shared" si="17"/>
        <v>0</v>
      </c>
      <c r="X61" s="61"/>
      <c r="Y61" s="1155">
        <f>P61-V61-SUM(Motpart!Y23:Z23)</f>
        <v>0</v>
      </c>
      <c r="Z61" s="2007"/>
      <c r="AA61" s="2008"/>
      <c r="AB61" s="2009"/>
      <c r="AC61" s="2010"/>
      <c r="AD61" s="1127"/>
      <c r="AE61" s="1125"/>
      <c r="AF61" s="1121">
        <f t="shared" si="8"/>
        <v>0</v>
      </c>
      <c r="AG61" s="1959">
        <f t="shared" si="1"/>
        <v>0</v>
      </c>
      <c r="AH61" s="2275">
        <f>W61-V61-SUM(Motpart!Y23:Z23)</f>
        <v>0</v>
      </c>
    </row>
    <row r="62" spans="1:34" ht="13.5" customHeight="1">
      <c r="A62" s="2625"/>
      <c r="B62" s="1010" t="s">
        <v>18</v>
      </c>
      <c r="C62" s="588"/>
      <c r="D62" s="587"/>
      <c r="E62" s="585"/>
      <c r="F62" s="608"/>
      <c r="G62" s="585"/>
      <c r="H62" s="609"/>
      <c r="I62" s="585"/>
      <c r="J62" s="586"/>
      <c r="K62" s="614"/>
      <c r="L62" s="584"/>
      <c r="M62" s="585"/>
      <c r="N62" s="587"/>
      <c r="O62" s="587"/>
      <c r="P62" s="586"/>
      <c r="Q62" s="55"/>
      <c r="R62" s="584"/>
      <c r="S62" s="585"/>
      <c r="T62" s="586"/>
      <c r="U62" s="55"/>
      <c r="V62" s="582"/>
      <c r="W62" s="583"/>
      <c r="X62" s="32"/>
      <c r="Y62" s="1854"/>
      <c r="Z62" s="2030"/>
      <c r="AA62" s="2012"/>
      <c r="AB62" s="2012"/>
      <c r="AC62" s="2013"/>
      <c r="AD62" s="1127"/>
      <c r="AE62" s="1125"/>
      <c r="AF62" s="1121"/>
      <c r="AG62" s="1959">
        <f t="shared" si="1"/>
        <v>0</v>
      </c>
      <c r="AH62" s="2275"/>
    </row>
    <row r="63" spans="1:34">
      <c r="A63" s="2610" t="s">
        <v>262</v>
      </c>
      <c r="B63" s="2809" t="s">
        <v>1836</v>
      </c>
      <c r="C63" s="21"/>
      <c r="D63" s="22"/>
      <c r="E63" s="21"/>
      <c r="F63" s="21"/>
      <c r="G63" s="21"/>
      <c r="H63" s="22"/>
      <c r="I63" s="21"/>
      <c r="J63" s="109"/>
      <c r="K63" s="32"/>
      <c r="L63" s="112"/>
      <c r="M63" s="21"/>
      <c r="N63" s="22"/>
      <c r="O63" s="453">
        <f>IF(I$120=0,0,(SUM(C63:E63,G63,I63:M63)-V63)/(SUM(C$110:E$110,G$110,I$110:M$110)-V$110)*I$120)</f>
        <v>0</v>
      </c>
      <c r="P63" s="452">
        <f>SUM(C63:O63)</f>
        <v>0</v>
      </c>
      <c r="Q63" s="54"/>
      <c r="R63" s="112"/>
      <c r="S63" s="21"/>
      <c r="T63" s="109"/>
      <c r="U63" s="55"/>
      <c r="V63" s="122"/>
      <c r="W63" s="491">
        <f t="shared" si="17"/>
        <v>0</v>
      </c>
      <c r="X63" s="61"/>
      <c r="Y63" s="1121">
        <f>P63-V63-SUM(Motpart!Y24:Z24)</f>
        <v>0</v>
      </c>
      <c r="Z63" s="2011"/>
      <c r="AA63" s="2012"/>
      <c r="AB63" s="2012"/>
      <c r="AC63" s="2013"/>
      <c r="AD63" s="1127"/>
      <c r="AE63" s="1125"/>
      <c r="AF63" s="1121">
        <f t="shared" si="8"/>
        <v>0</v>
      </c>
      <c r="AG63" s="1959">
        <f t="shared" si="1"/>
        <v>0</v>
      </c>
      <c r="AH63" s="2275">
        <f>W63-V63-SUM(Motpart!Y24:Z24)</f>
        <v>0</v>
      </c>
    </row>
    <row r="64" spans="1:34">
      <c r="A64" s="2610" t="s">
        <v>263</v>
      </c>
      <c r="B64" s="1004" t="s">
        <v>89</v>
      </c>
      <c r="C64" s="21"/>
      <c r="D64" s="22"/>
      <c r="E64" s="24"/>
      <c r="F64" s="24"/>
      <c r="G64" s="24"/>
      <c r="H64" s="25"/>
      <c r="I64" s="24"/>
      <c r="J64" s="110"/>
      <c r="K64" s="32"/>
      <c r="L64" s="113"/>
      <c r="M64" s="24"/>
      <c r="N64" s="22"/>
      <c r="O64" s="453">
        <f>IF(I$120=0,0,(SUM(C64:E64,G64,I64:M64)-V64)/(SUM(C$110:E$110,G$110,I$110:M$110)-V$110)*I$120)</f>
        <v>0</v>
      </c>
      <c r="P64" s="452">
        <f>SUM(C64:O64)</f>
        <v>0</v>
      </c>
      <c r="Q64" s="54"/>
      <c r="R64" s="113"/>
      <c r="S64" s="24"/>
      <c r="T64" s="110"/>
      <c r="U64" s="55"/>
      <c r="V64" s="123"/>
      <c r="W64" s="491">
        <f t="shared" si="17"/>
        <v>0</v>
      </c>
      <c r="X64" s="61"/>
      <c r="Y64" s="1155">
        <f>P64-V64-(IF(AND(Motpart!$Y$25="",Motpart!$Z$25=""),0,IF(AND(Motpart!$Y$25=0,Motpart!$Z$25=0),0,((T64/($T$64+$T$65+$T$66))*(Motpart!$Y$25+Motpart!$Z$25)))))</f>
        <v>0</v>
      </c>
      <c r="Z64" s="2011"/>
      <c r="AA64" s="2012"/>
      <c r="AB64" s="2012"/>
      <c r="AC64" s="2013"/>
      <c r="AD64" s="1127"/>
      <c r="AE64" s="1125"/>
      <c r="AF64" s="1121">
        <f t="shared" si="8"/>
        <v>0</v>
      </c>
      <c r="AG64" s="1959">
        <f t="shared" si="1"/>
        <v>0</v>
      </c>
      <c r="AH64" s="2275">
        <f>W64-V64-(IF(AND(Motpart!$Y$25="",Motpart!$Z$25=""),0,IF(AND(Motpart!$Y$25=0,Motpart!$Z$25=0),0,((T64/($T$64+$T$65+$T$66))*(Motpart!$Y$25+Motpart!$Z$25)))))</f>
        <v>0</v>
      </c>
    </row>
    <row r="65" spans="1:34">
      <c r="A65" s="2610" t="s">
        <v>264</v>
      </c>
      <c r="B65" s="1004" t="s">
        <v>102</v>
      </c>
      <c r="C65" s="21"/>
      <c r="D65" s="22"/>
      <c r="E65" s="24"/>
      <c r="F65" s="24"/>
      <c r="G65" s="24"/>
      <c r="H65" s="25"/>
      <c r="I65" s="24"/>
      <c r="J65" s="110"/>
      <c r="K65" s="32"/>
      <c r="L65" s="113"/>
      <c r="M65" s="24"/>
      <c r="N65" s="22"/>
      <c r="O65" s="453">
        <f>IF(I$120=0,0,(SUM(C65:E65,G65,I65:M65)-V65)/(SUM(C$110:E$110,G$110,I$110:M$110)-V$110)*I$120)</f>
        <v>0</v>
      </c>
      <c r="P65" s="452">
        <f>SUM(C65:O65)</f>
        <v>0</v>
      </c>
      <c r="Q65" s="54"/>
      <c r="R65" s="113"/>
      <c r="S65" s="24"/>
      <c r="T65" s="110"/>
      <c r="U65" s="55"/>
      <c r="V65" s="123"/>
      <c r="W65" s="491">
        <f t="shared" si="17"/>
        <v>0</v>
      </c>
      <c r="X65" s="61"/>
      <c r="Y65" s="1155">
        <f>P65-V65-(IF(AND(Motpart!$Y$25="",Motpart!$Z$25=""),0,IF(AND(Motpart!$Y$25=0,Motpart!$Z$25=0),0,((T65/($T$64+$T$65+$T$66))*(Motpart!$Y$25+Motpart!$Z$25)))))</f>
        <v>0</v>
      </c>
      <c r="Z65" s="2011"/>
      <c r="AA65" s="2012"/>
      <c r="AB65" s="2012"/>
      <c r="AC65" s="2013"/>
      <c r="AD65" s="1127"/>
      <c r="AE65" s="1125"/>
      <c r="AF65" s="1121">
        <f t="shared" si="8"/>
        <v>0</v>
      </c>
      <c r="AG65" s="1959">
        <f t="shared" si="1"/>
        <v>0</v>
      </c>
      <c r="AH65" s="2275">
        <f>W65-V65-(IF(AND(Motpart!$Y$25="",Motpart!$Z$25=""),0,IF(AND(Motpart!$Y$25=0,Motpart!$Z$25=0),0,((T65/($T$64+$T$65+$T$66))*(Motpart!$Y$25+Motpart!$Z$25)))))</f>
        <v>0</v>
      </c>
    </row>
    <row r="66" spans="1:34">
      <c r="A66" s="2610" t="s">
        <v>265</v>
      </c>
      <c r="B66" s="1012" t="s">
        <v>1216</v>
      </c>
      <c r="C66" s="21"/>
      <c r="D66" s="22"/>
      <c r="E66" s="24"/>
      <c r="F66" s="24"/>
      <c r="G66" s="24"/>
      <c r="H66" s="25"/>
      <c r="I66" s="24"/>
      <c r="J66" s="110"/>
      <c r="K66" s="32"/>
      <c r="L66" s="113"/>
      <c r="M66" s="24"/>
      <c r="N66" s="22"/>
      <c r="O66" s="453">
        <f>IF(I$120=0,0,(SUM(C66:E66,G66,I66:M66)-V66)/(SUM(C$110:E$110,G$110,I$110:M$110)-V$110)*I$120)</f>
        <v>0</v>
      </c>
      <c r="P66" s="452">
        <f>SUM(C66:O66)</f>
        <v>0</v>
      </c>
      <c r="Q66" s="54"/>
      <c r="R66" s="113"/>
      <c r="S66" s="24"/>
      <c r="T66" s="110"/>
      <c r="U66" s="55"/>
      <c r="V66" s="123"/>
      <c r="W66" s="491">
        <f t="shared" si="17"/>
        <v>0</v>
      </c>
      <c r="X66" s="61"/>
      <c r="Y66" s="1155">
        <f>P66-V66-(IF(AND(Motpart!$Y$25="",Motpart!$Z$25=""),0,IF(AND(Motpart!$Y$25=0,Motpart!$Z$25=0),0,((T66/($T$64+$T$65+$T$66))*(Motpart!$Y$25+Motpart!$Z$25)))))</f>
        <v>0</v>
      </c>
      <c r="Z66" s="1026" t="s">
        <v>103</v>
      </c>
      <c r="AA66" s="1108"/>
      <c r="AB66" s="1109"/>
      <c r="AC66" s="1110"/>
      <c r="AD66" s="1115"/>
      <c r="AE66" s="1125"/>
      <c r="AF66" s="1121">
        <f t="shared" si="8"/>
        <v>0</v>
      </c>
      <c r="AG66" s="1959">
        <f t="shared" si="1"/>
        <v>0</v>
      </c>
      <c r="AH66" s="2275">
        <f>W66-V66-(IF(AND(Motpart!$Y$25="",Motpart!$Z$25=""),0,IF(AND(Motpart!$Y$25=0,Motpart!$Z$25=0),0,((T66/($T$64+$T$65+$T$66))*(Motpart!$Y$25+Motpart!$Z$25)))))</f>
        <v>0</v>
      </c>
    </row>
    <row r="67" spans="1:34">
      <c r="A67" s="2610" t="s">
        <v>266</v>
      </c>
      <c r="B67" s="1004" t="s">
        <v>19</v>
      </c>
      <c r="C67" s="445">
        <f>SUM(C58,C60:C61,C63:C66)</f>
        <v>0</v>
      </c>
      <c r="D67" s="27">
        <f t="shared" ref="D67:J67" si="18">SUM(D58,D60:D61,D63:D66)</f>
        <v>0</v>
      </c>
      <c r="E67" s="652">
        <f t="shared" si="18"/>
        <v>0</v>
      </c>
      <c r="F67" s="445">
        <f t="shared" si="18"/>
        <v>0</v>
      </c>
      <c r="G67" s="445">
        <f t="shared" si="18"/>
        <v>0</v>
      </c>
      <c r="H67" s="445">
        <f t="shared" si="18"/>
        <v>0</v>
      </c>
      <c r="I67" s="445">
        <f t="shared" si="18"/>
        <v>0</v>
      </c>
      <c r="J67" s="114">
        <f t="shared" si="18"/>
        <v>0</v>
      </c>
      <c r="K67" s="161"/>
      <c r="L67" s="454">
        <f>SUM(L58,L60:L61,L63:L66)</f>
        <v>0</v>
      </c>
      <c r="M67" s="445">
        <f>SUM(M58,M60:M61,M63:M66)</f>
        <v>0</v>
      </c>
      <c r="N67" s="27">
        <f>SUM(N58,N60:N61,N63:N66)</f>
        <v>0</v>
      </c>
      <c r="O67" s="457">
        <f>SUM(O58,O60:O61,O63:O66)</f>
        <v>0</v>
      </c>
      <c r="P67" s="114">
        <f>SUM(P58,P60:P61,P63:P66)</f>
        <v>0</v>
      </c>
      <c r="Q67" s="54"/>
      <c r="R67" s="454">
        <f>SUM(R58,R60:R61,R63:R66)</f>
        <v>0</v>
      </c>
      <c r="S67" s="445">
        <f>SUM(S58,S60:S61,S63:S66)</f>
        <v>0</v>
      </c>
      <c r="T67" s="114">
        <f>SUM(T58,T60:T61,T63:T66)</f>
        <v>0</v>
      </c>
      <c r="U67" s="54"/>
      <c r="V67" s="126">
        <f>SUM(V58,V60:V61,V63:V66)</f>
        <v>0</v>
      </c>
      <c r="W67" s="127">
        <f>SUM(W58,W60:W61,W63:W66)</f>
        <v>0</v>
      </c>
      <c r="X67" s="61"/>
      <c r="Y67" s="1121">
        <f>P67-V67-SUM(Motpart!Y17:Z25)</f>
        <v>0</v>
      </c>
      <c r="Z67" s="1132" t="e">
        <f>(P67-W67)*1000/invanare</f>
        <v>#DIV/0!</v>
      </c>
      <c r="AA67" s="1133" t="e">
        <f>Y67*1000/invanare</f>
        <v>#DIV/0!</v>
      </c>
      <c r="AB67" s="1133"/>
      <c r="AC67" s="1151" t="str">
        <f>IF(ISERROR((AA67-AB67)/AB67)," ",((AA67-AB67)/AB67))</f>
        <v xml:space="preserve"> </v>
      </c>
      <c r="AD67" s="1124" t="e">
        <f>IF(AA67="","Belopp saknas",IF(OR(AC67&gt;20%,AC67&lt;-5%),"Kommentera förändringen",""))</f>
        <v>#DIV/0!</v>
      </c>
      <c r="AE67" s="1129" t="str">
        <f>IF(ISERROR(F67/(AA67/1000*invanare)),"",(F67/(AA67/100000*invanare)))</f>
        <v/>
      </c>
      <c r="AF67" s="1121">
        <f t="shared" si="8"/>
        <v>0</v>
      </c>
      <c r="AG67" s="1959">
        <f t="shared" si="1"/>
        <v>0</v>
      </c>
      <c r="AH67" s="2275">
        <f>W67-V67-SUM(Motpart!Y17:Z25)</f>
        <v>0</v>
      </c>
    </row>
    <row r="68" spans="1:34" ht="12.75" customHeight="1" thickBot="1">
      <c r="A68" s="2621" t="s">
        <v>267</v>
      </c>
      <c r="B68" s="1009" t="s">
        <v>104</v>
      </c>
      <c r="C68" s="459">
        <f t="shared" ref="C68:J68" si="19">SUM(C51,C67)</f>
        <v>0</v>
      </c>
      <c r="D68" s="460">
        <f t="shared" si="19"/>
        <v>0</v>
      </c>
      <c r="E68" s="459">
        <f t="shared" si="19"/>
        <v>0</v>
      </c>
      <c r="F68" s="459">
        <f t="shared" si="19"/>
        <v>0</v>
      </c>
      <c r="G68" s="459">
        <f t="shared" si="19"/>
        <v>0</v>
      </c>
      <c r="H68" s="460">
        <f t="shared" si="19"/>
        <v>0</v>
      </c>
      <c r="I68" s="459">
        <f t="shared" si="19"/>
        <v>0</v>
      </c>
      <c r="J68" s="461">
        <f t="shared" si="19"/>
        <v>0</v>
      </c>
      <c r="K68" s="161"/>
      <c r="L68" s="462">
        <f>SUM(L51,L67)</f>
        <v>0</v>
      </c>
      <c r="M68" s="459">
        <f>SUM(M51,M67)</f>
        <v>0</v>
      </c>
      <c r="N68" s="460">
        <f>SUM(N51,N67)</f>
        <v>0</v>
      </c>
      <c r="O68" s="460">
        <f>SUM(O51,O67)</f>
        <v>0</v>
      </c>
      <c r="P68" s="461">
        <f>SUM(P51,P67)</f>
        <v>0</v>
      </c>
      <c r="Q68" s="54"/>
      <c r="R68" s="462">
        <f>SUM(R51,R67)</f>
        <v>0</v>
      </c>
      <c r="S68" s="459">
        <f>SUM(S51,S67)</f>
        <v>0</v>
      </c>
      <c r="T68" s="461">
        <f>SUM(T51,T67)</f>
        <v>0</v>
      </c>
      <c r="U68" s="54"/>
      <c r="V68" s="493">
        <f>SUM(V51,V67)</f>
        <v>0</v>
      </c>
      <c r="W68" s="492">
        <f>SUM(W51,W67)</f>
        <v>0</v>
      </c>
      <c r="X68" s="61"/>
      <c r="Y68" s="1164">
        <f>SUM(Y51,Y58,Y60:Y61,Y63:Y66)</f>
        <v>0</v>
      </c>
      <c r="Z68" s="1135"/>
      <c r="AA68" s="1136"/>
      <c r="AB68" s="1137"/>
      <c r="AC68" s="1138"/>
      <c r="AD68" s="1313"/>
      <c r="AE68" s="1965" t="str">
        <f>IF(ISERROR(F67/(AA67/1000*invanare)),"",(SUM(Motpart!D17:D25,Motpart!F17:F25)/(AA67/100000*invanare)))</f>
        <v/>
      </c>
      <c r="AF68" s="1164">
        <f t="shared" si="8"/>
        <v>0</v>
      </c>
      <c r="AG68" s="1962">
        <f t="shared" si="1"/>
        <v>0</v>
      </c>
      <c r="AH68" s="2277">
        <f>SUM(AH51,AH58,AH60:AH61,AH63:AH66)</f>
        <v>0</v>
      </c>
    </row>
    <row r="69" spans="1:34" ht="17.25" customHeight="1">
      <c r="A69" s="2625"/>
      <c r="B69" s="1010" t="s">
        <v>105</v>
      </c>
      <c r="C69" s="615"/>
      <c r="D69" s="616"/>
      <c r="E69" s="617"/>
      <c r="F69" s="617"/>
      <c r="G69" s="617"/>
      <c r="H69" s="616"/>
      <c r="I69" s="617"/>
      <c r="J69" s="618"/>
      <c r="K69" s="39"/>
      <c r="L69" s="619"/>
      <c r="M69" s="617"/>
      <c r="N69" s="616"/>
      <c r="O69" s="616"/>
      <c r="P69" s="620"/>
      <c r="Q69" s="56"/>
      <c r="R69" s="619"/>
      <c r="S69" s="617"/>
      <c r="T69" s="618"/>
      <c r="U69" s="56"/>
      <c r="V69" s="621"/>
      <c r="W69" s="622"/>
      <c r="X69" s="39"/>
      <c r="Y69" s="1857"/>
      <c r="Z69" s="2043"/>
      <c r="AA69" s="2044"/>
      <c r="AB69" s="2045"/>
      <c r="AC69" s="2046"/>
      <c r="AD69" s="1127"/>
      <c r="AE69" s="1125"/>
      <c r="AF69" s="1970"/>
      <c r="AG69" s="1972"/>
      <c r="AH69" s="2276"/>
    </row>
    <row r="70" spans="1:34">
      <c r="A70" s="2610" t="s">
        <v>268</v>
      </c>
      <c r="B70" s="1006" t="s">
        <v>106</v>
      </c>
      <c r="C70" s="21"/>
      <c r="D70" s="22"/>
      <c r="E70" s="21"/>
      <c r="F70" s="21"/>
      <c r="G70" s="21"/>
      <c r="H70" s="22"/>
      <c r="I70" s="21"/>
      <c r="J70" s="109"/>
      <c r="K70" s="32"/>
      <c r="L70" s="112"/>
      <c r="M70" s="21"/>
      <c r="N70" s="22"/>
      <c r="O70" s="453">
        <f>IF(I$120=0,0,(SUM(C70:E70,G70,I70:M70)-V70)/(SUM(C$110:E$110,G$110,I$110:M$110)-V$110)*I$120)</f>
        <v>0</v>
      </c>
      <c r="P70" s="452">
        <f>SUM(C70:O70)</f>
        <v>0</v>
      </c>
      <c r="Q70" s="54"/>
      <c r="R70" s="112"/>
      <c r="S70" s="21"/>
      <c r="T70" s="109"/>
      <c r="U70" s="55"/>
      <c r="V70" s="122"/>
      <c r="W70" s="491">
        <f>SUM(R70:V70)</f>
        <v>0</v>
      </c>
      <c r="X70" s="61"/>
      <c r="Y70" s="1121">
        <f>P70-V70-(IF(AND(Motpart!$Y$26="",Motpart!$Z$26=""),0,IF(AND(Motpart!$Y$26=0,Motpart!$Z$26=0),0,((T70/($T$70+$T$71))*(Motpart!$Y$26+Motpart!$Z$26)))))</f>
        <v>0</v>
      </c>
      <c r="Z70" s="2047"/>
      <c r="AA70" s="2038"/>
      <c r="AB70" s="2038"/>
      <c r="AC70" s="2039"/>
      <c r="AD70" s="1127" t="str">
        <f>IF(P70&gt;50,"Har kommunen primärvård?Kommentera","")</f>
        <v/>
      </c>
      <c r="AE70" s="1125"/>
      <c r="AF70" s="1121">
        <f t="shared" si="8"/>
        <v>0</v>
      </c>
      <c r="AG70" s="1959">
        <f t="shared" si="1"/>
        <v>0</v>
      </c>
      <c r="AH70" s="2275">
        <f>W70-V70-(IF(AND(Motpart!$Y$26="",Motpart!$Z$26=""),0,IF(AND(Motpart!$Y$26=0,Motpart!$Z$26=0),0,((T70/($T$70+$T$71))*(Motpart!$Y$26+Motpart!$Z$26)))))</f>
        <v>0</v>
      </c>
    </row>
    <row r="71" spans="1:34" ht="21" customHeight="1" thickBot="1">
      <c r="A71" s="2610" t="s">
        <v>269</v>
      </c>
      <c r="B71" s="2328" t="s">
        <v>1440</v>
      </c>
      <c r="C71" s="24"/>
      <c r="D71" s="22"/>
      <c r="E71" s="24"/>
      <c r="F71" s="24"/>
      <c r="G71" s="24"/>
      <c r="H71" s="25"/>
      <c r="I71" s="24"/>
      <c r="J71" s="110"/>
      <c r="K71" s="32"/>
      <c r="L71" s="113"/>
      <c r="M71" s="24"/>
      <c r="N71" s="22"/>
      <c r="O71" s="453">
        <f>IF(I$120=0,0,(SUM(C71:E71,G71,I71:M71)-V71)/(SUM(C$110:E$110,G$110,I$110:M$110)-V$110)*I$120)</f>
        <v>0</v>
      </c>
      <c r="P71" s="452">
        <f>SUM(C71:O71)</f>
        <v>0</v>
      </c>
      <c r="Q71" s="54"/>
      <c r="R71" s="113"/>
      <c r="S71" s="24"/>
      <c r="T71" s="110"/>
      <c r="U71" s="55"/>
      <c r="V71" s="123"/>
      <c r="W71" s="1139">
        <f>SUM(R71:V71)</f>
        <v>0</v>
      </c>
      <c r="X71" s="61"/>
      <c r="Y71" s="1155">
        <f>P71-V71-(IF(AND(Motpart!$Y$26="",Motpart!$Z$26=""),0,IF(AND(Motpart!$Y$26=0,Motpart!$Z$26=0),0,((T71/($T$70+$T$71))*(Motpart!$Y$26+Motpart!$Z$26)))))</f>
        <v>0</v>
      </c>
      <c r="Z71" s="2040"/>
      <c r="AA71" s="2041"/>
      <c r="AB71" s="2041"/>
      <c r="AC71" s="2042"/>
      <c r="AD71" s="1127" t="str">
        <f>IF(AND($P$71&gt;0,(Information!$B$3)="0188"),"",IF(AND($P$71&gt;0,(Information!$B$3)="0980"),"",IF(P71&gt;0,"Kommentera belopp","")))</f>
        <v/>
      </c>
      <c r="AE71" s="1125"/>
      <c r="AF71" s="1121">
        <f t="shared" si="8"/>
        <v>0</v>
      </c>
      <c r="AG71" s="1959">
        <f t="shared" si="1"/>
        <v>0</v>
      </c>
      <c r="AH71" s="2275">
        <f>W71-V71-(IF(AND(Motpart!$Y$26="",Motpart!$Z$26=""),0,IF(AND(Motpart!$Y$26=0,Motpart!$Z$26=0),0,((T71/($T$70+$T$71))*(Motpart!$Y$26+Motpart!$Z$26)))))</f>
        <v>0</v>
      </c>
    </row>
    <row r="72" spans="1:34" ht="36" customHeight="1" thickBot="1">
      <c r="A72" s="2630"/>
      <c r="B72" s="2048" t="s">
        <v>108</v>
      </c>
      <c r="C72" s="588"/>
      <c r="D72" s="587"/>
      <c r="E72" s="585"/>
      <c r="F72" s="585"/>
      <c r="G72" s="585"/>
      <c r="H72" s="587"/>
      <c r="I72" s="585"/>
      <c r="J72" s="586"/>
      <c r="K72" s="32"/>
      <c r="L72" s="584"/>
      <c r="M72" s="585"/>
      <c r="N72" s="587"/>
      <c r="O72" s="587"/>
      <c r="P72" s="586"/>
      <c r="Q72" s="55"/>
      <c r="R72" s="584"/>
      <c r="S72" s="585"/>
      <c r="T72" s="586"/>
      <c r="U72" s="55"/>
      <c r="V72" s="582"/>
      <c r="W72" s="583"/>
      <c r="X72" s="32"/>
      <c r="Y72" s="2033" t="s">
        <v>1345</v>
      </c>
      <c r="Z72" s="2967"/>
      <c r="AA72" s="2965"/>
      <c r="AB72" s="2965"/>
      <c r="AC72" s="2966"/>
      <c r="AD72" s="1127"/>
      <c r="AE72" s="1152" t="str">
        <f>IF(ISERROR((F73+F74)/((AA73+AA74)/1000*invanare)),"",((F73+F74)/((AA73+AA74)/100000*invanare)))</f>
        <v/>
      </c>
      <c r="AF72" s="1121"/>
      <c r="AG72" s="1959"/>
      <c r="AH72" s="2275"/>
    </row>
    <row r="73" spans="1:34">
      <c r="A73" s="2610" t="s">
        <v>488</v>
      </c>
      <c r="B73" s="1012" t="s">
        <v>542</v>
      </c>
      <c r="C73" s="21"/>
      <c r="D73" s="22"/>
      <c r="E73" s="21"/>
      <c r="F73" s="21"/>
      <c r="G73" s="21"/>
      <c r="H73" s="22"/>
      <c r="I73" s="21"/>
      <c r="J73" s="109"/>
      <c r="K73" s="32"/>
      <c r="L73" s="112"/>
      <c r="M73" s="21"/>
      <c r="N73" s="22"/>
      <c r="O73" s="453">
        <f>IF(I$120=0,0,(SUM(C73:E73,G73,I73:M73)-V73)/(SUM(C$110:E$110,G$110,I$110:M$110)-V$110)*I$120)</f>
        <v>0</v>
      </c>
      <c r="P73" s="452">
        <f>SUM(C73:O73)</f>
        <v>0</v>
      </c>
      <c r="Q73" s="54"/>
      <c r="R73" s="2335"/>
      <c r="S73" s="21"/>
      <c r="T73" s="109"/>
      <c r="U73" s="55"/>
      <c r="V73" s="122"/>
      <c r="W73" s="491">
        <f>SUM(R73:V73)</f>
        <v>0</v>
      </c>
      <c r="X73" s="61"/>
      <c r="Y73" s="1121">
        <f>P73-V73-SUM(Motpart!Y27:Z27)</f>
        <v>0</v>
      </c>
      <c r="Z73" s="1132" t="e">
        <f>(P73-W73)*1000/invanare</f>
        <v>#DIV/0!</v>
      </c>
      <c r="AA73" s="1133" t="e">
        <f>Y73*1000/invanare</f>
        <v>#DIV/0!</v>
      </c>
      <c r="AB73" s="1153"/>
      <c r="AC73" s="1134" t="str">
        <f>IF(ISERROR((AA73-AB73)/AB73)," ",((AA73-AB73)/AB73))</f>
        <v xml:space="preserve"> </v>
      </c>
      <c r="AD73" s="1154" t="str">
        <f>IF(P73=0,"Belopp saknas",IF(AND(C73&gt;5000,R73&lt;50),"Kommentera Taxor o avgifter",""))</f>
        <v>Belopp saknas</v>
      </c>
      <c r="AE73" s="1129"/>
      <c r="AF73" s="1121">
        <f t="shared" si="8"/>
        <v>0</v>
      </c>
      <c r="AG73" s="1959">
        <f t="shared" si="1"/>
        <v>0</v>
      </c>
      <c r="AH73" s="2275">
        <f>W73-V73-SUM(Motpart!Y27:Z27)</f>
        <v>0</v>
      </c>
    </row>
    <row r="74" spans="1:34" ht="18.75">
      <c r="A74" s="2610" t="s">
        <v>487</v>
      </c>
      <c r="B74" s="1016" t="s">
        <v>414</v>
      </c>
      <c r="C74" s="21"/>
      <c r="D74" s="22"/>
      <c r="E74" s="21"/>
      <c r="F74" s="21"/>
      <c r="G74" s="21"/>
      <c r="H74" s="22"/>
      <c r="I74" s="21"/>
      <c r="J74" s="109"/>
      <c r="K74" s="32"/>
      <c r="L74" s="112"/>
      <c r="M74" s="21"/>
      <c r="N74" s="22"/>
      <c r="O74" s="453">
        <f>IF(I$120=0,0,(SUM(C74:E74,G74,I74:M74)-V74)/(SUM(C$110:E$110,G$110,I$110:M$110)-V$110)*I$120)</f>
        <v>0</v>
      </c>
      <c r="P74" s="452">
        <f>SUM(C74:O74)</f>
        <v>0</v>
      </c>
      <c r="Q74" s="54"/>
      <c r="R74" s="2335"/>
      <c r="S74" s="21"/>
      <c r="T74" s="109"/>
      <c r="U74" s="55"/>
      <c r="V74" s="122"/>
      <c r="W74" s="491">
        <f>SUM(R74:V74)</f>
        <v>0</v>
      </c>
      <c r="X74" s="61"/>
      <c r="Y74" s="1121">
        <f>P74-V74-SUM(Motpart!Y28:Z28)</f>
        <v>0</v>
      </c>
      <c r="Z74" s="1132" t="e">
        <f>(P74-W74)*1000/invanare</f>
        <v>#DIV/0!</v>
      </c>
      <c r="AA74" s="1133" t="e">
        <f>Y74*1000/invanare</f>
        <v>#DIV/0!</v>
      </c>
      <c r="AB74" s="1153"/>
      <c r="AC74" s="1134" t="str">
        <f>IF(ISERROR((AA74-AB74)/AB74)," ",((AA74-AB74)/AB74))</f>
        <v xml:space="preserve"> </v>
      </c>
      <c r="AD74" s="1154" t="str">
        <f>IF(P74=0,"Belopp saknas",IF(AND(C74&gt;5000,R74&lt;50),"Kommentera Taxor o avgifter",""))</f>
        <v>Belopp saknas</v>
      </c>
      <c r="AE74" s="1148" t="e">
        <f>(Y77-Y76)*1000/invanare</f>
        <v>#DIV/0!</v>
      </c>
      <c r="AF74" s="1121">
        <f t="shared" si="8"/>
        <v>0</v>
      </c>
      <c r="AG74" s="1959">
        <f t="shared" si="1"/>
        <v>0</v>
      </c>
      <c r="AH74" s="2275">
        <f>W74-V74-SUM(Motpart!Y28:Z28)</f>
        <v>0</v>
      </c>
    </row>
    <row r="75" spans="1:34">
      <c r="A75" s="2610" t="s">
        <v>270</v>
      </c>
      <c r="B75" s="1012" t="s">
        <v>415</v>
      </c>
      <c r="C75" s="463"/>
      <c r="D75" s="22"/>
      <c r="E75" s="24"/>
      <c r="F75" s="463"/>
      <c r="G75" s="24"/>
      <c r="H75" s="25"/>
      <c r="I75" s="24"/>
      <c r="J75" s="110"/>
      <c r="K75" s="32"/>
      <c r="L75" s="113"/>
      <c r="M75" s="463"/>
      <c r="N75" s="464"/>
      <c r="O75" s="465">
        <f>IF(I$120=0,0,(SUM(C75:E75,G75,I75:M75)-V75)/(SUM(C$110:E$110,G$110,I$110:M$110)-V$110)*I$120)</f>
        <v>0</v>
      </c>
      <c r="P75" s="452">
        <f>SUM(C75:O75)</f>
        <v>0</v>
      </c>
      <c r="Q75" s="54"/>
      <c r="R75" s="2333"/>
      <c r="S75" s="24"/>
      <c r="T75" s="110"/>
      <c r="U75" s="55"/>
      <c r="V75" s="466"/>
      <c r="W75" s="491">
        <f>SUM(R75:V75)</f>
        <v>0</v>
      </c>
      <c r="X75" s="61"/>
      <c r="Y75" s="1121">
        <f>P75-V75-SUM(Motpart!Y29:Z29)</f>
        <v>0</v>
      </c>
      <c r="Z75" s="1132" t="e">
        <f>(P75-W75)*1000/invanare</f>
        <v>#DIV/0!</v>
      </c>
      <c r="AA75" s="1133" t="e">
        <f>Y75*1000/invanare</f>
        <v>#DIV/0!</v>
      </c>
      <c r="AB75" s="1153"/>
      <c r="AC75" s="1134" t="str">
        <f>IF(ISERROR((AA75-AB75)/AB75)," ",((AA75-AB75)/AB75))</f>
        <v xml:space="preserve"> </v>
      </c>
      <c r="AD75" s="2434" t="e">
        <f>IF(AA75="","Belopp saknas",IF(OR(AC75&gt;20%,AC75&lt;-10%),"Kommentera förändringen",""))</f>
        <v>#DIV/0!</v>
      </c>
      <c r="AE75" s="1125"/>
      <c r="AF75" s="1121">
        <f t="shared" si="8"/>
        <v>0</v>
      </c>
      <c r="AG75" s="1959">
        <f t="shared" si="1"/>
        <v>0</v>
      </c>
      <c r="AH75" s="2275">
        <f>W75-V75-SUM(Motpart!Y29:Z29)</f>
        <v>0</v>
      </c>
    </row>
    <row r="76" spans="1:34">
      <c r="A76" s="2610" t="s">
        <v>271</v>
      </c>
      <c r="B76" s="1004" t="s">
        <v>109</v>
      </c>
      <c r="C76" s="24"/>
      <c r="D76" s="22"/>
      <c r="E76" s="24"/>
      <c r="F76" s="24"/>
      <c r="G76" s="24"/>
      <c r="H76" s="25"/>
      <c r="I76" s="24"/>
      <c r="J76" s="110"/>
      <c r="K76" s="32"/>
      <c r="L76" s="113"/>
      <c r="M76" s="24"/>
      <c r="N76" s="22"/>
      <c r="O76" s="453">
        <f>IF(I$120=0,0,(SUM(C76:E76,G76,I76:M76)-V76)/(SUM(C$110:E$110,G$110,I$110:M$110)-V$110)*I$120)</f>
        <v>0</v>
      </c>
      <c r="P76" s="452">
        <f>SUM(C76:O76)</f>
        <v>0</v>
      </c>
      <c r="Q76" s="54"/>
      <c r="R76" s="2333"/>
      <c r="S76" s="24"/>
      <c r="T76" s="110"/>
      <c r="U76" s="55"/>
      <c r="V76" s="123"/>
      <c r="W76" s="491">
        <f>SUM(R76:V76)</f>
        <v>0</v>
      </c>
      <c r="X76" s="61"/>
      <c r="Y76" s="1121">
        <f>P76-V76-SUM(Motpart!Y30:Z30)</f>
        <v>0</v>
      </c>
      <c r="Z76" s="1132" t="e">
        <f>(P76-W76)*1000/invanare</f>
        <v>#DIV/0!</v>
      </c>
      <c r="AA76" s="1133" t="e">
        <f>Y76*1000/invanare</f>
        <v>#DIV/0!</v>
      </c>
      <c r="AB76" s="1156"/>
      <c r="AC76" s="1134" t="str">
        <f>IF(ISERROR((AA76-AB76)/AB76)," ",((AA76-AB76)/AB76))</f>
        <v xml:space="preserve"> </v>
      </c>
      <c r="AD76" s="2517" t="str">
        <f>IF(AND(P76=0,AB76&lt;&gt;0),"Belopp saknas",IF(AND(P76&lt;3000,AC76&gt;-50%),"",IF(OR(AC76&gt;25%,AC76&lt;-15%),"Kommentera förändringen",IF(AND(C76&gt;5000,R76&lt;50),"Kommentera Taxor o avgifter",""))))</f>
        <v/>
      </c>
      <c r="AE76" s="1148"/>
      <c r="AF76" s="1121">
        <f t="shared" si="8"/>
        <v>0</v>
      </c>
      <c r="AG76" s="1959">
        <f t="shared" si="1"/>
        <v>0</v>
      </c>
      <c r="AH76" s="2275">
        <f>W76-V76-SUM(Motpart!Y30:Z30)</f>
        <v>0</v>
      </c>
    </row>
    <row r="77" spans="1:34">
      <c r="A77" s="2610" t="s">
        <v>553</v>
      </c>
      <c r="B77" s="1004" t="s">
        <v>111</v>
      </c>
      <c r="C77" s="445">
        <f t="shared" ref="C77:J77" si="20">SUM(C73:C76)</f>
        <v>0</v>
      </c>
      <c r="D77" s="27">
        <f t="shared" si="20"/>
        <v>0</v>
      </c>
      <c r="E77" s="445">
        <f t="shared" si="20"/>
        <v>0</v>
      </c>
      <c r="F77" s="445">
        <f t="shared" si="20"/>
        <v>0</v>
      </c>
      <c r="G77" s="445">
        <f t="shared" si="20"/>
        <v>0</v>
      </c>
      <c r="H77" s="27">
        <f t="shared" si="20"/>
        <v>0</v>
      </c>
      <c r="I77" s="445">
        <f t="shared" si="20"/>
        <v>0</v>
      </c>
      <c r="J77" s="114">
        <f t="shared" si="20"/>
        <v>0</v>
      </c>
      <c r="K77" s="161"/>
      <c r="L77" s="454">
        <f>SUM(L73:L76)</f>
        <v>0</v>
      </c>
      <c r="M77" s="445">
        <f>SUM(M73:M76)</f>
        <v>0</v>
      </c>
      <c r="N77" s="27">
        <f>SUM(N73:N76)</f>
        <v>0</v>
      </c>
      <c r="O77" s="27">
        <f>SUM(O73:O76)</f>
        <v>0</v>
      </c>
      <c r="P77" s="114">
        <f>SUM(P73:P76)</f>
        <v>0</v>
      </c>
      <c r="Q77" s="54"/>
      <c r="R77" s="454">
        <f>SUM(R73:R76)</f>
        <v>0</v>
      </c>
      <c r="S77" s="445">
        <f>SUM(S73:S76)</f>
        <v>0</v>
      </c>
      <c r="T77" s="114">
        <f>SUM(T73:T76)</f>
        <v>0</v>
      </c>
      <c r="U77" s="54"/>
      <c r="V77" s="126">
        <f>SUM(V73:V76)</f>
        <v>0</v>
      </c>
      <c r="W77" s="127">
        <f>SUM(W73:W76)</f>
        <v>0</v>
      </c>
      <c r="X77" s="61"/>
      <c r="Y77" s="1121">
        <f>P77-V77-SUM(Motpart!Y27:Z30)</f>
        <v>0</v>
      </c>
      <c r="Z77" s="2064" t="e">
        <f>(P77-W77)*1000/invanare</f>
        <v>#DIV/0!</v>
      </c>
      <c r="AA77" s="1156" t="e">
        <f>Y77*1000/invanare</f>
        <v>#DIV/0!</v>
      </c>
      <c r="AB77" s="2065"/>
      <c r="AC77" s="2055" t="str">
        <f t="shared" ref="AC77:AC84" si="21">IF(ISERROR((AA77-AB77)/AB77)," ",((AA77-AB77)/AB77))</f>
        <v xml:space="preserve"> </v>
      </c>
      <c r="AD77" s="1124" t="e">
        <f>IF(AA77="","Belopp saknas",IF(OR(AC77&gt;15%,AC77&lt;-5%),"Kommentera förändringen",""))</f>
        <v>#DIV/0!</v>
      </c>
      <c r="AE77" s="1129" t="str">
        <f>IF(ISERROR(F77/(AA77/1000*invanare)),"",(F77/(AA77/100000*invanare)))</f>
        <v/>
      </c>
      <c r="AF77" s="1121">
        <f t="shared" si="8"/>
        <v>0</v>
      </c>
      <c r="AG77" s="1959">
        <f t="shared" si="1"/>
        <v>0</v>
      </c>
      <c r="AH77" s="2275">
        <f>W77-V77-SUM(Motpart!Y27:Z30)</f>
        <v>0</v>
      </c>
    </row>
    <row r="78" spans="1:34" ht="13.5" customHeight="1">
      <c r="A78" s="2630"/>
      <c r="B78" s="1017" t="s">
        <v>112</v>
      </c>
      <c r="C78" s="588"/>
      <c r="D78" s="587"/>
      <c r="E78" s="585"/>
      <c r="F78" s="585"/>
      <c r="G78" s="585"/>
      <c r="H78" s="587"/>
      <c r="I78" s="585"/>
      <c r="J78" s="586"/>
      <c r="K78" s="32"/>
      <c r="L78" s="584"/>
      <c r="M78" s="585"/>
      <c r="N78" s="587"/>
      <c r="O78" s="587"/>
      <c r="P78" s="586"/>
      <c r="Q78" s="55"/>
      <c r="R78" s="584"/>
      <c r="S78" s="585"/>
      <c r="T78" s="586"/>
      <c r="U78" s="55"/>
      <c r="V78" s="582"/>
      <c r="W78" s="583"/>
      <c r="X78" s="32"/>
      <c r="Y78" s="2031"/>
      <c r="Z78" s="2066"/>
      <c r="AA78" s="2086" t="str">
        <f>IF(P75&lt;1,"",IF('Verks int o kostn'!I41="","",IF('Verks int o kostn'!D21="","",((Drift!C75*1.4453)+0.85*(Drift!F75+Drift!M75+Drift!N75+Drift!O75)-0.85*(Drift!V75+'Verks int o kostn'!D21+'Äldre o personer funktionsn'!I31)+(0.85*0.2*(('Verks int o kostn'!I41/0.2)-'Verks int o kostn'!D21))))))</f>
        <v/>
      </c>
      <c r="AB78" s="2086"/>
      <c r="AC78" s="2087" t="str">
        <f t="shared" si="21"/>
        <v xml:space="preserve"> </v>
      </c>
      <c r="AD78" s="2063" t="str">
        <f>IF(ISERROR((AA78-AB78)/AB78),"",IF(AND(AC78&gt;-5%,AC78&lt;16%),"","Kontrollera LSS/SFB, gröna celler i blanketten. Kommentera förändring"))</f>
        <v/>
      </c>
      <c r="AE78" s="1125" t="str">
        <f>IF(ISERROR(F77/(AA77/1000*invanare)),"",(SUM(Motpart!D27:D30,Motpart!F27:F30)/(AA77/100000*invanare)))</f>
        <v/>
      </c>
      <c r="AF78" s="1121"/>
      <c r="AG78" s="1959"/>
      <c r="AH78" s="2275"/>
    </row>
    <row r="79" spans="1:34">
      <c r="A79" s="2610" t="s">
        <v>493</v>
      </c>
      <c r="B79" s="1018" t="s">
        <v>215</v>
      </c>
      <c r="C79" s="21"/>
      <c r="D79" s="22"/>
      <c r="E79" s="21"/>
      <c r="F79" s="21"/>
      <c r="G79" s="21"/>
      <c r="H79" s="22"/>
      <c r="I79" s="21"/>
      <c r="J79" s="109"/>
      <c r="K79" s="32"/>
      <c r="L79" s="112"/>
      <c r="M79" s="21"/>
      <c r="N79" s="22"/>
      <c r="O79" s="453">
        <f t="shared" ref="O79:O84" si="22">IF(I$120=0,0,(SUM(C79:E79,G79,I79:M79)-V79)/(SUM(C$110:E$110,G$110,I$110:M$110)-V$110)*I$120)</f>
        <v>0</v>
      </c>
      <c r="P79" s="452">
        <f>SUM(C79:O79)</f>
        <v>0</v>
      </c>
      <c r="Q79" s="54"/>
      <c r="R79" s="112"/>
      <c r="S79" s="21"/>
      <c r="T79" s="109"/>
      <c r="U79" s="55"/>
      <c r="V79" s="122"/>
      <c r="W79" s="491">
        <f>SUM(R79:V79)</f>
        <v>0</v>
      </c>
      <c r="X79" s="61"/>
      <c r="Y79" s="1121">
        <f>P79-V79-SUM(Motpart!Y31:Z31)</f>
        <v>0</v>
      </c>
      <c r="Z79" s="1132" t="e">
        <f t="shared" ref="Z79:Z84" si="23">(P79-W79)*1000/invanare</f>
        <v>#DIV/0!</v>
      </c>
      <c r="AA79" s="1133" t="e">
        <f t="shared" ref="AA79:AA84" si="24">Y79*1000/invanare</f>
        <v>#DIV/0!</v>
      </c>
      <c r="AB79" s="1133"/>
      <c r="AC79" s="1134" t="str">
        <f t="shared" si="21"/>
        <v xml:space="preserve"> </v>
      </c>
      <c r="AD79" s="1154" t="str">
        <f>IF(AND(AC79&gt;-55%,AC79&lt;55%),"","Kommentera förändringen")</f>
        <v>Kommentera förändringen</v>
      </c>
      <c r="AE79" s="1148">
        <f>F85-F76-F71-F70</f>
        <v>0</v>
      </c>
      <c r="AF79" s="1121">
        <f t="shared" si="8"/>
        <v>0</v>
      </c>
      <c r="AG79" s="1959">
        <f t="shared" ref="AG79:AG108" si="25">P79-F79-H79-V79</f>
        <v>0</v>
      </c>
      <c r="AH79" s="2275">
        <f>W79-V79-SUM(Motpart!Y31:Z31)</f>
        <v>0</v>
      </c>
    </row>
    <row r="80" spans="1:34">
      <c r="A80" s="2610" t="s">
        <v>492</v>
      </c>
      <c r="B80" s="1018" t="s">
        <v>113</v>
      </c>
      <c r="C80" s="21"/>
      <c r="D80" s="22"/>
      <c r="E80" s="21"/>
      <c r="F80" s="21"/>
      <c r="G80" s="21"/>
      <c r="H80" s="22"/>
      <c r="I80" s="21"/>
      <c r="J80" s="109"/>
      <c r="K80" s="32"/>
      <c r="L80" s="112"/>
      <c r="M80" s="21"/>
      <c r="N80" s="22"/>
      <c r="O80" s="453">
        <f t="shared" si="22"/>
        <v>0</v>
      </c>
      <c r="P80" s="452">
        <f>SUM(C80:O80)</f>
        <v>0</v>
      </c>
      <c r="Q80" s="54"/>
      <c r="R80" s="112"/>
      <c r="S80" s="21"/>
      <c r="T80" s="109"/>
      <c r="U80" s="55"/>
      <c r="V80" s="122"/>
      <c r="W80" s="491">
        <f>SUM(R80:V80)</f>
        <v>0</v>
      </c>
      <c r="X80" s="61"/>
      <c r="Y80" s="1155">
        <f>P80-V80-SUM(Motpart!Y33:Z33)</f>
        <v>0</v>
      </c>
      <c r="Z80" s="1132" t="e">
        <f t="shared" si="23"/>
        <v>#DIV/0!</v>
      </c>
      <c r="AA80" s="1133" t="e">
        <f t="shared" si="24"/>
        <v>#DIV/0!</v>
      </c>
      <c r="AB80" s="1153"/>
      <c r="AC80" s="1131" t="str">
        <f t="shared" si="21"/>
        <v xml:space="preserve"> </v>
      </c>
      <c r="AD80" s="1154" t="str">
        <f>IF(AND(AC80&gt;-30%,AC80&lt;50%),"","Kommentera förändringen")</f>
        <v>Kommentera förändringen</v>
      </c>
      <c r="AE80" s="1148">
        <f>H85-H76-H71-H70</f>
        <v>0</v>
      </c>
      <c r="AF80" s="1121">
        <f t="shared" si="8"/>
        <v>0</v>
      </c>
      <c r="AG80" s="1959">
        <f t="shared" si="25"/>
        <v>0</v>
      </c>
      <c r="AH80" s="2275">
        <f>W80-V80-SUM(Motpart!Y33:Z33)</f>
        <v>0</v>
      </c>
    </row>
    <row r="81" spans="1:34">
      <c r="A81" s="2610" t="s">
        <v>495</v>
      </c>
      <c r="B81" s="1018" t="s">
        <v>181</v>
      </c>
      <c r="C81" s="21"/>
      <c r="D81" s="22"/>
      <c r="E81" s="21"/>
      <c r="F81" s="21"/>
      <c r="G81" s="21"/>
      <c r="H81" s="22"/>
      <c r="I81" s="21"/>
      <c r="J81" s="109"/>
      <c r="K81" s="32"/>
      <c r="L81" s="112"/>
      <c r="M81" s="21"/>
      <c r="N81" s="22"/>
      <c r="O81" s="453">
        <f t="shared" si="22"/>
        <v>0</v>
      </c>
      <c r="P81" s="452">
        <f>SUM(C81:O81)</f>
        <v>0</v>
      </c>
      <c r="Q81" s="54"/>
      <c r="R81" s="112"/>
      <c r="S81" s="21"/>
      <c r="T81" s="109"/>
      <c r="U81" s="55"/>
      <c r="V81" s="122"/>
      <c r="W81" s="491">
        <f>SUM(R81:V81)</f>
        <v>0</v>
      </c>
      <c r="X81" s="61"/>
      <c r="Y81" s="1155">
        <f>P81-V81-IFO!G29</f>
        <v>0</v>
      </c>
      <c r="Z81" s="1132" t="e">
        <f t="shared" si="23"/>
        <v>#DIV/0!</v>
      </c>
      <c r="AA81" s="1133" t="e">
        <f t="shared" si="24"/>
        <v>#DIV/0!</v>
      </c>
      <c r="AB81" s="1153"/>
      <c r="AC81" s="1131" t="str">
        <f t="shared" si="21"/>
        <v xml:space="preserve"> </v>
      </c>
      <c r="AD81" s="1126" t="e">
        <f>IF(AND(AB81=0,AA81=0),"",IF(AND(AB81&lt;50,AA81&lt;50),"",IF(AND(AC81&gt;-80%,AC81&lt;100%),"","Kommentera förändringen")))</f>
        <v>#DIV/0!</v>
      </c>
      <c r="AE81" s="1125"/>
      <c r="AF81" s="1121">
        <f t="shared" si="8"/>
        <v>0</v>
      </c>
      <c r="AG81" s="1959">
        <f t="shared" si="25"/>
        <v>0</v>
      </c>
      <c r="AH81" s="2275">
        <f>W81-V81-IFO!G29</f>
        <v>0</v>
      </c>
    </row>
    <row r="82" spans="1:34">
      <c r="A82" s="2610" t="s">
        <v>494</v>
      </c>
      <c r="B82" s="1018" t="s">
        <v>114</v>
      </c>
      <c r="C82" s="21"/>
      <c r="D82" s="22"/>
      <c r="E82" s="21"/>
      <c r="F82" s="21"/>
      <c r="G82" s="21"/>
      <c r="H82" s="22"/>
      <c r="I82" s="21"/>
      <c r="J82" s="109"/>
      <c r="K82" s="32"/>
      <c r="L82" s="112"/>
      <c r="M82" s="21"/>
      <c r="N82" s="22"/>
      <c r="O82" s="453">
        <f t="shared" si="22"/>
        <v>0</v>
      </c>
      <c r="P82" s="452">
        <f>SUM(C82:O82)</f>
        <v>0</v>
      </c>
      <c r="Q82" s="54"/>
      <c r="R82" s="112"/>
      <c r="S82" s="21"/>
      <c r="T82" s="109"/>
      <c r="U82" s="55"/>
      <c r="V82" s="122"/>
      <c r="W82" s="491">
        <f>SUM(R82:V82)</f>
        <v>0</v>
      </c>
      <c r="X82" s="61"/>
      <c r="Y82" s="1155">
        <f>P82-V82-IFO!G30</f>
        <v>0</v>
      </c>
      <c r="Z82" s="1132" t="e">
        <f t="shared" si="23"/>
        <v>#DIV/0!</v>
      </c>
      <c r="AA82" s="1133" t="e">
        <f t="shared" si="24"/>
        <v>#DIV/0!</v>
      </c>
      <c r="AB82" s="1153"/>
      <c r="AC82" s="1131" t="str">
        <f t="shared" si="21"/>
        <v xml:space="preserve"> </v>
      </c>
      <c r="AD82" s="1154" t="str">
        <f>IF(AND(AC82&gt;-20%,AC82&lt;30%),"","Kommentera förändringen")</f>
        <v>Kommentera förändringen</v>
      </c>
      <c r="AE82" s="1125"/>
      <c r="AF82" s="1121">
        <f t="shared" si="8"/>
        <v>0</v>
      </c>
      <c r="AG82" s="1959">
        <f t="shared" si="25"/>
        <v>0</v>
      </c>
      <c r="AH82" s="2275">
        <f>W82-V82-IFO!G30</f>
        <v>0</v>
      </c>
    </row>
    <row r="83" spans="1:34">
      <c r="A83" s="2610" t="s">
        <v>364</v>
      </c>
      <c r="B83" s="1004" t="s">
        <v>115</v>
      </c>
      <c r="C83" s="445">
        <f>SUM(C79:C82)</f>
        <v>0</v>
      </c>
      <c r="D83" s="27">
        <f t="shared" ref="D83:J83" si="26">SUM(D79:D82)</f>
        <v>0</v>
      </c>
      <c r="E83" s="455">
        <f t="shared" si="26"/>
        <v>0</v>
      </c>
      <c r="F83" s="445">
        <f t="shared" si="26"/>
        <v>0</v>
      </c>
      <c r="G83" s="445">
        <f t="shared" si="26"/>
        <v>0</v>
      </c>
      <c r="H83" s="27">
        <f t="shared" si="26"/>
        <v>0</v>
      </c>
      <c r="I83" s="652">
        <f t="shared" si="26"/>
        <v>0</v>
      </c>
      <c r="J83" s="114">
        <f t="shared" si="26"/>
        <v>0</v>
      </c>
      <c r="K83" s="161"/>
      <c r="L83" s="454">
        <f>SUM(L79:L82)</f>
        <v>0</v>
      </c>
      <c r="M83" s="445">
        <f>SUM(M79:M82)</f>
        <v>0</v>
      </c>
      <c r="N83" s="27">
        <f>SUM(N79:N82)</f>
        <v>0</v>
      </c>
      <c r="O83" s="467">
        <f t="shared" si="22"/>
        <v>0</v>
      </c>
      <c r="P83" s="452">
        <f>SUM(P79:P82)</f>
        <v>0</v>
      </c>
      <c r="Q83" s="54"/>
      <c r="R83" s="454">
        <f>SUM(R79:R82)</f>
        <v>0</v>
      </c>
      <c r="S83" s="445">
        <f>SUM(S79:S82)</f>
        <v>0</v>
      </c>
      <c r="T83" s="114">
        <f>SUM(T79:T82)</f>
        <v>0</v>
      </c>
      <c r="U83" s="54"/>
      <c r="V83" s="126">
        <f>SUM(V79:V82)</f>
        <v>0</v>
      </c>
      <c r="W83" s="491">
        <f>SUM(W79:W82)</f>
        <v>0</v>
      </c>
      <c r="X83" s="61"/>
      <c r="Y83" s="1157">
        <f>P83-V83-IFO!G31</f>
        <v>0</v>
      </c>
      <c r="Z83" s="1132" t="e">
        <f>(P83+P84-W83-W84)*1000/invanare</f>
        <v>#DIV/0!</v>
      </c>
      <c r="AA83" s="1133" t="e">
        <f>SUM(Y83:Y84)*1000/invanare</f>
        <v>#DIV/0!</v>
      </c>
      <c r="AB83" s="1133"/>
      <c r="AC83" s="1131" t="str">
        <f t="shared" si="21"/>
        <v xml:space="preserve"> </v>
      </c>
      <c r="AD83" s="1154" t="str">
        <f>IF(AND(AC83&gt;-15%,AC83&lt;30%),"","Kommentera förändringen")</f>
        <v>Kommentera förändringen</v>
      </c>
      <c r="AE83" s="1129" t="str">
        <f>IF(ISERROR((F83+F84)/((F83+F84)/1000*invanare)),"",((F83+F84)/(AA83/100000*invanare)))</f>
        <v/>
      </c>
      <c r="AF83" s="1121">
        <f t="shared" si="8"/>
        <v>0</v>
      </c>
      <c r="AG83" s="1959">
        <f t="shared" si="25"/>
        <v>0</v>
      </c>
      <c r="AH83" s="2275">
        <f>W83-V83-IFO!G31</f>
        <v>0</v>
      </c>
    </row>
    <row r="84" spans="1:34">
      <c r="A84" s="2610" t="s">
        <v>501</v>
      </c>
      <c r="B84" s="1004" t="s">
        <v>116</v>
      </c>
      <c r="C84" s="24"/>
      <c r="D84" s="22"/>
      <c r="E84" s="24"/>
      <c r="F84" s="24"/>
      <c r="G84" s="24"/>
      <c r="H84" s="25"/>
      <c r="I84" s="24"/>
      <c r="J84" s="110"/>
      <c r="K84" s="31"/>
      <c r="L84" s="113"/>
      <c r="M84" s="24"/>
      <c r="N84" s="25"/>
      <c r="O84" s="453">
        <f t="shared" si="22"/>
        <v>0</v>
      </c>
      <c r="P84" s="452">
        <f>SUM(C84:O84)</f>
        <v>0</v>
      </c>
      <c r="Q84" s="54"/>
      <c r="R84" s="113"/>
      <c r="S84" s="24"/>
      <c r="T84" s="110"/>
      <c r="U84" s="229"/>
      <c r="V84" s="123"/>
      <c r="W84" s="491">
        <f>SUM(R84:V84)</f>
        <v>0</v>
      </c>
      <c r="X84" s="61"/>
      <c r="Y84" s="1155">
        <f>P84-V84-SUM(IFO!G33:G34)</f>
        <v>0</v>
      </c>
      <c r="Z84" s="1132" t="e">
        <f t="shared" si="23"/>
        <v>#DIV/0!</v>
      </c>
      <c r="AA84" s="1133" t="e">
        <f t="shared" si="24"/>
        <v>#DIV/0!</v>
      </c>
      <c r="AB84" s="1153"/>
      <c r="AC84" s="1131" t="str">
        <f t="shared" si="21"/>
        <v xml:space="preserve"> </v>
      </c>
      <c r="AD84" s="1154" t="str">
        <f>IF(AND(AC84&gt;-50%,AC84&lt;70%),"","Kommentera förändringen")</f>
        <v>Kommentera förändringen</v>
      </c>
      <c r="AE84" s="1125" t="str">
        <f>IF(ISERROR(F83+F84/(F83+F84/1000*invanare)),"",(SUM(Motpart!D31,Motpart!D33,Motpart!D35,Motpart!F31,Motpart!F33,Motpart!F35)/(AA83/100000*invanare)))</f>
        <v/>
      </c>
      <c r="AF84" s="1121">
        <f t="shared" si="8"/>
        <v>0</v>
      </c>
      <c r="AG84" s="1959">
        <f t="shared" si="25"/>
        <v>0</v>
      </c>
      <c r="AH84" s="2275">
        <f>W84-V84-SUM(IFO!G33:G34)</f>
        <v>0</v>
      </c>
    </row>
    <row r="85" spans="1:34" ht="13.5" thickBot="1">
      <c r="A85" s="2621" t="s">
        <v>365</v>
      </c>
      <c r="B85" s="1009" t="s">
        <v>117</v>
      </c>
      <c r="C85" s="459">
        <f t="shared" ref="C85:J85" si="27">SUM(C70:C71,C77,C83,C84)</f>
        <v>0</v>
      </c>
      <c r="D85" s="460">
        <f t="shared" si="27"/>
        <v>0</v>
      </c>
      <c r="E85" s="456">
        <f t="shared" si="27"/>
        <v>0</v>
      </c>
      <c r="F85" s="459">
        <f t="shared" si="27"/>
        <v>0</v>
      </c>
      <c r="G85" s="459">
        <f t="shared" si="27"/>
        <v>0</v>
      </c>
      <c r="H85" s="460">
        <f t="shared" si="27"/>
        <v>0</v>
      </c>
      <c r="I85" s="459">
        <f t="shared" si="27"/>
        <v>0</v>
      </c>
      <c r="J85" s="461">
        <f t="shared" si="27"/>
        <v>0</v>
      </c>
      <c r="K85" s="161"/>
      <c r="L85" s="462">
        <f>SUM(L70:L71,L77,L83,L84)</f>
        <v>0</v>
      </c>
      <c r="M85" s="459">
        <f>SUM(M70:M71,M77,M83,M84)</f>
        <v>0</v>
      </c>
      <c r="N85" s="460">
        <f>SUM(N70:N71,N77,N83,N84)</f>
        <v>0</v>
      </c>
      <c r="O85" s="460">
        <f>SUM(O70:O71,O77,O83,O84)</f>
        <v>0</v>
      </c>
      <c r="P85" s="461">
        <f>SUM(P70:P71,P77,P83,P84)</f>
        <v>0</v>
      </c>
      <c r="Q85" s="54"/>
      <c r="R85" s="462">
        <f>SUM(R70:R71,R77,R83,R84)</f>
        <v>0</v>
      </c>
      <c r="S85" s="459">
        <f>SUM(S70:S71,S77,S83,S84)</f>
        <v>0</v>
      </c>
      <c r="T85" s="461">
        <f>SUM(T70:T71,T77,T83,T84)</f>
        <v>0</v>
      </c>
      <c r="U85" s="54"/>
      <c r="V85" s="493">
        <f>SUM(V70:V71,V77,V83,V84)</f>
        <v>0</v>
      </c>
      <c r="W85" s="492">
        <f>SUM(W70:W71,W77,W83,W84)</f>
        <v>0</v>
      </c>
      <c r="X85" s="61"/>
      <c r="Y85" s="1858">
        <f>SUM(Y70,Y71,Y77,Y83,Y84)</f>
        <v>0</v>
      </c>
      <c r="Z85" s="1135"/>
      <c r="AA85" s="1136"/>
      <c r="AB85" s="1137"/>
      <c r="AC85" s="1138"/>
      <c r="AD85" s="1313"/>
      <c r="AE85" s="1966" t="str">
        <f>IF(ISERROR((F83)/((F83)/1000*invanare)),"",SUM(AA77,AA83)*100/AA90)</f>
        <v/>
      </c>
      <c r="AF85" s="1164">
        <f t="shared" si="8"/>
        <v>0</v>
      </c>
      <c r="AG85" s="1962">
        <f t="shared" si="25"/>
        <v>0</v>
      </c>
      <c r="AH85" s="2277">
        <f>SUM(AH70,AH71,AH77,AH83,AH84)</f>
        <v>0</v>
      </c>
    </row>
    <row r="86" spans="1:34" ht="40.5" customHeight="1" thickBot="1">
      <c r="A86" s="2630"/>
      <c r="B86" s="1013" t="s">
        <v>118</v>
      </c>
      <c r="C86" s="564"/>
      <c r="D86" s="563"/>
      <c r="E86" s="561"/>
      <c r="F86" s="561"/>
      <c r="G86" s="561"/>
      <c r="H86" s="563"/>
      <c r="I86" s="561"/>
      <c r="J86" s="562"/>
      <c r="K86" s="32"/>
      <c r="L86" s="560"/>
      <c r="M86" s="561"/>
      <c r="N86" s="563"/>
      <c r="O86" s="563"/>
      <c r="P86" s="562"/>
      <c r="Q86" s="55"/>
      <c r="R86" s="560"/>
      <c r="S86" s="561"/>
      <c r="T86" s="562"/>
      <c r="U86" s="55"/>
      <c r="V86" s="558"/>
      <c r="W86" s="559"/>
      <c r="X86" s="32"/>
      <c r="Y86" s="2033" t="s">
        <v>1338</v>
      </c>
      <c r="Z86" s="2967"/>
      <c r="AA86" s="2965"/>
      <c r="AB86" s="2965"/>
      <c r="AC86" s="2966"/>
      <c r="AD86" s="1115"/>
      <c r="AE86" s="1158" t="str">
        <f>IF(ISERROR((F83)/((F83)/1000*invanare)),"",(F83/((AA83-AA84)/100000*invanare)))</f>
        <v/>
      </c>
      <c r="AF86" s="1970"/>
      <c r="AG86" s="1972"/>
      <c r="AH86" s="2276"/>
    </row>
    <row r="87" spans="1:34">
      <c r="A87" s="2610" t="s">
        <v>272</v>
      </c>
      <c r="B87" s="1006" t="s">
        <v>121</v>
      </c>
      <c r="C87" s="21"/>
      <c r="D87" s="22"/>
      <c r="E87" s="21"/>
      <c r="F87" s="21"/>
      <c r="G87" s="21"/>
      <c r="H87" s="22"/>
      <c r="I87" s="21"/>
      <c r="J87" s="109"/>
      <c r="K87" s="32"/>
      <c r="L87" s="112"/>
      <c r="M87" s="21"/>
      <c r="N87" s="22"/>
      <c r="O87" s="453">
        <f>IF(I$120=0,0,(SUM(C87:E87,G87,I87:M87)-V87)/(SUM(C$110:E$110,G$110,I$110:M$110)-V$110)*I$120)</f>
        <v>0</v>
      </c>
      <c r="P87" s="452">
        <f>SUM(C87:O87)</f>
        <v>0</v>
      </c>
      <c r="Q87" s="54"/>
      <c r="R87" s="112"/>
      <c r="S87" s="21"/>
      <c r="T87" s="109"/>
      <c r="U87" s="55"/>
      <c r="V87" s="122"/>
      <c r="W87" s="491">
        <f>SUM(R87:V87)</f>
        <v>0</v>
      </c>
      <c r="X87" s="61"/>
      <c r="Y87" s="1121">
        <f>P87-V87-SUM(Motpart!Y36:Z36)</f>
        <v>0</v>
      </c>
      <c r="Z87" s="1132" t="e">
        <f>(P87-W87)*1000/invanare</f>
        <v>#DIV/0!</v>
      </c>
      <c r="AA87" s="1133" t="e">
        <f>Y87*1000/invanare</f>
        <v>#DIV/0!</v>
      </c>
      <c r="AB87" s="1163"/>
      <c r="AC87" s="1134" t="str">
        <f>IF(ISERROR((AA87-AB87)/AB87)," ",((AA87-AB87)/AB87))</f>
        <v xml:space="preserve"> </v>
      </c>
      <c r="AD87" s="1120" t="e">
        <f>IF(AA87="","Belopp saknas",IF(OR(AC87&gt;20%,AC87&lt;-50%),"Kommentera förändringen",IF(OR(AC87&gt;2%),"Kontrollera förändringen","")))</f>
        <v>#DIV/0!</v>
      </c>
      <c r="AE87" s="1125"/>
      <c r="AF87" s="1121">
        <f t="shared" si="8"/>
        <v>0</v>
      </c>
      <c r="AG87" s="1959">
        <f t="shared" si="25"/>
        <v>0</v>
      </c>
      <c r="AH87" s="2275">
        <f>W87-V87-SUM(Motpart!Y36:Z36)</f>
        <v>0</v>
      </c>
    </row>
    <row r="88" spans="1:34">
      <c r="A88" s="2610" t="s">
        <v>273</v>
      </c>
      <c r="B88" s="1004" t="s">
        <v>122</v>
      </c>
      <c r="C88" s="24"/>
      <c r="D88" s="22"/>
      <c r="E88" s="24"/>
      <c r="F88" s="24"/>
      <c r="G88" s="24"/>
      <c r="H88" s="25"/>
      <c r="I88" s="24"/>
      <c r="J88" s="110"/>
      <c r="K88" s="32"/>
      <c r="L88" s="113"/>
      <c r="M88" s="24"/>
      <c r="N88" s="25"/>
      <c r="O88" s="453">
        <f>IF(I$120=0,0,(SUM(C88:E88,G88,I88:M88)-V88)/(SUM(C$110:E$110,G$110,I$110:M$110)-V$110)*I$120)</f>
        <v>0</v>
      </c>
      <c r="P88" s="452">
        <f>SUM(C88:O88)</f>
        <v>0</v>
      </c>
      <c r="Q88" s="54"/>
      <c r="R88" s="113"/>
      <c r="S88" s="24"/>
      <c r="T88" s="110"/>
      <c r="U88" s="55"/>
      <c r="V88" s="123"/>
      <c r="W88" s="491">
        <f>SUM(R88:V88)</f>
        <v>0</v>
      </c>
      <c r="X88" s="61"/>
      <c r="Y88" s="2031">
        <f>P88-V88-SUM(Motpart!Y37:Z37)</f>
        <v>0</v>
      </c>
      <c r="Z88" s="1132" t="e">
        <f>(P88-W88)*1000/invanare</f>
        <v>#DIV/0!</v>
      </c>
      <c r="AA88" s="1133" t="e">
        <f>Y88*1000/invanare</f>
        <v>#DIV/0!</v>
      </c>
      <c r="AB88" s="1163"/>
      <c r="AC88" s="1134" t="str">
        <f>IF(ISERROR((AA88-AB88)/AB88)," ",((AA88-AB88)/AB88))</f>
        <v xml:space="preserve"> </v>
      </c>
      <c r="AD88" s="1124" t="e">
        <f>IF(AA88="","Belopp saknas",IF(OR(AC88&gt;40%,AC88&lt;-40%),"Kommentera förändringen",IF(OR(AC88&gt;30%,AC88&lt;-30%),"Kontrollera förändringen","")))</f>
        <v>#DIV/0!</v>
      </c>
      <c r="AE88" s="1125"/>
      <c r="AF88" s="1121">
        <f t="shared" si="8"/>
        <v>0</v>
      </c>
      <c r="AG88" s="1959">
        <f t="shared" si="25"/>
        <v>0</v>
      </c>
      <c r="AH88" s="2275">
        <f>W88-V88-SUM(Motpart!Y37:Z37)</f>
        <v>0</v>
      </c>
    </row>
    <row r="89" spans="1:34" ht="12.75" customHeight="1" thickBot="1">
      <c r="A89" s="2621" t="s">
        <v>274</v>
      </c>
      <c r="B89" s="1009" t="s">
        <v>123</v>
      </c>
      <c r="C89" s="469">
        <f>SUM(C87:C88)</f>
        <v>0</v>
      </c>
      <c r="D89" s="470">
        <f t="shared" ref="D89:P89" si="28">SUM(D87:D88)</f>
        <v>0</v>
      </c>
      <c r="E89" s="469">
        <f t="shared" si="28"/>
        <v>0</v>
      </c>
      <c r="F89" s="469">
        <f t="shared" si="28"/>
        <v>0</v>
      </c>
      <c r="G89" s="469">
        <f t="shared" si="28"/>
        <v>0</v>
      </c>
      <c r="H89" s="470">
        <f t="shared" si="28"/>
        <v>0</v>
      </c>
      <c r="I89" s="469">
        <f t="shared" si="28"/>
        <v>0</v>
      </c>
      <c r="J89" s="471">
        <f t="shared" si="28"/>
        <v>0</v>
      </c>
      <c r="K89" s="162"/>
      <c r="L89" s="468">
        <f>SUM(L87:L88)</f>
        <v>0</v>
      </c>
      <c r="M89" s="469">
        <f t="shared" si="28"/>
        <v>0</v>
      </c>
      <c r="N89" s="470">
        <f t="shared" si="28"/>
        <v>0</v>
      </c>
      <c r="O89" s="470">
        <f t="shared" si="28"/>
        <v>0</v>
      </c>
      <c r="P89" s="471">
        <f t="shared" si="28"/>
        <v>0</v>
      </c>
      <c r="Q89" s="57"/>
      <c r="R89" s="468">
        <f>SUM(R87:R88)</f>
        <v>0</v>
      </c>
      <c r="S89" s="469">
        <f>SUM(S87:S88)</f>
        <v>0</v>
      </c>
      <c r="T89" s="471">
        <f>SUM(T87:T88)</f>
        <v>0</v>
      </c>
      <c r="U89" s="57"/>
      <c r="V89" s="495">
        <f>SUM(V87:V88)</f>
        <v>0</v>
      </c>
      <c r="W89" s="494">
        <f>SUM(W87:W88)</f>
        <v>0</v>
      </c>
      <c r="X89" s="62"/>
      <c r="Y89" s="2031">
        <f>P89-V89-SUM(Motpart!Y36:Z37)</f>
        <v>0</v>
      </c>
      <c r="Z89" s="1165" t="e">
        <f>(P89-W89)*1000/invanare</f>
        <v>#DIV/0!</v>
      </c>
      <c r="AA89" s="1166" t="e">
        <f>Y89*1000/invanare</f>
        <v>#DIV/0!</v>
      </c>
      <c r="AB89" s="1122"/>
      <c r="AC89" s="1167" t="str">
        <f>IF(ISERROR((AA89-AB89)/AB89)," ",((AA89-AB89)/AB89))</f>
        <v xml:space="preserve"> </v>
      </c>
      <c r="AD89" s="1124"/>
      <c r="AE89" s="1125"/>
      <c r="AF89" s="1855">
        <f t="shared" si="8"/>
        <v>0</v>
      </c>
      <c r="AG89" s="1963">
        <f t="shared" si="25"/>
        <v>0</v>
      </c>
      <c r="AH89" s="2280">
        <f>W89-V89-SUM(Motpart!Y36:Z37)</f>
        <v>0</v>
      </c>
    </row>
    <row r="90" spans="1:34" ht="12.75" customHeight="1" thickBot="1">
      <c r="A90" s="2621" t="s">
        <v>275</v>
      </c>
      <c r="B90" s="1009" t="s">
        <v>20</v>
      </c>
      <c r="C90" s="459">
        <f t="shared" ref="C90:J90" si="29">SUM(C17,C30,C43,C68,C85,C89)</f>
        <v>0</v>
      </c>
      <c r="D90" s="460">
        <f t="shared" si="29"/>
        <v>0</v>
      </c>
      <c r="E90" s="459">
        <f t="shared" si="29"/>
        <v>0</v>
      </c>
      <c r="F90" s="459">
        <f t="shared" si="29"/>
        <v>0</v>
      </c>
      <c r="G90" s="459">
        <f t="shared" si="29"/>
        <v>0</v>
      </c>
      <c r="H90" s="460">
        <f t="shared" si="29"/>
        <v>0</v>
      </c>
      <c r="I90" s="459">
        <f t="shared" si="29"/>
        <v>0</v>
      </c>
      <c r="J90" s="461">
        <f t="shared" si="29"/>
        <v>0</v>
      </c>
      <c r="K90" s="161"/>
      <c r="L90" s="462">
        <f>SUM(L17,L30,L43,L68,L85,L89)</f>
        <v>0</v>
      </c>
      <c r="M90" s="459">
        <f>SUM(M17,M30,M43,M68,M85,M89)</f>
        <v>0</v>
      </c>
      <c r="N90" s="460">
        <f>SUM(N17,N30,N43,N68,N85,N89)</f>
        <v>0</v>
      </c>
      <c r="O90" s="460">
        <f>SUM(O17,O30,O43,O68,O85,O89)</f>
        <v>0</v>
      </c>
      <c r="P90" s="461">
        <f>SUM(P17,P30,P43,P68,P85,P89)</f>
        <v>0</v>
      </c>
      <c r="Q90" s="54"/>
      <c r="R90" s="462">
        <f>SUM(R17,R30,R43,R68,R85,R89)</f>
        <v>0</v>
      </c>
      <c r="S90" s="459">
        <f>SUM(S17,S30,S43,S68,S85,S89)</f>
        <v>0</v>
      </c>
      <c r="T90" s="461">
        <f>SUM(T17,T30,T43,T68,T85,T89)</f>
        <v>0</v>
      </c>
      <c r="U90" s="54"/>
      <c r="V90" s="493">
        <f>SUM(V17,V30,V43,V68,V85,V89)</f>
        <v>0</v>
      </c>
      <c r="W90" s="492">
        <f>SUM(W17,W30,W43,W68,W85,W89)</f>
        <v>0</v>
      </c>
      <c r="X90" s="61"/>
      <c r="Y90" s="1164">
        <f>SUM(Y17,Y30,Y43,Y51,Y67,Y85,Y89)</f>
        <v>0</v>
      </c>
      <c r="Z90" s="1165" t="e">
        <f>(P90-W90)*1000/invanare</f>
        <v>#DIV/0!</v>
      </c>
      <c r="AA90" s="1166" t="e">
        <f>SUM(AA17,AA30,AA37,AA42,AA51,AA67,AA77,AA83,AA89)</f>
        <v>#DIV/0!</v>
      </c>
      <c r="AB90" s="1122"/>
      <c r="AC90" s="1967" t="str">
        <f>IF(ISERROR((AA90-AB90)/AB90)," ",((AA90-AB90)/AB90))</f>
        <v xml:space="preserve"> </v>
      </c>
      <c r="AD90" s="2361" t="e">
        <f>IF(AA90="","Belopp saknas",IF(OR(AC90&gt;40%,AC90&lt;-30%),"Kommentera förändringen",""))</f>
        <v>#DIV/0!</v>
      </c>
      <c r="AE90" s="1968" t="str">
        <f>IF(ISERROR(F90/(AA90/1000*invanare)),"",(F90/(AA90/100000*invanare)))</f>
        <v/>
      </c>
      <c r="AF90" s="1973">
        <f t="shared" si="8"/>
        <v>0</v>
      </c>
      <c r="AG90" s="1974">
        <f t="shared" si="25"/>
        <v>0</v>
      </c>
      <c r="AH90" s="2281">
        <f>SUM(AH17,AH30,AH43,AH51,AH67,AH85,AH89)</f>
        <v>0</v>
      </c>
    </row>
    <row r="91" spans="1:34" ht="38.25" customHeight="1" thickBot="1">
      <c r="A91" s="2625"/>
      <c r="B91" s="1010" t="s">
        <v>124</v>
      </c>
      <c r="C91" s="568"/>
      <c r="D91" s="569"/>
      <c r="E91" s="570"/>
      <c r="F91" s="570"/>
      <c r="G91" s="570"/>
      <c r="H91" s="569"/>
      <c r="I91" s="570"/>
      <c r="J91" s="571"/>
      <c r="K91" s="32"/>
      <c r="L91" s="576"/>
      <c r="M91" s="570"/>
      <c r="N91" s="569"/>
      <c r="O91" s="569"/>
      <c r="P91" s="571"/>
      <c r="Q91" s="55"/>
      <c r="R91" s="576"/>
      <c r="S91" s="570"/>
      <c r="T91" s="571"/>
      <c r="U91" s="55"/>
      <c r="V91" s="578"/>
      <c r="W91" s="579"/>
      <c r="X91" s="32"/>
      <c r="Y91" s="2033" t="s">
        <v>1341</v>
      </c>
      <c r="Z91" s="2967"/>
      <c r="AA91" s="2965"/>
      <c r="AB91" s="2965"/>
      <c r="AC91" s="2966"/>
      <c r="AD91" s="1115"/>
      <c r="AE91" s="1125" t="str">
        <f>IF(ISERROR(F90/(AA90/1000*invanare)),"",((SUM(Motpart!D40,Motpart!F40)-SUM(Motpart!D38,Motpart!D39,Motpart!F38,Motpart!F39))/(AA90/100000*invanare)))</f>
        <v/>
      </c>
      <c r="AF91" s="1853"/>
      <c r="AG91" s="1961"/>
      <c r="AH91" s="2278"/>
    </row>
    <row r="92" spans="1:34">
      <c r="A92" s="2625"/>
      <c r="B92" s="1010" t="s">
        <v>125</v>
      </c>
      <c r="C92" s="572"/>
      <c r="D92" s="573"/>
      <c r="E92" s="574"/>
      <c r="F92" s="574"/>
      <c r="G92" s="574"/>
      <c r="H92" s="573"/>
      <c r="I92" s="574"/>
      <c r="J92" s="575"/>
      <c r="K92" s="32"/>
      <c r="L92" s="577"/>
      <c r="M92" s="574"/>
      <c r="N92" s="573"/>
      <c r="O92" s="573"/>
      <c r="P92" s="575"/>
      <c r="Q92" s="55"/>
      <c r="R92" s="577"/>
      <c r="S92" s="574"/>
      <c r="T92" s="575"/>
      <c r="U92" s="55"/>
      <c r="V92" s="580"/>
      <c r="W92" s="581"/>
      <c r="X92" s="32"/>
      <c r="Y92" s="1854"/>
      <c r="Z92" s="1108"/>
      <c r="AA92" s="1108"/>
      <c r="AB92" s="1109"/>
      <c r="AC92" s="1110"/>
      <c r="AD92" s="1115"/>
      <c r="AE92" s="1148" t="e">
        <f>(C113-C109+D113-D109)*1000/invanare</f>
        <v>#DIV/0!</v>
      </c>
      <c r="AF92" s="1155"/>
      <c r="AG92" s="1960"/>
      <c r="AH92" s="2279"/>
    </row>
    <row r="93" spans="1:34" s="670" customFormat="1">
      <c r="A93" s="2631" t="s">
        <v>276</v>
      </c>
      <c r="B93" s="1019" t="s">
        <v>126</v>
      </c>
      <c r="C93" s="71"/>
      <c r="D93" s="1719"/>
      <c r="E93" s="71"/>
      <c r="F93" s="71"/>
      <c r="G93" s="71"/>
      <c r="H93" s="1719"/>
      <c r="I93" s="71"/>
      <c r="J93" s="108"/>
      <c r="K93" s="666"/>
      <c r="L93" s="552"/>
      <c r="M93" s="71"/>
      <c r="N93" s="1719"/>
      <c r="O93" s="1720">
        <f>IF(I$120=0,0,(SUM(C93:E93,G93,I93:M93)-V93)/(SUM(C$110:E$110,G$110,I$110:M$110)-V$110)*I$120)</f>
        <v>0</v>
      </c>
      <c r="P93" s="549">
        <f>SUM(C93:O93)</f>
        <v>0</v>
      </c>
      <c r="Q93" s="667"/>
      <c r="R93" s="552"/>
      <c r="S93" s="71"/>
      <c r="T93" s="108"/>
      <c r="U93" s="668"/>
      <c r="V93" s="1721"/>
      <c r="W93" s="1722">
        <f>SUM(R93:V93)</f>
        <v>0</v>
      </c>
      <c r="X93" s="669"/>
      <c r="Y93" s="1121">
        <f>P93-V93-(IF(AND(Motpart!$Y$38="",Motpart!$Z$38=""),0,IF(AND(Motpart!$Y$38=0,Motpart!$Z$38=0),0,((T93/$T$109)*(Motpart!$Y$38+Motpart!$Z$38)))))</f>
        <v>0</v>
      </c>
      <c r="Z93" s="1168"/>
      <c r="AA93" s="1169"/>
      <c r="AB93" s="1169"/>
      <c r="AC93" s="1170"/>
      <c r="AD93" s="1171"/>
      <c r="AE93" s="1172" t="str">
        <f>IF(ISERROR(F90/(AA90/1000*invanare)),"",AE92*invanare/10/(P125-P109+J109))</f>
        <v/>
      </c>
      <c r="AF93" s="1121">
        <f t="shared" si="8"/>
        <v>0</v>
      </c>
      <c r="AG93" s="1959">
        <f t="shared" si="25"/>
        <v>0</v>
      </c>
      <c r="AH93" s="2275">
        <f>W93-V93-(IF(AND(Motpart!$Y$38="",Motpart!$Z$38=""),0,IF(AND(Motpart!$Y$38=0,Motpart!$Z$38=0),0,((T93/$T$109)*(Motpart!$Y$38+Motpart!$Z$38)))))</f>
        <v>0</v>
      </c>
    </row>
    <row r="94" spans="1:34">
      <c r="A94" s="2610" t="s">
        <v>277</v>
      </c>
      <c r="B94" s="1004" t="s">
        <v>21</v>
      </c>
      <c r="C94" s="24"/>
      <c r="D94" s="22"/>
      <c r="E94" s="24"/>
      <c r="F94" s="24"/>
      <c r="G94" s="24"/>
      <c r="H94" s="25"/>
      <c r="I94" s="24"/>
      <c r="J94" s="110"/>
      <c r="K94" s="32"/>
      <c r="L94" s="113"/>
      <c r="M94" s="24"/>
      <c r="N94" s="25"/>
      <c r="O94" s="453">
        <f>IF(I$120=0,0,(SUM(C94:E94,G94,I94:M94)-V94)/(SUM(C$110:E$110,G$110,I$110:M$110)-V$110)*I$120)</f>
        <v>0</v>
      </c>
      <c r="P94" s="452">
        <f>SUM(C94:O94)</f>
        <v>0</v>
      </c>
      <c r="Q94" s="54"/>
      <c r="R94" s="113"/>
      <c r="S94" s="24"/>
      <c r="T94" s="110"/>
      <c r="U94" s="55"/>
      <c r="V94" s="123"/>
      <c r="W94" s="491">
        <f>SUM(R94:V94)</f>
        <v>0</v>
      </c>
      <c r="X94" s="61"/>
      <c r="Y94" s="1121">
        <f>P94-V94-(IF(AND(Motpart!$Y$38="",Motpart!$Z$38=""),0,IF(AND(Motpart!$Y$38=0,Motpart!$Z$38=0),0,((T94/$T$109)*(Motpart!$Y$38+Motpart!$Z$38)))))</f>
        <v>0</v>
      </c>
      <c r="Z94" s="1159"/>
      <c r="AA94" s="1160"/>
      <c r="AB94" s="1161"/>
      <c r="AC94" s="1162"/>
      <c r="AD94" s="1115"/>
      <c r="AE94" s="1125"/>
      <c r="AF94" s="1121">
        <f t="shared" si="8"/>
        <v>0</v>
      </c>
      <c r="AG94" s="1959">
        <f t="shared" si="25"/>
        <v>0</v>
      </c>
      <c r="AH94" s="2275">
        <f>W94-V94-(IF(AND(Motpart!$Y$38="",Motpart!$Z$38=""),0,IF(AND(Motpart!$Y$38=0,Motpart!$Z$38=0),0,((T94/$T$109)*(Motpart!$Y$38+Motpart!$Z$38)))))</f>
        <v>0</v>
      </c>
    </row>
    <row r="95" spans="1:34">
      <c r="A95" s="2610" t="s">
        <v>278</v>
      </c>
      <c r="B95" s="1004" t="s">
        <v>22</v>
      </c>
      <c r="C95" s="24"/>
      <c r="D95" s="22"/>
      <c r="E95" s="24"/>
      <c r="F95" s="24"/>
      <c r="G95" s="24"/>
      <c r="H95" s="25"/>
      <c r="I95" s="24"/>
      <c r="J95" s="110"/>
      <c r="K95" s="32"/>
      <c r="L95" s="113"/>
      <c r="M95" s="24"/>
      <c r="N95" s="25"/>
      <c r="O95" s="453">
        <f>IF(I$120=0,0,(SUM(C95:E95,G95,I95:M95)-V95)/(SUM(C$110:E$110,G$110,I$110:M$110)-V$110)*I$120)</f>
        <v>0</v>
      </c>
      <c r="P95" s="452">
        <f>SUM(C95:O95)</f>
        <v>0</v>
      </c>
      <c r="Q95" s="54"/>
      <c r="R95" s="113"/>
      <c r="S95" s="24"/>
      <c r="T95" s="110"/>
      <c r="U95" s="55"/>
      <c r="V95" s="123"/>
      <c r="W95" s="491">
        <f>SUM(R95:V95)</f>
        <v>0</v>
      </c>
      <c r="X95" s="61"/>
      <c r="Y95" s="1121">
        <f>P95-V95-(IF(AND(Motpart!$Y$38="",Motpart!$Z$38=""),0,IF(AND(Motpart!$Y$38=0,Motpart!$Z$38=0),0,((T95/$T$109)*(Motpart!$Y$38+Motpart!$Z$38)))))</f>
        <v>0</v>
      </c>
      <c r="Z95" s="1159"/>
      <c r="AA95" s="1160"/>
      <c r="AB95" s="1161"/>
      <c r="AC95" s="1162"/>
      <c r="AD95" s="1115"/>
      <c r="AE95" s="1125"/>
      <c r="AF95" s="1121">
        <f t="shared" si="8"/>
        <v>0</v>
      </c>
      <c r="AG95" s="1959">
        <f t="shared" si="25"/>
        <v>0</v>
      </c>
      <c r="AH95" s="2275">
        <f>W95-V95-(IF(AND(Motpart!$Y$38="",Motpart!$Z$38=""),0,IF(AND(Motpart!$Y$38=0,Motpart!$Z$38=0),0,((T95/$T$109)*(Motpart!$Y$38+Motpart!$Z$38)))))</f>
        <v>0</v>
      </c>
    </row>
    <row r="96" spans="1:34">
      <c r="A96" s="2610" t="s">
        <v>279</v>
      </c>
      <c r="B96" s="1004" t="s">
        <v>23</v>
      </c>
      <c r="C96" s="24"/>
      <c r="D96" s="22"/>
      <c r="E96" s="24"/>
      <c r="F96" s="24"/>
      <c r="G96" s="24"/>
      <c r="H96" s="25"/>
      <c r="I96" s="24"/>
      <c r="J96" s="110"/>
      <c r="K96" s="32"/>
      <c r="L96" s="113"/>
      <c r="M96" s="24"/>
      <c r="N96" s="25"/>
      <c r="O96" s="453">
        <f>IF(I$120=0,0,(SUM(C96:E96,G96,I96:M96)-V96)/(SUM(C$110:E$110,G$110,I$110:M$110)-V$110)*I$120)</f>
        <v>0</v>
      </c>
      <c r="P96" s="452">
        <f>SUM(C96:O96)</f>
        <v>0</v>
      </c>
      <c r="Q96" s="54"/>
      <c r="R96" s="113"/>
      <c r="S96" s="24"/>
      <c r="T96" s="110"/>
      <c r="U96" s="55"/>
      <c r="V96" s="123"/>
      <c r="W96" s="491">
        <f>SUM(R96:V96)</f>
        <v>0</v>
      </c>
      <c r="X96" s="61"/>
      <c r="Y96" s="1121">
        <f>P96-V96-(IF(AND(Motpart!$Y$38="",Motpart!$Z$38=""),0,IF(AND(Motpart!$Y$38=0,Motpart!$Z$38=0),0,((T96/$T$109)*(Motpart!$Y$38+Motpart!$Z$38)))))</f>
        <v>0</v>
      </c>
      <c r="Z96" s="1159"/>
      <c r="AA96" s="1160"/>
      <c r="AB96" s="1161"/>
      <c r="AC96" s="1162"/>
      <c r="AD96" s="1115"/>
      <c r="AE96" s="1125"/>
      <c r="AF96" s="1121">
        <f t="shared" si="8"/>
        <v>0</v>
      </c>
      <c r="AG96" s="1959">
        <f t="shared" si="25"/>
        <v>0</v>
      </c>
      <c r="AH96" s="2275">
        <f>W96-V96-(IF(AND(Motpart!$Y$38="",Motpart!$Z$38=""),0,IF(AND(Motpart!$Y$38=0,Motpart!$Z$38=0),0,((T96/$T$109)*(Motpart!$Y$38+Motpart!$Z$38)))))</f>
        <v>0</v>
      </c>
    </row>
    <row r="97" spans="1:34">
      <c r="A97" s="2610" t="s">
        <v>280</v>
      </c>
      <c r="B97" s="1004" t="s">
        <v>24</v>
      </c>
      <c r="C97" s="445">
        <f>SUM(C93:C96)</f>
        <v>0</v>
      </c>
      <c r="D97" s="27">
        <f t="shared" ref="D97:P97" si="30">SUM(D93:D96)</f>
        <v>0</v>
      </c>
      <c r="E97" s="445">
        <f t="shared" si="30"/>
        <v>0</v>
      </c>
      <c r="F97" s="445">
        <f t="shared" si="30"/>
        <v>0</v>
      </c>
      <c r="G97" s="445">
        <f t="shared" si="30"/>
        <v>0</v>
      </c>
      <c r="H97" s="27">
        <f t="shared" si="30"/>
        <v>0</v>
      </c>
      <c r="I97" s="445">
        <f t="shared" si="30"/>
        <v>0</v>
      </c>
      <c r="J97" s="114">
        <f t="shared" si="30"/>
        <v>0</v>
      </c>
      <c r="K97" s="161"/>
      <c r="L97" s="454">
        <f>SUM(L93:L96)</f>
        <v>0</v>
      </c>
      <c r="M97" s="445">
        <f t="shared" si="30"/>
        <v>0</v>
      </c>
      <c r="N97" s="27">
        <f t="shared" si="30"/>
        <v>0</v>
      </c>
      <c r="O97" s="27">
        <f t="shared" si="30"/>
        <v>0</v>
      </c>
      <c r="P97" s="114">
        <f t="shared" si="30"/>
        <v>0</v>
      </c>
      <c r="Q97" s="54"/>
      <c r="R97" s="454">
        <f>SUM(R93:R96)</f>
        <v>0</v>
      </c>
      <c r="S97" s="445">
        <f>SUM(S93:S96)</f>
        <v>0</v>
      </c>
      <c r="T97" s="114">
        <f>SUM(T93:T96)</f>
        <v>0</v>
      </c>
      <c r="U97" s="55"/>
      <c r="V97" s="126">
        <f>SUM(V93:V96)</f>
        <v>0</v>
      </c>
      <c r="W97" s="127">
        <f>SUM(W93:W96)</f>
        <v>0</v>
      </c>
      <c r="X97" s="61"/>
      <c r="Y97" s="1121">
        <f>SUM(Y93:Y96)</f>
        <v>0</v>
      </c>
      <c r="Z97" s="1159"/>
      <c r="AA97" s="1160"/>
      <c r="AB97" s="1161"/>
      <c r="AC97" s="1162"/>
      <c r="AD97" s="1115"/>
      <c r="AE97" s="1125"/>
      <c r="AF97" s="1121">
        <f t="shared" si="8"/>
        <v>0</v>
      </c>
      <c r="AG97" s="1959">
        <f t="shared" si="25"/>
        <v>0</v>
      </c>
      <c r="AH97" s="2275">
        <f>SUM(AH93:AH96)</f>
        <v>0</v>
      </c>
    </row>
    <row r="98" spans="1:34">
      <c r="A98" s="2630"/>
      <c r="B98" s="1013" t="s">
        <v>127</v>
      </c>
      <c r="C98" s="588"/>
      <c r="D98" s="587"/>
      <c r="E98" s="585"/>
      <c r="F98" s="585"/>
      <c r="G98" s="585"/>
      <c r="H98" s="587"/>
      <c r="I98" s="585"/>
      <c r="J98" s="586"/>
      <c r="K98" s="32"/>
      <c r="L98" s="584"/>
      <c r="M98" s="585"/>
      <c r="N98" s="587"/>
      <c r="O98" s="587"/>
      <c r="P98" s="586"/>
      <c r="Q98" s="55"/>
      <c r="R98" s="584"/>
      <c r="S98" s="585"/>
      <c r="T98" s="586"/>
      <c r="U98" s="55"/>
      <c r="V98" s="582"/>
      <c r="W98" s="583"/>
      <c r="X98" s="32"/>
      <c r="Y98" s="1121"/>
      <c r="Z98" s="1159"/>
      <c r="AA98" s="1160"/>
      <c r="AB98" s="1161"/>
      <c r="AC98" s="1162"/>
      <c r="AD98" s="1115"/>
      <c r="AE98" s="1125"/>
      <c r="AF98" s="1121"/>
      <c r="AG98" s="1959"/>
      <c r="AH98" s="2275"/>
    </row>
    <row r="99" spans="1:34">
      <c r="A99" s="2610" t="s">
        <v>281</v>
      </c>
      <c r="B99" s="1006" t="s">
        <v>128</v>
      </c>
      <c r="C99" s="21"/>
      <c r="D99" s="22"/>
      <c r="E99" s="21"/>
      <c r="F99" s="21"/>
      <c r="G99" s="21"/>
      <c r="H99" s="22"/>
      <c r="I99" s="21"/>
      <c r="J99" s="109"/>
      <c r="K99" s="32"/>
      <c r="L99" s="112"/>
      <c r="M99" s="21"/>
      <c r="N99" s="22"/>
      <c r="O99" s="453">
        <f>IF(I$120=0,0,(SUM(C99:E99,G99,I99:M99)-V99)/(SUM(C$110:E$110,G$110,I$110:M$110)-V$110)*I$120)</f>
        <v>0</v>
      </c>
      <c r="P99" s="452">
        <f>SUM(C99:O99)</f>
        <v>0</v>
      </c>
      <c r="Q99" s="54"/>
      <c r="R99" s="112"/>
      <c r="S99" s="21"/>
      <c r="T99" s="109"/>
      <c r="U99" s="55"/>
      <c r="V99" s="122"/>
      <c r="W99" s="491">
        <f>SUM(R99:V99)</f>
        <v>0</v>
      </c>
      <c r="X99" s="61"/>
      <c r="Y99" s="1121">
        <f>P99-V99-(IF(AND(Motpart!$Y$38="",Motpart!$Z$38=""),0,IF(AND(Motpart!$Y$38=0,Motpart!$Z$38=0),0,((T99/$T$109)*(Motpart!$Y$38+Motpart!$Z$38)))))</f>
        <v>0</v>
      </c>
      <c r="Z99" s="1159"/>
      <c r="AA99" s="1160"/>
      <c r="AB99" s="1161"/>
      <c r="AC99" s="1162"/>
      <c r="AD99" s="1115"/>
      <c r="AE99" s="1125"/>
      <c r="AF99" s="1121">
        <f t="shared" ref="AF99:AF108" si="31">P99-W99</f>
        <v>0</v>
      </c>
      <c r="AG99" s="1959">
        <f t="shared" si="25"/>
        <v>0</v>
      </c>
      <c r="AH99" s="2275">
        <f>W99-V99-(IF(AND(Motpart!$Y$38="",Motpart!$Z$38=""),0,IF(AND(Motpart!$Y$38=0,Motpart!$Z$38=0),0,((T99/$T$109)*(Motpart!$Y$38+Motpart!$Z$38)))))</f>
        <v>0</v>
      </c>
    </row>
    <row r="100" spans="1:34">
      <c r="A100" s="2610" t="s">
        <v>282</v>
      </c>
      <c r="B100" s="1012" t="s">
        <v>1094</v>
      </c>
      <c r="C100" s="24"/>
      <c r="D100" s="22"/>
      <c r="E100" s="24"/>
      <c r="F100" s="24"/>
      <c r="G100" s="24"/>
      <c r="H100" s="25"/>
      <c r="I100" s="24"/>
      <c r="J100" s="110"/>
      <c r="K100" s="32"/>
      <c r="L100" s="113"/>
      <c r="M100" s="24"/>
      <c r="N100" s="25"/>
      <c r="O100" s="453">
        <f>IF(I$120=0,0,(SUM(C100:E100,G100,I100:M100)-V100)/(SUM(C$110:E$110,G$110,I$110:M$110)-V$110)*I$120)</f>
        <v>0</v>
      </c>
      <c r="P100" s="452">
        <f>SUM(C100:O100)</f>
        <v>0</v>
      </c>
      <c r="Q100" s="54"/>
      <c r="R100" s="2333"/>
      <c r="S100" s="24"/>
      <c r="T100" s="110"/>
      <c r="U100" s="55"/>
      <c r="V100" s="123"/>
      <c r="W100" s="491">
        <f>SUM(R100:V100)</f>
        <v>0</v>
      </c>
      <c r="X100" s="61"/>
      <c r="Y100" s="1121">
        <f>P100-V100-(IF(AND(Motpart!$Y$38="",Motpart!$Z$38=""),0,IF(AND(Motpart!$Y$38=0,Motpart!$Z$38=0),0,((T100/$T$109)*(Motpart!$Y$38+Motpart!$Z$38)))))</f>
        <v>0</v>
      </c>
      <c r="Z100" s="1173"/>
      <c r="AA100" s="1160"/>
      <c r="AB100" s="1161"/>
      <c r="AC100" s="1162"/>
      <c r="AD100" s="1154" t="str">
        <f>IF(AND(C100&gt;5000,R100&lt;50),"Kommentera Taxor o avgifter","")</f>
        <v/>
      </c>
      <c r="AE100" s="1148"/>
      <c r="AF100" s="1121">
        <f t="shared" si="31"/>
        <v>0</v>
      </c>
      <c r="AG100" s="1959">
        <f t="shared" si="25"/>
        <v>0</v>
      </c>
      <c r="AH100" s="2275">
        <f>W100-V100-(IF(AND(Motpart!$Y$38="",Motpart!$Z$38=""),0,IF(AND(Motpart!$Y$38=0,Motpart!$Z$38=0),0,((T100/$T$109)*(Motpart!$Y$38+Motpart!$Z$38)))))</f>
        <v>0</v>
      </c>
    </row>
    <row r="101" spans="1:34">
      <c r="A101" s="2610" t="s">
        <v>283</v>
      </c>
      <c r="B101" s="1004" t="s">
        <v>25</v>
      </c>
      <c r="C101" s="24"/>
      <c r="D101" s="22"/>
      <c r="E101" s="24"/>
      <c r="F101" s="24"/>
      <c r="G101" s="24"/>
      <c r="H101" s="25"/>
      <c r="I101" s="24"/>
      <c r="J101" s="110"/>
      <c r="K101" s="32"/>
      <c r="L101" s="113"/>
      <c r="M101" s="24"/>
      <c r="N101" s="25"/>
      <c r="O101" s="453">
        <f>IF(I$120=0,0,(SUM(C101:E101,G101,I101:M101)-V101)/(SUM(C$110:E$110,G$110,I$110:M$110)-V$110)*I$120)</f>
        <v>0</v>
      </c>
      <c r="P101" s="452">
        <f>SUM(C101:O101)</f>
        <v>0</v>
      </c>
      <c r="Q101" s="54"/>
      <c r="R101" s="113"/>
      <c r="S101" s="24"/>
      <c r="T101" s="110"/>
      <c r="U101" s="55"/>
      <c r="V101" s="123"/>
      <c r="W101" s="491">
        <f>SUM(R101:V101)</f>
        <v>0</v>
      </c>
      <c r="X101" s="61"/>
      <c r="Y101" s="1121">
        <f>P101-V101-(IF(AND(Motpart!$Y$38="",Motpart!$Z$38=""),0,IF(AND(Motpart!$Y$38=0,Motpart!$Z$38=0),0,((T101/$T$109)*(Motpart!$Y$38+Motpart!$Z$38)))))</f>
        <v>0</v>
      </c>
      <c r="Z101" s="1159"/>
      <c r="AA101" s="1160"/>
      <c r="AB101" s="1161"/>
      <c r="AC101" s="1162"/>
      <c r="AD101" s="1115"/>
      <c r="AE101" s="1125"/>
      <c r="AF101" s="1121">
        <f t="shared" si="31"/>
        <v>0</v>
      </c>
      <c r="AG101" s="1959">
        <f t="shared" si="25"/>
        <v>0</v>
      </c>
      <c r="AH101" s="2275">
        <f>W101-V101-(IF(AND(Motpart!$Y$38="",Motpart!$Z$38=""),0,IF(AND(Motpart!$Y$38=0,Motpart!$Z$38=0),0,((T101/$T$109)*(Motpart!$Y$38+Motpart!$Z$38)))))</f>
        <v>0</v>
      </c>
    </row>
    <row r="102" spans="1:34">
      <c r="A102" s="2610" t="s">
        <v>284</v>
      </c>
      <c r="B102" s="1004" t="s">
        <v>26</v>
      </c>
      <c r="C102" s="445">
        <f>SUM(C99:C101)</f>
        <v>0</v>
      </c>
      <c r="D102" s="27">
        <f t="shared" ref="D102:P102" si="32">SUM(D99:D101)</f>
        <v>0</v>
      </c>
      <c r="E102" s="445">
        <f t="shared" si="32"/>
        <v>0</v>
      </c>
      <c r="F102" s="445">
        <f t="shared" si="32"/>
        <v>0</v>
      </c>
      <c r="G102" s="445">
        <f t="shared" si="32"/>
        <v>0</v>
      </c>
      <c r="H102" s="27">
        <f t="shared" si="32"/>
        <v>0</v>
      </c>
      <c r="I102" s="445">
        <f t="shared" si="32"/>
        <v>0</v>
      </c>
      <c r="J102" s="114">
        <f t="shared" si="32"/>
        <v>0</v>
      </c>
      <c r="K102" s="161"/>
      <c r="L102" s="454">
        <f>SUM(L99:L101)</f>
        <v>0</v>
      </c>
      <c r="M102" s="445">
        <f t="shared" si="32"/>
        <v>0</v>
      </c>
      <c r="N102" s="27">
        <f t="shared" si="32"/>
        <v>0</v>
      </c>
      <c r="O102" s="27">
        <f t="shared" si="32"/>
        <v>0</v>
      </c>
      <c r="P102" s="114">
        <f t="shared" si="32"/>
        <v>0</v>
      </c>
      <c r="Q102" s="54"/>
      <c r="R102" s="454">
        <f>SUM(R99:R101)</f>
        <v>0</v>
      </c>
      <c r="S102" s="445">
        <f>SUM(S99:S101)</f>
        <v>0</v>
      </c>
      <c r="T102" s="114">
        <f>SUM(T99:T101)</f>
        <v>0</v>
      </c>
      <c r="U102" s="54"/>
      <c r="V102" s="126">
        <f>SUM(V99:V101)</f>
        <v>0</v>
      </c>
      <c r="W102" s="127">
        <f>SUM(W99:W101)</f>
        <v>0</v>
      </c>
      <c r="X102" s="61"/>
      <c r="Y102" s="1121">
        <f>SUM(Y99:Y101)</f>
        <v>0</v>
      </c>
      <c r="Z102" s="1159"/>
      <c r="AA102" s="1160"/>
      <c r="AB102" s="1161"/>
      <c r="AC102" s="1162"/>
      <c r="AD102" s="1115"/>
      <c r="AE102" s="1125"/>
      <c r="AF102" s="1121">
        <f t="shared" si="31"/>
        <v>0</v>
      </c>
      <c r="AG102" s="1959">
        <f t="shared" si="25"/>
        <v>0</v>
      </c>
      <c r="AH102" s="2275">
        <f>SUM(AH99:AH101)</f>
        <v>0</v>
      </c>
    </row>
    <row r="103" spans="1:34">
      <c r="A103" s="2630"/>
      <c r="B103" s="1013" t="s">
        <v>129</v>
      </c>
      <c r="C103" s="588"/>
      <c r="D103" s="587"/>
      <c r="E103" s="585"/>
      <c r="F103" s="585"/>
      <c r="G103" s="585"/>
      <c r="H103" s="587"/>
      <c r="I103" s="585"/>
      <c r="J103" s="586"/>
      <c r="K103" s="32"/>
      <c r="L103" s="584"/>
      <c r="M103" s="585"/>
      <c r="N103" s="587"/>
      <c r="O103" s="587"/>
      <c r="P103" s="586"/>
      <c r="Q103" s="55"/>
      <c r="R103" s="584"/>
      <c r="S103" s="585"/>
      <c r="T103" s="586"/>
      <c r="U103" s="55"/>
      <c r="V103" s="582"/>
      <c r="W103" s="583"/>
      <c r="X103" s="32"/>
      <c r="Y103" s="1121"/>
      <c r="Z103" s="1107"/>
      <c r="AA103" s="2083"/>
      <c r="AB103" s="2084"/>
      <c r="AC103" s="1174"/>
      <c r="AD103" s="1115"/>
      <c r="AE103" s="1125"/>
      <c r="AF103" s="1121"/>
      <c r="AG103" s="1959"/>
      <c r="AH103" s="2275"/>
    </row>
    <row r="104" spans="1:34">
      <c r="A104" s="2610" t="s">
        <v>285</v>
      </c>
      <c r="B104" s="1006" t="s">
        <v>130</v>
      </c>
      <c r="C104" s="21"/>
      <c r="D104" s="22"/>
      <c r="E104" s="21"/>
      <c r="F104" s="21"/>
      <c r="G104" s="21"/>
      <c r="H104" s="22"/>
      <c r="I104" s="21"/>
      <c r="J104" s="109"/>
      <c r="K104" s="32"/>
      <c r="L104" s="112"/>
      <c r="M104" s="21"/>
      <c r="N104" s="22"/>
      <c r="O104" s="453">
        <f>IF(I$120=0,0,(SUM(C104:E104,G104,I104:M104)-V104)/(SUM(C$110:E$110,G$110,I$110:M$110)-V$110)*I$120)</f>
        <v>0</v>
      </c>
      <c r="P104" s="452">
        <f>SUM(C104:O104)</f>
        <v>0</v>
      </c>
      <c r="Q104" s="54"/>
      <c r="R104" s="2335"/>
      <c r="S104" s="21"/>
      <c r="T104" s="109"/>
      <c r="U104" s="55"/>
      <c r="V104" s="122"/>
      <c r="W104" s="491">
        <f>SUM(R104:V104)</f>
        <v>0</v>
      </c>
      <c r="X104" s="61"/>
      <c r="Y104" s="1121">
        <f>P104-V104-(IF(AND(Motpart!$Y$38="",Motpart!$Z$38=""),0,IF(AND(Motpart!$Y$38=0,Motpart!$Z$38=0),0,((T104/$T$109)*(Motpart!$Y$38+Motpart!$Z$38)))))</f>
        <v>0</v>
      </c>
      <c r="Z104" s="2030"/>
      <c r="AA104" s="2012"/>
      <c r="AB104" s="2012"/>
      <c r="AC104" s="2013"/>
      <c r="AD104" s="1127" t="str">
        <f>IF(AND(C104&gt;5000,R104&lt;50),"Kommentera Taxor o avgifter","")</f>
        <v/>
      </c>
      <c r="AE104" s="1125"/>
      <c r="AF104" s="1121">
        <f t="shared" si="31"/>
        <v>0</v>
      </c>
      <c r="AG104" s="1959">
        <f t="shared" si="25"/>
        <v>0</v>
      </c>
      <c r="AH104" s="2275">
        <f>W104-V104-(IF(AND(Motpart!$Y$38="",Motpart!$Z$38=""),0,IF(AND(Motpart!$Y$38=0,Motpart!$Z$38=0),0,((T104/$T$109)*(Motpart!$Y$38+Motpart!$Z$38)))))</f>
        <v>0</v>
      </c>
    </row>
    <row r="105" spans="1:34">
      <c r="A105" s="2610" t="s">
        <v>286</v>
      </c>
      <c r="B105" s="1004" t="s">
        <v>27</v>
      </c>
      <c r="C105" s="24"/>
      <c r="D105" s="22"/>
      <c r="E105" s="24"/>
      <c r="F105" s="24"/>
      <c r="G105" s="24"/>
      <c r="H105" s="25"/>
      <c r="I105" s="24"/>
      <c r="J105" s="110"/>
      <c r="K105" s="32"/>
      <c r="L105" s="113"/>
      <c r="M105" s="24"/>
      <c r="N105" s="25"/>
      <c r="O105" s="453">
        <f>IF(I$120=0,0,(SUM(C105:E105,G105,I105:M105)-V105)/(SUM(C$110:E$110,G$110,I$110:M$110)-V$110)*I$120)</f>
        <v>0</v>
      </c>
      <c r="P105" s="452">
        <f>SUM(C105:O105)</f>
        <v>0</v>
      </c>
      <c r="Q105" s="54"/>
      <c r="R105" s="2333"/>
      <c r="S105" s="24"/>
      <c r="T105" s="110"/>
      <c r="U105" s="55"/>
      <c r="V105" s="123"/>
      <c r="W105" s="491">
        <f>SUM(R105:V105)</f>
        <v>0</v>
      </c>
      <c r="X105" s="61"/>
      <c r="Y105" s="1121">
        <f>P105-V105-(IF(AND(Motpart!$Y$38="",Motpart!$Z$38=""),0,IF(AND(Motpart!$Y$38=0,Motpart!$Z$38=0),0,((T105/$T$109)*(Motpart!$Y$38+Motpart!$Z$38)))))</f>
        <v>0</v>
      </c>
      <c r="Z105" s="2011"/>
      <c r="AA105" s="2012"/>
      <c r="AB105" s="2012"/>
      <c r="AC105" s="2013"/>
      <c r="AD105" s="1127" t="str">
        <f>IF(AND(C105&gt;5000,R105&lt;50),"Kommentera Taxor o avgifter","")</f>
        <v/>
      </c>
      <c r="AE105" s="1125"/>
      <c r="AF105" s="1121">
        <f t="shared" si="31"/>
        <v>0</v>
      </c>
      <c r="AG105" s="1959">
        <f t="shared" si="25"/>
        <v>0</v>
      </c>
      <c r="AH105" s="2275">
        <f>W105-V105-(IF(AND(Motpart!$Y$38="",Motpart!$Z$38=""),0,IF(AND(Motpart!$Y$38=0,Motpart!$Z$38=0),0,((T105/$T$109)*(Motpart!$Y$38+Motpart!$Z$38)))))</f>
        <v>0</v>
      </c>
    </row>
    <row r="106" spans="1:34">
      <c r="A106" s="2610" t="s">
        <v>287</v>
      </c>
      <c r="B106" s="1004" t="s">
        <v>28</v>
      </c>
      <c r="C106" s="24"/>
      <c r="D106" s="22"/>
      <c r="E106" s="24"/>
      <c r="F106" s="24"/>
      <c r="G106" s="24"/>
      <c r="H106" s="25"/>
      <c r="I106" s="24"/>
      <c r="J106" s="110"/>
      <c r="K106" s="32"/>
      <c r="L106" s="113"/>
      <c r="M106" s="24"/>
      <c r="N106" s="25"/>
      <c r="O106" s="453">
        <f>IF(I$120=0,0,(SUM(C106:E106,G106,I106:M106)-V106)/(SUM(C$110:E$110,G$110,I$110:M$110)-V$110)*I$120)</f>
        <v>0</v>
      </c>
      <c r="P106" s="452">
        <f>SUM(C106:O106)</f>
        <v>0</v>
      </c>
      <c r="Q106" s="54"/>
      <c r="R106" s="2333"/>
      <c r="S106" s="24"/>
      <c r="T106" s="110"/>
      <c r="U106" s="55"/>
      <c r="V106" s="123"/>
      <c r="W106" s="491">
        <f>SUM(R106:V106)</f>
        <v>0</v>
      </c>
      <c r="X106" s="61"/>
      <c r="Y106" s="1121">
        <f>P106-V106-(IF(AND(Motpart!$Y$38="",Motpart!$Z$38=""),0,IF(AND(Motpart!$Y$38=0,Motpart!$Z$38=0),0,((T106/$T$109)*(Motpart!$Y$38+Motpart!$Z$38)))))</f>
        <v>0</v>
      </c>
      <c r="Z106" s="2011"/>
      <c r="AA106" s="2012"/>
      <c r="AB106" s="2012"/>
      <c r="AC106" s="2013"/>
      <c r="AD106" s="1127" t="str">
        <f>IF(AND(C106&gt;5000,R106&lt;50),"Kommentera Taxor o avgifter","")</f>
        <v/>
      </c>
      <c r="AE106" s="1125"/>
      <c r="AF106" s="1121">
        <f t="shared" si="31"/>
        <v>0</v>
      </c>
      <c r="AG106" s="1959">
        <f t="shared" si="25"/>
        <v>0</v>
      </c>
      <c r="AH106" s="2275">
        <f>W106-V106-(IF(AND(Motpart!$Y$38="",Motpart!$Z$38=""),0,IF(AND(Motpart!$Y$38=0,Motpart!$Z$38=0),0,((T106/$T$109)*(Motpart!$Y$38+Motpart!$Z$38)))))</f>
        <v>0</v>
      </c>
    </row>
    <row r="107" spans="1:34">
      <c r="A107" s="2610" t="s">
        <v>288</v>
      </c>
      <c r="B107" s="1004" t="s">
        <v>29</v>
      </c>
      <c r="C107" s="24"/>
      <c r="D107" s="22"/>
      <c r="E107" s="24"/>
      <c r="F107" s="24"/>
      <c r="G107" s="24"/>
      <c r="H107" s="25"/>
      <c r="I107" s="24"/>
      <c r="J107" s="110"/>
      <c r="K107" s="32"/>
      <c r="L107" s="113"/>
      <c r="M107" s="24"/>
      <c r="N107" s="25"/>
      <c r="O107" s="453">
        <f>IF(I$120=0,0,(SUM(C107:E107,G107,I107:M107)-V107)/(SUM(C$110:E$110,G$110,I$110:M$110)-V$110)*I$120)</f>
        <v>0</v>
      </c>
      <c r="P107" s="452">
        <f>SUM(C107:O107)</f>
        <v>0</v>
      </c>
      <c r="Q107" s="54"/>
      <c r="R107" s="2333"/>
      <c r="S107" s="24"/>
      <c r="T107" s="110"/>
      <c r="U107" s="55"/>
      <c r="V107" s="123"/>
      <c r="W107" s="491">
        <f>SUM(R107:V107)</f>
        <v>0</v>
      </c>
      <c r="X107" s="61"/>
      <c r="Y107" s="1121">
        <f>P107-V107-(IF(AND(Motpart!$Y$38="",Motpart!$Z$38=""),0,IF(AND(Motpart!$Y$38=0,Motpart!$Z$38=0),0,((T107/$T$109)*(Motpart!$Y$38+Motpart!$Z$38)))))</f>
        <v>0</v>
      </c>
      <c r="Z107" s="2011"/>
      <c r="AA107" s="2012"/>
      <c r="AB107" s="2012"/>
      <c r="AC107" s="2013"/>
      <c r="AD107" s="1127" t="str">
        <f>IF(AND(C107&gt;5000,R107&lt;50),"Kommentera Taxor o avgifter","")</f>
        <v/>
      </c>
      <c r="AE107" s="1125"/>
      <c r="AF107" s="1121">
        <f t="shared" si="31"/>
        <v>0</v>
      </c>
      <c r="AG107" s="1959">
        <f t="shared" si="25"/>
        <v>0</v>
      </c>
      <c r="AH107" s="2275">
        <f>W107-V107-(IF(AND(Motpart!$Y$38="",Motpart!$Z$38=""),0,IF(AND(Motpart!$Y$38=0,Motpart!$Z$38=0),0,((T107/$T$109)*(Motpart!$Y$38+Motpart!$Z$38)))))</f>
        <v>0</v>
      </c>
    </row>
    <row r="108" spans="1:34" ht="12.75" customHeight="1">
      <c r="A108" s="2610" t="s">
        <v>289</v>
      </c>
      <c r="B108" s="1004" t="s">
        <v>131</v>
      </c>
      <c r="C108" s="445">
        <f>SUM(C104:C107)</f>
        <v>0</v>
      </c>
      <c r="D108" s="27">
        <f t="shared" ref="D108:P108" si="33">SUM(D104:D107)</f>
        <v>0</v>
      </c>
      <c r="E108" s="445">
        <f t="shared" si="33"/>
        <v>0</v>
      </c>
      <c r="F108" s="445">
        <f t="shared" si="33"/>
        <v>0</v>
      </c>
      <c r="G108" s="445">
        <f t="shared" si="33"/>
        <v>0</v>
      </c>
      <c r="H108" s="27">
        <f t="shared" si="33"/>
        <v>0</v>
      </c>
      <c r="I108" s="445">
        <f t="shared" si="33"/>
        <v>0</v>
      </c>
      <c r="J108" s="114">
        <f t="shared" si="33"/>
        <v>0</v>
      </c>
      <c r="K108" s="161"/>
      <c r="L108" s="454">
        <f>SUM(L104:L107)</f>
        <v>0</v>
      </c>
      <c r="M108" s="445">
        <f t="shared" si="33"/>
        <v>0</v>
      </c>
      <c r="N108" s="27">
        <f t="shared" si="33"/>
        <v>0</v>
      </c>
      <c r="O108" s="27">
        <f t="shared" si="33"/>
        <v>0</v>
      </c>
      <c r="P108" s="114">
        <f t="shared" si="33"/>
        <v>0</v>
      </c>
      <c r="Q108" s="54"/>
      <c r="R108" s="454">
        <f>SUM(R104:R107)</f>
        <v>0</v>
      </c>
      <c r="S108" s="445">
        <f>SUM(S104:S107)</f>
        <v>0</v>
      </c>
      <c r="T108" s="114">
        <f>SUM(T104:T107)</f>
        <v>0</v>
      </c>
      <c r="U108" s="54"/>
      <c r="V108" s="126">
        <f>SUM(V104:V107)</f>
        <v>0</v>
      </c>
      <c r="W108" s="127">
        <f>SUM(W104:W107)</f>
        <v>0</v>
      </c>
      <c r="X108" s="61"/>
      <c r="Y108" s="1121">
        <f>SUM(Y104:Y107)</f>
        <v>0</v>
      </c>
      <c r="Z108" s="2011"/>
      <c r="AA108" s="2012"/>
      <c r="AB108" s="2012"/>
      <c r="AC108" s="2013"/>
      <c r="AD108" s="1127"/>
      <c r="AE108" s="1125"/>
      <c r="AF108" s="1121">
        <f t="shared" si="31"/>
        <v>0</v>
      </c>
      <c r="AG108" s="1959">
        <f t="shared" si="25"/>
        <v>0</v>
      </c>
      <c r="AH108" s="2275">
        <f>SUM(AH104:AH107)</f>
        <v>0</v>
      </c>
    </row>
    <row r="109" spans="1:34" ht="12.75" customHeight="1">
      <c r="A109" s="2610" t="s">
        <v>290</v>
      </c>
      <c r="B109" s="1004" t="s">
        <v>30</v>
      </c>
      <c r="C109" s="445">
        <f>SUM(C97,C102,C108)</f>
        <v>0</v>
      </c>
      <c r="D109" s="27">
        <f t="shared" ref="D109:P109" si="34">SUM(D97,D102,D108)</f>
        <v>0</v>
      </c>
      <c r="E109" s="445">
        <f t="shared" si="34"/>
        <v>0</v>
      </c>
      <c r="F109" s="445">
        <f t="shared" si="34"/>
        <v>0</v>
      </c>
      <c r="G109" s="445">
        <f t="shared" si="34"/>
        <v>0</v>
      </c>
      <c r="H109" s="27">
        <f t="shared" si="34"/>
        <v>0</v>
      </c>
      <c r="I109" s="445">
        <f t="shared" si="34"/>
        <v>0</v>
      </c>
      <c r="J109" s="114">
        <f t="shared" si="34"/>
        <v>0</v>
      </c>
      <c r="K109" s="161"/>
      <c r="L109" s="454">
        <f>SUM(L97,L102,L108)</f>
        <v>0</v>
      </c>
      <c r="M109" s="445">
        <f t="shared" si="34"/>
        <v>0</v>
      </c>
      <c r="N109" s="27">
        <f t="shared" si="34"/>
        <v>0</v>
      </c>
      <c r="O109" s="27">
        <f t="shared" si="34"/>
        <v>0</v>
      </c>
      <c r="P109" s="114">
        <f t="shared" si="34"/>
        <v>0</v>
      </c>
      <c r="Q109" s="54"/>
      <c r="R109" s="454">
        <f>SUM(R97,R102,R108)</f>
        <v>0</v>
      </c>
      <c r="S109" s="445">
        <f>SUM(S97,S102,S108)</f>
        <v>0</v>
      </c>
      <c r="T109" s="114">
        <f>SUM(T97,T102,T108)</f>
        <v>0</v>
      </c>
      <c r="U109" s="54"/>
      <c r="V109" s="126">
        <f>SUM(V97,V102,V108)</f>
        <v>0</v>
      </c>
      <c r="W109" s="127">
        <f>SUM(W97,W102,W108)</f>
        <v>0</v>
      </c>
      <c r="X109" s="61"/>
      <c r="Y109" s="1121">
        <f>P109-V109-SUM(Motpart!Y38:Z38)</f>
        <v>0</v>
      </c>
      <c r="Z109" s="1132" t="e">
        <f>(P109-W109)*1000/invanare</f>
        <v>#DIV/0!</v>
      </c>
      <c r="AA109" s="1133" t="e">
        <f>Y109*1000/invanare</f>
        <v>#DIV/0!</v>
      </c>
      <c r="AB109" s="1153"/>
      <c r="AC109" s="1134" t="str">
        <f>IF(ISERROR((AA109-AB109)/AB109)," ",((AA109-AB109)/AB109))</f>
        <v xml:space="preserve"> </v>
      </c>
      <c r="AD109" s="1124" t="e">
        <f>IF(AA109="","Belopp saknas",IF(OR(AC109&gt;45%,AC109&lt;-30%),"Kommentera förändringen",IF(OR(AC109&gt;30%,AC109&lt;-25%),"Kontrollera förändringen","")))</f>
        <v>#DIV/0!</v>
      </c>
      <c r="AE109" s="1129" t="str">
        <f>IF(ISERROR(F109/(AA109/1000*invanare)),"",(F109/(AA109/100000*invanare)))</f>
        <v/>
      </c>
      <c r="AF109" s="1121">
        <f>P109-W109</f>
        <v>0</v>
      </c>
      <c r="AG109" s="1959">
        <f>P109-F109-H109-V109</f>
        <v>0</v>
      </c>
      <c r="AH109" s="2275">
        <f>W109-V109-SUM(Motpart!Y38:Z38)</f>
        <v>0</v>
      </c>
    </row>
    <row r="110" spans="1:34" ht="12.75" customHeight="1" thickBot="1">
      <c r="A110" s="2621" t="s">
        <v>291</v>
      </c>
      <c r="B110" s="1004" t="s">
        <v>132</v>
      </c>
      <c r="C110" s="445">
        <f>SUM(C90,C109)</f>
        <v>0</v>
      </c>
      <c r="D110" s="472">
        <f t="shared" ref="D110:P110" si="35">SUM(D90,D109)</f>
        <v>0</v>
      </c>
      <c r="E110" s="445">
        <f t="shared" si="35"/>
        <v>0</v>
      </c>
      <c r="F110" s="445">
        <f t="shared" si="35"/>
        <v>0</v>
      </c>
      <c r="G110" s="445">
        <f t="shared" si="35"/>
        <v>0</v>
      </c>
      <c r="H110" s="27">
        <f t="shared" si="35"/>
        <v>0</v>
      </c>
      <c r="I110" s="445">
        <f t="shared" si="35"/>
        <v>0</v>
      </c>
      <c r="J110" s="114">
        <f t="shared" si="35"/>
        <v>0</v>
      </c>
      <c r="K110" s="161"/>
      <c r="L110" s="454">
        <f>SUM(L90,L109)</f>
        <v>0</v>
      </c>
      <c r="M110" s="445">
        <f t="shared" si="35"/>
        <v>0</v>
      </c>
      <c r="N110" s="460">
        <f t="shared" si="35"/>
        <v>0</v>
      </c>
      <c r="O110" s="460">
        <f t="shared" si="35"/>
        <v>0</v>
      </c>
      <c r="P110" s="114">
        <f t="shared" si="35"/>
        <v>0</v>
      </c>
      <c r="Q110" s="54"/>
      <c r="R110" s="454">
        <f>SUM(R90,R109)</f>
        <v>0</v>
      </c>
      <c r="S110" s="445">
        <f>SUM(S90,S109)</f>
        <v>0</v>
      </c>
      <c r="T110" s="114">
        <f>SUM(T90,T109)</f>
        <v>0</v>
      </c>
      <c r="U110" s="54"/>
      <c r="V110" s="126">
        <f>SUM(V90,V109)</f>
        <v>0</v>
      </c>
      <c r="W110" s="127">
        <f>SUM(W90,W109)</f>
        <v>0</v>
      </c>
      <c r="X110" s="61"/>
      <c r="Y110" s="1157">
        <f>Y90+Y109</f>
        <v>0</v>
      </c>
      <c r="Z110" s="1165" t="e">
        <f>Z90+Z109</f>
        <v>#DIV/0!</v>
      </c>
      <c r="AA110" s="1166" t="e">
        <f>AA90+AA109</f>
        <v>#DIV/0!</v>
      </c>
      <c r="AB110" s="1166">
        <f>AB90+AB109</f>
        <v>0</v>
      </c>
      <c r="AC110" s="2085"/>
      <c r="AD110" s="1313"/>
      <c r="AE110" s="1965" t="str">
        <f>IF(ISERROR(F109/(AA109/1000*invanare)),"",SUM(Motpart!D38,Motpart!F38)/(AA109/100000*invanare))</f>
        <v/>
      </c>
      <c r="AF110" s="2081">
        <f>AF90+AF109</f>
        <v>0</v>
      </c>
      <c r="AG110" s="2082">
        <f>AG90+AG109</f>
        <v>0</v>
      </c>
      <c r="AH110" s="2282">
        <f>AH90+AH109</f>
        <v>0</v>
      </c>
    </row>
    <row r="111" spans="1:34">
      <c r="A111" s="2610" t="s">
        <v>292</v>
      </c>
      <c r="B111" s="1020" t="s">
        <v>31</v>
      </c>
      <c r="C111" s="29"/>
      <c r="D111" s="30"/>
      <c r="E111" s="29"/>
      <c r="F111" s="29"/>
      <c r="G111" s="29"/>
      <c r="H111" s="30"/>
      <c r="I111" s="29"/>
      <c r="J111" s="111"/>
      <c r="K111" s="32"/>
      <c r="L111" s="115"/>
      <c r="M111" s="29"/>
      <c r="N111" s="473"/>
      <c r="O111" s="474"/>
      <c r="P111" s="125">
        <f>SUM(C111:O111)</f>
        <v>0</v>
      </c>
      <c r="Q111" s="54"/>
      <c r="R111" s="115"/>
      <c r="S111" s="29"/>
      <c r="T111" s="111"/>
      <c r="U111" s="55"/>
      <c r="V111" s="124"/>
      <c r="W111" s="125">
        <f>SUM(R111:V111)</f>
        <v>0</v>
      </c>
      <c r="X111" s="61"/>
      <c r="Y111" s="1176"/>
      <c r="Z111" s="1159"/>
      <c r="AA111" s="1160"/>
      <c r="AB111" s="1161"/>
      <c r="AC111" s="1162"/>
      <c r="AD111" s="2486" t="str">
        <f>IF(AND(P111=0,W111=0),"",IF(ABS(P111-W111)&lt;10000,"",IF(OR(AND(ABS((P111-W111)/W111)&gt;5%),ABS(P111-W111)&gt;10000),"Bruttokostn och bruttoint borde vara lika stor här. Varför finns det en differens på"&amp;" "&amp;(ROUND(P111-W111,0))&amp;" tkr?","")))</f>
        <v/>
      </c>
      <c r="AE111" s="875"/>
      <c r="AF111" s="1953"/>
      <c r="AG111" s="1954"/>
      <c r="AH111" s="2273"/>
    </row>
    <row r="112" spans="1:34" ht="13.5" thickBot="1">
      <c r="A112" s="2623" t="s">
        <v>293</v>
      </c>
      <c r="B112" s="1004" t="s">
        <v>32</v>
      </c>
      <c r="C112" s="24"/>
      <c r="D112" s="22"/>
      <c r="E112" s="24"/>
      <c r="F112" s="24"/>
      <c r="G112" s="24"/>
      <c r="H112" s="25"/>
      <c r="I112" s="24"/>
      <c r="J112" s="110"/>
      <c r="K112" s="32"/>
      <c r="L112" s="113"/>
      <c r="M112" s="24"/>
      <c r="N112" s="475"/>
      <c r="O112" s="476"/>
      <c r="P112" s="477">
        <f>SUM(C112:O112)</f>
        <v>0</v>
      </c>
      <c r="Q112" s="54"/>
      <c r="R112" s="116"/>
      <c r="S112" s="117"/>
      <c r="T112" s="118"/>
      <c r="U112" s="55"/>
      <c r="V112" s="2337">
        <f>SUM(I118:I120)</f>
        <v>0</v>
      </c>
      <c r="W112" s="127">
        <f>SUM(R112:V112)</f>
        <v>0</v>
      </c>
      <c r="X112" s="61"/>
      <c r="Y112" s="1118"/>
      <c r="Z112" s="1177"/>
      <c r="AA112" s="1136"/>
      <c r="AB112" s="1137"/>
      <c r="AC112" s="1138"/>
      <c r="AD112" s="2095" t="str">
        <f>IF(ISERROR(D112/C112),"",IF(C112&gt;999,IF(OR(D112/C112&gt;50%,D112/C112&lt;40%),"PO avviker från rekom." &amp;" "&amp;(ROUND(D112*100/C112,0))&amp;"%",""),""))</f>
        <v/>
      </c>
      <c r="AE112" s="875"/>
      <c r="AF112" s="1953"/>
      <c r="AG112" s="1954"/>
      <c r="AH112" s="2273"/>
    </row>
    <row r="113" spans="1:34" ht="12.75" customHeight="1" thickBot="1">
      <c r="A113" s="2622" t="s">
        <v>294</v>
      </c>
      <c r="B113" s="1021" t="s">
        <v>33</v>
      </c>
      <c r="C113" s="481">
        <f>SUM(C110:C112)</f>
        <v>0</v>
      </c>
      <c r="D113" s="480">
        <f t="shared" ref="D113:W113" si="36">SUM(D110:D112)</f>
        <v>0</v>
      </c>
      <c r="E113" s="479">
        <f t="shared" si="36"/>
        <v>0</v>
      </c>
      <c r="F113" s="479">
        <f t="shared" si="36"/>
        <v>0</v>
      </c>
      <c r="G113" s="479">
        <f t="shared" si="36"/>
        <v>0</v>
      </c>
      <c r="H113" s="480">
        <f t="shared" si="36"/>
        <v>0</v>
      </c>
      <c r="I113" s="482">
        <f t="shared" si="36"/>
        <v>0</v>
      </c>
      <c r="J113" s="483">
        <f t="shared" si="36"/>
        <v>0</v>
      </c>
      <c r="K113" s="161"/>
      <c r="L113" s="478">
        <f>SUM(L110:L112)</f>
        <v>0</v>
      </c>
      <c r="M113" s="479">
        <f t="shared" si="36"/>
        <v>0</v>
      </c>
      <c r="N113" s="480">
        <f t="shared" si="36"/>
        <v>0</v>
      </c>
      <c r="O113" s="480">
        <f>SUM(O110:O112)</f>
        <v>0</v>
      </c>
      <c r="P113" s="2067">
        <f>SUM(P110:P112)</f>
        <v>0</v>
      </c>
      <c r="Q113" s="54"/>
      <c r="R113" s="481">
        <f t="shared" si="36"/>
        <v>0</v>
      </c>
      <c r="S113" s="479">
        <f t="shared" si="36"/>
        <v>0</v>
      </c>
      <c r="T113" s="480">
        <f t="shared" si="36"/>
        <v>0</v>
      </c>
      <c r="U113" s="121"/>
      <c r="V113" s="496">
        <f t="shared" si="36"/>
        <v>0</v>
      </c>
      <c r="W113" s="2068">
        <f t="shared" si="36"/>
        <v>0</v>
      </c>
      <c r="X113" s="61"/>
      <c r="Y113" s="1178"/>
      <c r="Z113" s="1179"/>
      <c r="AA113" s="1180"/>
      <c r="AB113" s="1181"/>
      <c r="AC113" s="1175"/>
      <c r="AD113" s="2487" t="str">
        <f>IF(ISERROR(D113/C113),"",IF(C113&gt;999,IF(OR(D113/C113&gt;50%,D113/C113&lt;40%),"PO avviker från rekom." &amp;" "&amp;(ROUND(D113*100/C113,0))&amp;"%",""),""))</f>
        <v/>
      </c>
      <c r="AE113" s="1182"/>
      <c r="AF113" s="1975"/>
      <c r="AG113" s="1957"/>
      <c r="AH113" s="2283"/>
    </row>
    <row r="114" spans="1:34">
      <c r="A114" s="1521"/>
      <c r="B114" s="1522"/>
      <c r="C114" s="1523"/>
      <c r="D114" s="2078" t="str">
        <f>IF(AND(P119&gt;0,SUM(P118+P119-D113)&lt;1),"Kommentera vad som ingår i PO! OBS! Pensionsutbetalningar ska inte ingå i kol D","")</f>
        <v/>
      </c>
      <c r="E114" s="15"/>
      <c r="F114" s="231"/>
      <c r="G114" s="31"/>
      <c r="H114" s="43"/>
      <c r="I114" s="2977" t="s">
        <v>633</v>
      </c>
      <c r="J114" s="2978"/>
      <c r="K114" s="2978"/>
      <c r="L114" s="2979"/>
      <c r="M114" s="484">
        <f>I118</f>
        <v>0</v>
      </c>
      <c r="N114" s="197" t="str">
        <f>IF(M114-M113&gt;1,"Beloppet på rad 924 borde inte vara större än beloppet i kol.M rad 950",IF(M114=0,"Kontrollera rad 924",""))</f>
        <v>Kontrollera rad 924</v>
      </c>
      <c r="O114" s="33"/>
      <c r="P114" s="2488" t="str">
        <f>IF(COUNTIF(P10:P112,"&lt;0")&gt;0, "Det finns minst en verksamhet med negativ bruttokostnad. Stämmer det verkligen och vad är i så fall förklaringen?","")</f>
        <v/>
      </c>
      <c r="Q114" s="228"/>
      <c r="R114" s="33"/>
      <c r="S114" s="33"/>
      <c r="T114" s="33"/>
      <c r="U114" s="228"/>
      <c r="V114" s="33"/>
      <c r="W114" s="33"/>
      <c r="X114" s="33"/>
      <c r="Y114" s="33"/>
      <c r="Z114" s="60"/>
      <c r="AA114" s="60"/>
      <c r="AB114" s="60"/>
      <c r="AC114" s="60"/>
      <c r="AD114" s="1717" t="str">
        <f>IF(OR(J113=RR!C9,J113&lt;RR!C9),"Kontrollera att interna räntekostnader finns redovisat i kolumn Kalkylerade kapitalkostnader. ","")</f>
        <v xml:space="preserve">Kontrollera att interna räntekostnader finns redovisat i kolumn Kalkylerade kapitalkostnader. </v>
      </c>
      <c r="AE114" s="503"/>
      <c r="AF114" s="188"/>
    </row>
    <row r="115" spans="1:34" ht="13.5" thickBot="1">
      <c r="A115" s="12"/>
      <c r="B115" s="42"/>
      <c r="C115" s="2999" t="s">
        <v>1608</v>
      </c>
      <c r="D115" s="3000"/>
      <c r="E115" s="189"/>
      <c r="F115" s="189"/>
      <c r="G115" s="189"/>
      <c r="H115" s="33"/>
      <c r="I115" s="33"/>
      <c r="J115" s="35"/>
      <c r="K115" s="35"/>
      <c r="L115" s="233"/>
      <c r="M115" s="234"/>
      <c r="N115" s="234"/>
      <c r="O115" s="234"/>
      <c r="P115" s="2769" t="str">
        <f>IF(AND(L113&lt;&gt;0,P111=0),"Om interna lokalkostander finns, bör det även finnas kostnader för gemensamma lokaler. Stämmer uppgifterna?","")</f>
        <v/>
      </c>
      <c r="Q115" s="1901"/>
      <c r="R115" s="1902"/>
      <c r="S115" s="232"/>
      <c r="T115" s="33"/>
      <c r="U115" s="228"/>
      <c r="V115" s="33"/>
      <c r="W115" s="41"/>
      <c r="X115" s="1901"/>
      <c r="Y115" s="1902"/>
      <c r="Z115" s="204"/>
      <c r="AA115" s="204"/>
      <c r="AB115" s="6"/>
      <c r="AC115" s="13"/>
      <c r="AD115" s="2076" t="str">
        <f>IF(H112&gt;(0.05*P112),"Vad avser bidrag kol. H på rad 920?","")</f>
        <v/>
      </c>
      <c r="AE115" s="503"/>
      <c r="AF115" s="188"/>
    </row>
    <row r="116" spans="1:34" ht="16.5" thickBot="1">
      <c r="A116" s="235" t="s">
        <v>204</v>
      </c>
      <c r="B116" s="189"/>
      <c r="C116" s="3000"/>
      <c r="D116" s="3000"/>
      <c r="E116" s="37" t="s">
        <v>156</v>
      </c>
      <c r="F116" s="36"/>
      <c r="G116" s="33"/>
      <c r="H116" s="31"/>
      <c r="I116" s="31"/>
      <c r="J116" s="204"/>
      <c r="K116" s="204"/>
      <c r="L116" s="1183">
        <v>960</v>
      </c>
      <c r="M116" s="1196" t="s">
        <v>222</v>
      </c>
      <c r="N116" s="1197"/>
      <c r="O116" s="1197"/>
      <c r="P116" s="485">
        <f>-SUM(D113,J113)</f>
        <v>0</v>
      </c>
      <c r="Q116" s="1724"/>
      <c r="R116" s="1725"/>
      <c r="S116" s="1183">
        <v>970</v>
      </c>
      <c r="T116" s="1184" t="s">
        <v>157</v>
      </c>
      <c r="U116" s="1185"/>
      <c r="V116" s="1186"/>
      <c r="W116" s="485">
        <f>-V113</f>
        <v>0</v>
      </c>
      <c r="X116" s="1950" t="str">
        <f>IF(AND(P117=0,W116=0),"",IF(OR(P117=0,W116=0),"Interna intäkter och kostnader ska stämma överens! Måste korrigeras",IF(AND(ABS((P117-W116)/W116)&gt;5%,ABS(P117-W116)&gt;10000),"Rätta differensen","")))</f>
        <v/>
      </c>
      <c r="Y116" s="1660"/>
      <c r="AA116" s="1524"/>
      <c r="AB116" s="1524"/>
      <c r="AC116" s="1524"/>
      <c r="AD116" s="197"/>
      <c r="AE116" s="503"/>
      <c r="AF116" s="188"/>
    </row>
    <row r="117" spans="1:34" ht="16.5" customHeight="1">
      <c r="A117" s="2919"/>
      <c r="B117" s="2972"/>
      <c r="C117" s="3000"/>
      <c r="D117" s="3000"/>
      <c r="E117" s="1183">
        <v>922</v>
      </c>
      <c r="F117" s="1197" t="s">
        <v>133</v>
      </c>
      <c r="G117" s="1197"/>
      <c r="H117" s="1197"/>
      <c r="I117" s="487">
        <f>P112-SUM(R112:T112)</f>
        <v>0</v>
      </c>
      <c r="J117" s="320"/>
      <c r="K117" s="204"/>
      <c r="L117" s="1188">
        <v>965</v>
      </c>
      <c r="M117" s="1198" t="s">
        <v>223</v>
      </c>
      <c r="N117" s="1199"/>
      <c r="O117" s="1200"/>
      <c r="P117" s="486">
        <f>-SUM(L113:O113)</f>
        <v>0</v>
      </c>
      <c r="S117" s="1188">
        <v>982</v>
      </c>
      <c r="T117" s="2959" t="s">
        <v>629</v>
      </c>
      <c r="U117" s="2960"/>
      <c r="V117" s="2961"/>
      <c r="W117" s="239"/>
      <c r="Y117" s="1524"/>
      <c r="Z117" s="1524"/>
      <c r="AA117" s="1524"/>
      <c r="AB117" s="1524"/>
      <c r="AC117" s="1524"/>
      <c r="AD117" s="189"/>
      <c r="AE117" s="503"/>
      <c r="AF117" s="188"/>
    </row>
    <row r="118" spans="1:34" ht="19.5" customHeight="1">
      <c r="A118" s="2973"/>
      <c r="B118" s="2974"/>
      <c r="C118" s="3000"/>
      <c r="D118" s="3000"/>
      <c r="E118" s="1188">
        <v>924</v>
      </c>
      <c r="F118" s="2980" t="s">
        <v>1813</v>
      </c>
      <c r="G118" s="2981"/>
      <c r="H118" s="2982"/>
      <c r="I118" s="128"/>
      <c r="J118" s="1842" t="str">
        <f>IF(SUM((L110+M110-V110-V111)-I118&gt;1),"Kommentera rad 924","")</f>
        <v/>
      </c>
      <c r="K118" s="204"/>
      <c r="L118" s="1188">
        <v>975</v>
      </c>
      <c r="M118" s="2956" t="s">
        <v>1644</v>
      </c>
      <c r="N118" s="2957"/>
      <c r="O118" s="2958"/>
      <c r="P118" s="239"/>
      <c r="S118" s="1188">
        <v>985</v>
      </c>
      <c r="T118" s="1667" t="s">
        <v>1225</v>
      </c>
      <c r="U118" s="1668"/>
      <c r="V118" s="1669"/>
      <c r="W118" s="239"/>
      <c r="X118" s="1903"/>
      <c r="Y118" s="1903"/>
      <c r="Z118" s="1524"/>
      <c r="AB118" s="1524"/>
      <c r="AC118" s="1524"/>
      <c r="AD118" s="189"/>
      <c r="AE118" s="503"/>
      <c r="AF118" s="188"/>
    </row>
    <row r="119" spans="1:34" ht="19.5" customHeight="1">
      <c r="A119" s="2973"/>
      <c r="B119" s="2974"/>
      <c r="C119" s="3000"/>
      <c r="D119" s="3000"/>
      <c r="E119" s="1188">
        <v>926</v>
      </c>
      <c r="F119" s="1202" t="s">
        <v>1111</v>
      </c>
      <c r="G119" s="1203"/>
      <c r="H119" s="1203"/>
      <c r="I119" s="488">
        <f>N113</f>
        <v>0</v>
      </c>
      <c r="J119" s="320"/>
      <c r="K119" s="204"/>
      <c r="L119" s="1188">
        <v>980</v>
      </c>
      <c r="M119" s="2953" t="s">
        <v>1645</v>
      </c>
      <c r="N119" s="2954"/>
      <c r="O119" s="2955"/>
      <c r="P119" s="239"/>
      <c r="S119" s="1188">
        <v>989</v>
      </c>
      <c r="T119" s="1667" t="s">
        <v>225</v>
      </c>
      <c r="U119" s="1668"/>
      <c r="V119" s="1669"/>
      <c r="W119" s="2506"/>
      <c r="X119" s="197" t="str">
        <f>IF(W119=0,"",IF(W119&lt;&gt;0,"Kommentera vad jämförelsestörande intäkter avser och om intäkterna även är jämförelsestörande i er ÅR?"))</f>
        <v/>
      </c>
      <c r="Y119" s="216"/>
      <c r="Z119" s="216"/>
      <c r="AA119" s="1525"/>
      <c r="AB119" s="1525"/>
      <c r="AC119" s="1525"/>
      <c r="AD119" s="1525"/>
      <c r="AE119" s="1525"/>
      <c r="AF119" s="188"/>
    </row>
    <row r="120" spans="1:34" ht="13.5" customHeight="1" thickBot="1">
      <c r="A120" s="2975"/>
      <c r="B120" s="2976"/>
      <c r="C120" s="3000"/>
      <c r="D120" s="3000"/>
      <c r="E120" s="1192">
        <v>928</v>
      </c>
      <c r="F120" s="1723" t="s">
        <v>1112</v>
      </c>
      <c r="G120" s="1204"/>
      <c r="H120" s="1205"/>
      <c r="I120" s="489">
        <f>I117-I118-I119</f>
        <v>0</v>
      </c>
      <c r="J120" s="320"/>
      <c r="K120" s="204"/>
      <c r="L120" s="1188">
        <v>982</v>
      </c>
      <c r="M120" s="1667" t="s">
        <v>1814</v>
      </c>
      <c r="N120" s="1668"/>
      <c r="O120" s="1669"/>
      <c r="P120" s="239"/>
      <c r="S120" s="1188"/>
      <c r="T120" s="1872"/>
      <c r="U120" s="1831"/>
      <c r="V120" s="1832"/>
      <c r="W120" s="2446"/>
      <c r="X120" s="1536"/>
      <c r="Y120" s="1833"/>
      <c r="Z120" s="216"/>
      <c r="AA120" s="1525"/>
      <c r="AB120" s="1525"/>
      <c r="AC120" s="1525"/>
      <c r="AD120" s="1525"/>
      <c r="AE120" s="1525"/>
      <c r="AF120" s="188"/>
    </row>
    <row r="121" spans="1:34" ht="13.5" customHeight="1">
      <c r="A121" s="216"/>
      <c r="B121" s="216"/>
      <c r="C121" s="3001"/>
      <c r="D121" s="3001"/>
      <c r="E121" s="204"/>
      <c r="F121" s="2988" t="e">
        <f>IF(SUM(I119+I120-I122)/I122&gt;0.2,"Beloppen som fördelas till verksamheterna via Kommunnyckel (rad 926) och/eller SCB-nyckel (rad 928) ökade betydligt mot det som fördelades förra året ("&amp;""&amp;(I122)&amp;" tkr). Kontrollera och rätta till eller förklara orsaken till ökningen.","")</f>
        <v>#DIV/0!</v>
      </c>
      <c r="G121" s="2989"/>
      <c r="H121" s="2989"/>
      <c r="I121" s="2513" t="str">
        <f>IF(I117=0,"",IF(SUM(I119+I120-I122)/I122&gt;0.2,"se kontoll tilll vänster",""))</f>
        <v/>
      </c>
      <c r="J121" s="204"/>
      <c r="K121" s="204"/>
      <c r="L121" s="1188">
        <v>985</v>
      </c>
      <c r="M121" s="1771" t="s">
        <v>1087</v>
      </c>
      <c r="N121" s="1771"/>
      <c r="O121" s="1772"/>
      <c r="P121" s="193"/>
      <c r="Q121" s="2945"/>
      <c r="R121" s="2946"/>
      <c r="S121" s="1187">
        <v>887</v>
      </c>
      <c r="T121" s="1189" t="s">
        <v>503</v>
      </c>
      <c r="U121" s="1190"/>
      <c r="V121" s="1191"/>
      <c r="W121" s="490">
        <f>SUM(W113,W116:W119)</f>
        <v>0</v>
      </c>
      <c r="X121" s="1726"/>
      <c r="Y121" s="216"/>
      <c r="Z121" s="216"/>
      <c r="AA121" s="1525"/>
      <c r="AB121" s="1525"/>
      <c r="AC121" s="1525"/>
      <c r="AD121" s="1525"/>
      <c r="AE121" s="1525"/>
      <c r="AF121" s="188"/>
    </row>
    <row r="122" spans="1:34" ht="12.75" customHeight="1" thickBot="1">
      <c r="A122" s="216"/>
      <c r="B122" s="216"/>
      <c r="C122" s="3001"/>
      <c r="D122" s="3001"/>
      <c r="E122" s="204"/>
      <c r="F122" s="2990"/>
      <c r="G122" s="2990"/>
      <c r="H122" s="2990"/>
      <c r="I122" s="2527"/>
      <c r="J122" s="2514"/>
      <c r="K122" s="204"/>
      <c r="L122" s="1188">
        <v>988</v>
      </c>
      <c r="M122" s="2750" t="s">
        <v>1717</v>
      </c>
      <c r="N122" s="2751"/>
      <c r="O122" s="1772"/>
      <c r="P122" s="193"/>
      <c r="Q122" s="197"/>
      <c r="R122" s="236"/>
      <c r="S122" s="1192">
        <v>990</v>
      </c>
      <c r="T122" s="1193" t="s">
        <v>94</v>
      </c>
      <c r="U122" s="1194"/>
      <c r="V122" s="1195"/>
      <c r="W122" s="129">
        <f>RR!C7</f>
        <v>0</v>
      </c>
      <c r="X122" s="1726"/>
      <c r="Y122" s="216"/>
      <c r="Z122" s="204"/>
      <c r="AA122" s="204"/>
      <c r="AB122" s="6"/>
      <c r="AC122" s="6"/>
      <c r="AD122" s="5"/>
      <c r="AE122" s="503"/>
      <c r="AF122" s="188"/>
    </row>
    <row r="123" spans="1:34">
      <c r="A123" s="216"/>
      <c r="B123" s="216"/>
      <c r="C123" s="3001"/>
      <c r="D123" s="3001"/>
      <c r="E123" s="236"/>
      <c r="F123" s="2990"/>
      <c r="G123" s="2990"/>
      <c r="H123" s="2990"/>
      <c r="I123" s="2515"/>
      <c r="J123" s="2514"/>
      <c r="K123" s="204"/>
      <c r="L123" s="1188">
        <v>989</v>
      </c>
      <c r="M123" s="1201" t="s">
        <v>224</v>
      </c>
      <c r="N123" s="2072"/>
      <c r="O123" s="1669"/>
      <c r="P123" s="2506"/>
      <c r="Q123" s="197" t="str">
        <f>IF(P123=0,"",IF(P123&lt;&gt;0,"Kommentera jämförelsestörande kostnader"))</f>
        <v/>
      </c>
      <c r="R123" s="216"/>
      <c r="S123" s="237"/>
      <c r="T123" s="237"/>
      <c r="U123" s="237"/>
      <c r="V123" s="237"/>
      <c r="W123" s="255" t="str">
        <f>IF(ABS(W121-W122)&lt;50,"",IF(OR(W122=0,W121=0),"",IF((SUM(W121)/(W122))&lt;&gt;1,(ROUND(W121-W122,0))&amp;" tkr differens mellan verks.intäkter i RR och summan av verks.intäkter här - måste rättas!","")))</f>
        <v/>
      </c>
      <c r="X123" s="216"/>
      <c r="Y123" s="216"/>
      <c r="Z123" s="204"/>
      <c r="AA123" s="204"/>
      <c r="AB123" s="6"/>
      <c r="AC123" s="6"/>
      <c r="AD123" s="5"/>
      <c r="AE123" s="503"/>
      <c r="AF123" s="188"/>
    </row>
    <row r="124" spans="1:34">
      <c r="A124" s="372"/>
      <c r="B124" s="216"/>
      <c r="C124" s="216"/>
      <c r="D124" s="204"/>
      <c r="E124" s="204"/>
      <c r="F124" s="2990"/>
      <c r="G124" s="2990"/>
      <c r="H124" s="2990"/>
      <c r="I124" s="2515"/>
      <c r="J124" s="2514"/>
      <c r="K124" s="216"/>
      <c r="L124" s="1187">
        <v>886</v>
      </c>
      <c r="M124" s="1189" t="s">
        <v>503</v>
      </c>
      <c r="N124" s="1190"/>
      <c r="O124" s="1191"/>
      <c r="P124" s="490">
        <f>SUM(P110:P112,P116:P123)</f>
        <v>0</v>
      </c>
      <c r="Q124" s="1726"/>
      <c r="R124" s="216"/>
      <c r="S124" s="237"/>
      <c r="T124" s="237"/>
      <c r="U124" s="237"/>
      <c r="V124" s="237"/>
      <c r="W124" s="237"/>
      <c r="X124" s="216"/>
      <c r="Y124" s="216"/>
      <c r="Z124" s="204"/>
      <c r="AA124" s="204"/>
      <c r="AB124" s="6"/>
      <c r="AC124" s="6"/>
      <c r="AD124" s="5"/>
      <c r="AE124" s="503"/>
      <c r="AF124" s="188"/>
    </row>
    <row r="125" spans="1:34" ht="22.5" customHeight="1" thickBot="1">
      <c r="A125" s="372"/>
      <c r="B125" s="216"/>
      <c r="C125" s="216"/>
      <c r="D125" s="204"/>
      <c r="E125" s="204"/>
      <c r="F125" s="2990"/>
      <c r="G125" s="2990"/>
      <c r="H125" s="2990"/>
      <c r="I125" s="2515"/>
      <c r="J125" s="2514"/>
      <c r="K125" s="216"/>
      <c r="L125" s="1192">
        <v>990</v>
      </c>
      <c r="M125" s="1193" t="s">
        <v>91</v>
      </c>
      <c r="N125" s="1194"/>
      <c r="O125" s="1195"/>
      <c r="P125" s="2445">
        <f>RR!C8</f>
        <v>0</v>
      </c>
      <c r="Q125" s="216"/>
      <c r="R125" s="216"/>
      <c r="S125" s="237"/>
      <c r="T125" s="237"/>
      <c r="U125" s="237"/>
      <c r="V125" s="237"/>
      <c r="W125" s="237"/>
      <c r="X125" s="216"/>
      <c r="Y125" s="216"/>
      <c r="Z125" s="204"/>
      <c r="AA125" s="204"/>
      <c r="AB125" s="6"/>
      <c r="AC125" s="6"/>
      <c r="AD125" s="5"/>
      <c r="AE125" s="503"/>
      <c r="AF125" s="188"/>
    </row>
    <row r="126" spans="1:34" ht="31.5" customHeight="1">
      <c r="A126" s="237"/>
      <c r="B126" s="237"/>
      <c r="C126" s="237"/>
      <c r="D126" s="236"/>
      <c r="E126" s="236"/>
      <c r="F126" s="2516"/>
      <c r="G126" s="2516"/>
      <c r="H126" s="2516"/>
      <c r="I126" s="2515"/>
      <c r="J126" s="236"/>
      <c r="K126" s="216"/>
      <c r="L126" s="2069"/>
      <c r="M126" s="2070"/>
      <c r="N126" s="2071"/>
      <c r="O126" s="2071"/>
      <c r="P126" s="2096" t="str">
        <f>IF(ABS(P124-P125)&lt;50,"",IF(OR(P125=0,P124=0),"",IF((SUM(P124)/(P125))&lt;&gt;1.1,(ROUND(P124-P125,0))&amp;" tkr differens mellan verks.kostn i RR och summan av verks.kostnader här - måste rättas!","")))</f>
        <v/>
      </c>
      <c r="Q126" s="204"/>
      <c r="R126" s="236"/>
      <c r="S126" s="237"/>
      <c r="T126" s="237"/>
      <c r="U126" s="216"/>
      <c r="V126" s="237"/>
      <c r="W126" s="237"/>
      <c r="X126" s="216"/>
      <c r="Y126" s="237"/>
      <c r="Z126" s="236"/>
      <c r="AA126" s="236"/>
      <c r="AB126" s="1"/>
      <c r="AC126" s="1"/>
      <c r="AD126" s="188"/>
      <c r="AE126" s="504"/>
      <c r="AF126" s="188"/>
    </row>
    <row r="127" spans="1:34" hidden="1">
      <c r="L127" s="236"/>
      <c r="M127" s="236"/>
      <c r="N127" s="236"/>
      <c r="O127" s="236"/>
      <c r="P127" s="255"/>
    </row>
    <row r="303" spans="16:16" hidden="1">
      <c r="P303" s="238" t="str">
        <f>IF(P124&lt;&gt;P125,"Differens mot vht kostnader i RR, måste rättas!","")</f>
        <v/>
      </c>
    </row>
  </sheetData>
  <customSheetViews>
    <customSheetView guid="{97D6DB71-3F4C-4C5F-8C5B-51E3EBF78932}" showPageBreaks="1" showGridLines="0" hiddenRows="1" hiddenColumns="1">
      <pane xSplit="2" ySplit="12" topLeftCell="H13" activePane="bottomRight" state="frozen"/>
      <selection pane="bottomRight" activeCell="S6" sqref="S6"/>
      <rowBreaks count="1" manualBreakCount="1">
        <brk id="43" max="16383" man="1"/>
      </rowBreaks>
      <pageMargins left="0.70866141732283472" right="0.70866141732283472" top="0.74803149606299213" bottom="0" header="0.31496062992125984" footer="0.31496062992125984"/>
      <pageSetup paperSize="9" scale="75" orientation="landscape" r:id="rId1"/>
      <headerFooter>
        <oddHeader>&amp;L&amp;8Statistiska Centralbyrån
Offentlig ekonomi&amp;R&amp;P</oddHeader>
      </headerFooter>
    </customSheetView>
    <customSheetView guid="{99FBDEB7-DD08-4F57-81F4-3C180403E153}" showPageBreaks="1" showGridLines="0" hiddenRows="1" hiddenColumns="1">
      <pane xSplit="2" ySplit="12" topLeftCell="H13" activePane="bottomRight" state="frozen"/>
      <selection pane="bottomRight" activeCell="AD14" sqref="AD14"/>
      <rowBreaks count="1" manualBreakCount="1">
        <brk id="43" max="16383" man="1"/>
      </rowBreaks>
      <pageMargins left="0.70866141732283472" right="0.70866141732283472" top="0.74803149606299213" bottom="0" header="0.31496062992125984" footer="0.31496062992125984"/>
      <pageSetup paperSize="9" scale="75" orientation="landscape" r:id="rId2"/>
      <headerFooter>
        <oddHeader>&amp;L&amp;8Statistiska Centralbyrån
Offentlig ekonomi&amp;R&amp;P</oddHeader>
      </headerFooter>
    </customSheetView>
    <customSheetView guid="{27C9E95B-0E2B-454F-B637-1CECC9579A10}" showGridLines="0" hiddenRows="1" hiddenColumns="1" showRuler="0">
      <pane xSplit="2" ySplit="10" topLeftCell="E111" activePane="bottomRight" state="frozen"/>
      <selection pane="bottomRight" activeCell="P125" sqref="P125"/>
      <rowBreaks count="1" manualBreakCount="1">
        <brk id="43" max="16383" man="1"/>
      </rowBreaks>
      <pageMargins left="0.70866141732283472" right="0.70866141732283472" top="0.74803149606299213" bottom="0" header="0.31496062992125984" footer="0.31496062992125984"/>
      <pageSetup paperSize="9" scale="75" orientation="landscape" r:id="rId3"/>
      <headerFooter alignWithMargins="0">
        <oddHeader>&amp;L&amp;8Statistiska Centralbyrån
Offentlig ekonomi&amp;R&amp;P</oddHeader>
      </headerFooter>
    </customSheetView>
  </customSheetViews>
  <mergeCells count="29">
    <mergeCell ref="F121:H125"/>
    <mergeCell ref="C4:D4"/>
    <mergeCell ref="E4:H4"/>
    <mergeCell ref="L4:O4"/>
    <mergeCell ref="I4:J4"/>
    <mergeCell ref="C115:D123"/>
    <mergeCell ref="A117:B120"/>
    <mergeCell ref="I114:L114"/>
    <mergeCell ref="Z86:AC86"/>
    <mergeCell ref="F118:H118"/>
    <mergeCell ref="AH5:AH6"/>
    <mergeCell ref="Z44:AC44"/>
    <mergeCell ref="AG5:AG6"/>
    <mergeCell ref="AF5:AF6"/>
    <mergeCell ref="Z18:AC18"/>
    <mergeCell ref="Z11:AC11"/>
    <mergeCell ref="Q121:R121"/>
    <mergeCell ref="R4:T4"/>
    <mergeCell ref="Z4:AB4"/>
    <mergeCell ref="M119:O119"/>
    <mergeCell ref="M118:O118"/>
    <mergeCell ref="T117:V117"/>
    <mergeCell ref="Y5:Y6"/>
    <mergeCell ref="Z31:AC31"/>
    <mergeCell ref="Z72:AC72"/>
    <mergeCell ref="Z91:AC91"/>
    <mergeCell ref="Z45:AA45"/>
    <mergeCell ref="Z52:AC52"/>
    <mergeCell ref="N5:O5"/>
  </mergeCells>
  <phoneticPr fontId="95" type="noConversion"/>
  <conditionalFormatting sqref="D13:D16 D19:D29 D33:D36 D39:D41 D46:D50 D53:D57 D60:D61 D63:D65 D70:D71 D73:D76 D79:D82 D111:D112 D87:D88 D93:D96 D99:D101 D104:D107 D84">
    <cfRule type="expression" dxfId="122" priority="40" stopIfTrue="1">
      <formula>C13&lt;50</formula>
    </cfRule>
    <cfRule type="expression" dxfId="121" priority="41" stopIfTrue="1">
      <formula>(D13/C13)&gt;0.45</formula>
    </cfRule>
    <cfRule type="expression" dxfId="120" priority="42" stopIfTrue="1">
      <formula>(D13/C13)&lt;0.25</formula>
    </cfRule>
  </conditionalFormatting>
  <conditionalFormatting sqref="T51">
    <cfRule type="expression" dxfId="119" priority="48" stopIfTrue="1">
      <formula>T51-SUM(AB53:AB55)&lt;0</formula>
    </cfRule>
  </conditionalFormatting>
  <conditionalFormatting sqref="P117">
    <cfRule type="expression" dxfId="118" priority="49" stopIfTrue="1">
      <formula>ABS(P117-W116)&lt;10000</formula>
    </cfRule>
    <cfRule type="expression" dxfId="117" priority="50" stopIfTrue="1">
      <formula>ABS((P117-W116)/W116)&gt;0.05</formula>
    </cfRule>
  </conditionalFormatting>
  <conditionalFormatting sqref="W116">
    <cfRule type="expression" dxfId="116" priority="51" stopIfTrue="1">
      <formula>ABS(P117-W116)&lt;10000</formula>
    </cfRule>
    <cfRule type="expression" dxfId="115" priority="52" stopIfTrue="1">
      <formula>ABS((P117-W116)/W116)&gt;0.05</formula>
    </cfRule>
  </conditionalFormatting>
  <conditionalFormatting sqref="P111">
    <cfRule type="expression" dxfId="114" priority="53" stopIfTrue="1">
      <formula>ABS(P111-W111)&lt;10000</formula>
    </cfRule>
    <cfRule type="expression" dxfId="113" priority="54" stopIfTrue="1">
      <formula>ABS((P111-W111)/W111)&gt;0.05</formula>
    </cfRule>
  </conditionalFormatting>
  <conditionalFormatting sqref="W111">
    <cfRule type="expression" dxfId="112" priority="75" stopIfTrue="1">
      <formula>ABS(P111-W111)&lt;10000</formula>
    </cfRule>
    <cfRule type="expression" dxfId="111" priority="76" stopIfTrue="1">
      <formula>ABS((P111-W111)/W111)&gt;0.05</formula>
    </cfRule>
  </conditionalFormatting>
  <conditionalFormatting sqref="P13:P14 P23:P24">
    <cfRule type="expression" dxfId="110" priority="58" stopIfTrue="1">
      <formula>$P$124&lt;100000</formula>
    </cfRule>
    <cfRule type="cellIs" dxfId="109" priority="59" stopIfTrue="1" operator="lessThan">
      <formula>1</formula>
    </cfRule>
  </conditionalFormatting>
  <conditionalFormatting sqref="C13:W113 P120:P122">
    <cfRule type="cellIs" dxfId="108" priority="33" stopIfTrue="1" operator="lessThan">
      <formula>-500</formula>
    </cfRule>
  </conditionalFormatting>
  <conditionalFormatting sqref="P118 W117:W118 I118">
    <cfRule type="cellIs" dxfId="107" priority="32" stopIfTrue="1" operator="lessThan">
      <formula>-500</formula>
    </cfRule>
  </conditionalFormatting>
  <conditionalFormatting sqref="H47">
    <cfRule type="cellIs" dxfId="106" priority="24" stopIfTrue="1" operator="greaterThan">
      <formula>$F$47</formula>
    </cfRule>
  </conditionalFormatting>
  <conditionalFormatting sqref="H50">
    <cfRule type="cellIs" dxfId="105" priority="22" stopIfTrue="1" operator="greaterThan">
      <formula>$F$50</formula>
    </cfRule>
  </conditionalFormatting>
  <conditionalFormatting sqref="R53">
    <cfRule type="cellIs" dxfId="104" priority="21" stopIfTrue="1" operator="greaterThan">
      <formula>100</formula>
    </cfRule>
  </conditionalFormatting>
  <conditionalFormatting sqref="R100">
    <cfRule type="expression" dxfId="103" priority="17" stopIfTrue="1">
      <formula>AND(C100&gt;5000,R100&lt;50)</formula>
    </cfRule>
  </conditionalFormatting>
  <conditionalFormatting sqref="R104">
    <cfRule type="expression" dxfId="102" priority="16" stopIfTrue="1">
      <formula>AND(C104&gt;5000,R104&lt;50)</formula>
    </cfRule>
  </conditionalFormatting>
  <conditionalFormatting sqref="R105">
    <cfRule type="expression" dxfId="101" priority="15" stopIfTrue="1">
      <formula>AND(C105&gt;5000,R105&lt;50)</formula>
    </cfRule>
  </conditionalFormatting>
  <conditionalFormatting sqref="R106">
    <cfRule type="expression" dxfId="100" priority="14" stopIfTrue="1">
      <formula>AND(C106&gt;5000,R106&lt;50)</formula>
    </cfRule>
  </conditionalFormatting>
  <conditionalFormatting sqref="R107">
    <cfRule type="expression" dxfId="99" priority="13" stopIfTrue="1">
      <formula>AND(C107&gt;5000,R107&lt;50)</formula>
    </cfRule>
  </conditionalFormatting>
  <conditionalFormatting sqref="R76">
    <cfRule type="expression" dxfId="98" priority="12" stopIfTrue="1">
      <formula>AND(C76&gt;5000,R76&lt;50)</formula>
    </cfRule>
  </conditionalFormatting>
  <conditionalFormatting sqref="R74">
    <cfRule type="expression" dxfId="97" priority="11" stopIfTrue="1">
      <formula>AND(C74&gt;5000,R74&lt;50)</formula>
    </cfRule>
  </conditionalFormatting>
  <conditionalFormatting sqref="R73">
    <cfRule type="expression" dxfId="96" priority="10" stopIfTrue="1">
      <formula>AND(C73&gt;5000,R73&lt;50)</formula>
    </cfRule>
  </conditionalFormatting>
  <conditionalFormatting sqref="R48">
    <cfRule type="expression" dxfId="95" priority="9" stopIfTrue="1">
      <formula>AND(C48&gt;5000,R48&lt;50)</formula>
    </cfRule>
  </conditionalFormatting>
  <conditionalFormatting sqref="C115:D120">
    <cfRule type="expression" dxfId="94" priority="6">
      <formula>(D112/C112)&gt;0.45</formula>
    </cfRule>
    <cfRule type="expression" dxfId="93" priority="7">
      <formula>(D112/C112)&lt;36%</formula>
    </cfRule>
  </conditionalFormatting>
  <conditionalFormatting sqref="J122:J125">
    <cfRule type="expression" dxfId="92" priority="1">
      <formula>(L119+L120-M120)/M120&gt;0.1</formula>
    </cfRule>
  </conditionalFormatting>
  <conditionalFormatting sqref="F121">
    <cfRule type="expression" dxfId="91" priority="116">
      <formula>(I119+I120-I122)/I122&gt;0.1</formula>
    </cfRule>
  </conditionalFormatting>
  <dataValidations count="1">
    <dataValidation type="decimal" operator="lessThan" allowBlank="1" showInputMessage="1" showErrorMessage="1" error="Beloppet ska vara i 1000 tal kr" sqref="V111 R111:U112 R93:V96 C93:N96 R99:V101 R84:V84 G114 R104:V107 C99:N101 C104:N107 C87:N88 C84:N84 I118 C79:N82 R79:V82 C111:O112 C63:N66 C70:N71 C73:N76 R73:V76 R70:V71 R63:V66 C13:N16 C19:N29 C33:N36 C39:N41 C46:N50 C53:N57 R53:V57 R46:V50 R39:V41 R33:V36 R19:V29 R13:V16 R60:V61 C60:N61 R87:V88 W117:W120 P118:P123" xr:uid="{00000000-0002-0000-0600-000000000000}">
      <formula1>99999999</formula1>
    </dataValidation>
  </dataValidations>
  <pageMargins left="0.43307086614173229" right="0.70866141732283472" top="0.43307086614173229" bottom="0" header="7.874015748031496E-2" footer="3.937007874015748E-2"/>
  <pageSetup paperSize="9" scale="83" orientation="landscape" r:id="rId4"/>
  <headerFooter>
    <oddHeader>&amp;LStatistiska Centralbyrån
Offentlig ekonomi</oddHeader>
  </headerFooter>
  <rowBreaks count="3" manualBreakCount="3">
    <brk id="43" max="16383" man="1"/>
    <brk id="68" max="16383" man="1"/>
    <brk id="90" max="16383" man="1"/>
  </rowBreaks>
  <colBreaks count="1" manualBreakCount="1">
    <brk id="16" max="1048575" man="1"/>
  </colBreaks>
  <ignoredErrors>
    <ignoredError sqref="A13:A113" numberStoredAsText="1"/>
  </ignoredErrors>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tabColor rgb="FFFFFF00"/>
  </sheetPr>
  <dimension ref="A1:AD55"/>
  <sheetViews>
    <sheetView showGridLines="0" zoomScaleNormal="100" workbookViewId="0">
      <pane xSplit="2" ySplit="8" topLeftCell="C9" activePane="bottomRight" state="frozen"/>
      <selection activeCell="F36" sqref="F36"/>
      <selection pane="topRight" activeCell="F36" sqref="F36"/>
      <selection pane="bottomLeft" activeCell="F36" sqref="F36"/>
      <selection pane="bottomRight" activeCell="B24" sqref="B24"/>
    </sheetView>
  </sheetViews>
  <sheetFormatPr defaultColWidth="0" defaultRowHeight="9" zeroHeight="1"/>
  <cols>
    <col min="1" max="1" width="5.42578125" style="158" customWidth="1"/>
    <col min="2" max="2" width="30.5703125" style="158" customWidth="1"/>
    <col min="3" max="4" width="8.5703125" style="158" customWidth="1"/>
    <col min="5" max="11" width="9.42578125" style="158" customWidth="1"/>
    <col min="12" max="12" width="8" style="158" customWidth="1"/>
    <col min="13" max="13" width="9.42578125" style="158" customWidth="1"/>
    <col min="14" max="14" width="8.42578125" style="158" customWidth="1"/>
    <col min="15" max="22" width="9.42578125" style="158" customWidth="1"/>
    <col min="23" max="24" width="8.42578125" style="158" customWidth="1"/>
    <col min="25" max="25" width="9.42578125" style="158" customWidth="1"/>
    <col min="26" max="26" width="10.5703125" style="158" customWidth="1"/>
    <col min="27" max="27" width="9.42578125" style="158" customWidth="1"/>
    <col min="28" max="28" width="8" style="158" customWidth="1"/>
    <col min="29" max="29" width="11.42578125" style="158" customWidth="1"/>
    <col min="30" max="30" width="25.5703125" style="158" customWidth="1"/>
    <col min="31" max="16384" width="0" style="158" hidden="1"/>
  </cols>
  <sheetData>
    <row r="1" spans="1:30" s="187" customFormat="1" ht="18.75" customHeight="1">
      <c r="A1" s="186"/>
      <c r="B1" s="87"/>
      <c r="C1" s="86" t="str">
        <f>"Motpartsredovisning "&amp;År&amp;", 1 000 tal kr"</f>
        <v>Motpartsredovisning 2023, 1 000 tal kr</v>
      </c>
      <c r="D1" s="87"/>
      <c r="E1" s="186"/>
      <c r="F1" s="186"/>
      <c r="G1" s="186"/>
      <c r="H1" s="186"/>
      <c r="I1" s="186"/>
      <c r="J1" s="628">
        <f>Information!B3</f>
        <v>0</v>
      </c>
      <c r="K1" s="629">
        <f>Information!B2</f>
        <v>0</v>
      </c>
      <c r="L1" s="186"/>
      <c r="M1" s="186"/>
      <c r="N1" s="86"/>
      <c r="O1" s="186"/>
      <c r="P1" s="186"/>
      <c r="Q1" s="186"/>
      <c r="R1" s="186"/>
      <c r="S1" s="86" t="str">
        <f>"Motpartsredovisning "&amp;År&amp;", 1 000 tal kr"</f>
        <v>Motpartsredovisning 2023, 1 000 tal kr</v>
      </c>
      <c r="T1" s="186"/>
      <c r="U1" s="186"/>
      <c r="V1" s="186"/>
      <c r="W1" s="186"/>
      <c r="X1" s="186"/>
      <c r="Y1" s="186"/>
      <c r="Z1" s="628">
        <f>Information!B3</f>
        <v>0</v>
      </c>
      <c r="AA1" s="629">
        <f>Information!B2</f>
        <v>0</v>
      </c>
      <c r="AB1" s="186"/>
      <c r="AC1" s="186"/>
      <c r="AD1" s="224"/>
    </row>
    <row r="2" spans="1:30" s="187" customFormat="1" ht="11.25" customHeight="1">
      <c r="A2" s="1487"/>
      <c r="C2" s="80"/>
      <c r="D2" s="107"/>
      <c r="E2" s="48" t="s">
        <v>627</v>
      </c>
      <c r="G2" s="224"/>
      <c r="H2" s="224"/>
      <c r="I2" s="1704"/>
      <c r="J2" s="48" t="s">
        <v>1188</v>
      </c>
      <c r="M2" s="224"/>
      <c r="N2" s="79"/>
      <c r="O2" s="224"/>
      <c r="P2" s="224"/>
      <c r="Q2" s="224"/>
      <c r="R2" s="224"/>
      <c r="S2" s="224"/>
      <c r="T2" s="224"/>
      <c r="U2" s="224"/>
      <c r="V2" s="224"/>
      <c r="W2" s="224"/>
      <c r="X2" s="224"/>
      <c r="Y2" s="224"/>
      <c r="Z2" s="224"/>
      <c r="AA2" s="224"/>
      <c r="AB2" s="224"/>
      <c r="AC2" s="224"/>
      <c r="AD2" s="224"/>
    </row>
    <row r="3" spans="1:30" ht="11.25" customHeight="1" thickBot="1">
      <c r="C3" s="136"/>
      <c r="D3" s="430"/>
      <c r="E3" s="48" t="s">
        <v>994</v>
      </c>
      <c r="F3" s="46"/>
      <c r="G3" s="46"/>
      <c r="H3" s="46"/>
      <c r="I3" s="46"/>
      <c r="J3" s="48" t="s">
        <v>1052</v>
      </c>
      <c r="K3" s="47"/>
      <c r="L3" s="47"/>
      <c r="M3" s="47"/>
      <c r="N3" s="46"/>
      <c r="O3" s="46"/>
      <c r="P3" s="46"/>
      <c r="Q3" s="46"/>
      <c r="R3" s="46"/>
      <c r="S3" s="46"/>
      <c r="T3" s="46"/>
      <c r="U3" s="46"/>
      <c r="V3" s="46"/>
      <c r="W3" s="46"/>
      <c r="X3" s="46"/>
      <c r="Y3" s="46"/>
      <c r="Z3" s="46"/>
      <c r="AA3" s="46"/>
      <c r="AB3" s="46"/>
      <c r="AC3" s="46"/>
    </row>
    <row r="4" spans="1:30" s="1605" customFormat="1" ht="18" customHeight="1">
      <c r="A4" s="1597" t="s">
        <v>873</v>
      </c>
      <c r="B4" s="1598" t="s">
        <v>13</v>
      </c>
      <c r="C4" s="1587"/>
      <c r="D4" s="1606" t="s">
        <v>1059</v>
      </c>
      <c r="E4" s="1598"/>
      <c r="F4" s="1598"/>
      <c r="G4" s="1598"/>
      <c r="H4" s="1598"/>
      <c r="I4" s="1598"/>
      <c r="J4" s="1598"/>
      <c r="K4" s="1598"/>
      <c r="L4" s="1598"/>
      <c r="M4" s="1599"/>
      <c r="N4" s="1606" t="s">
        <v>1028</v>
      </c>
      <c r="O4" s="1598"/>
      <c r="P4" s="1598"/>
      <c r="Q4" s="1598"/>
      <c r="R4" s="1598"/>
      <c r="S4" s="1598"/>
      <c r="T4" s="1598"/>
      <c r="U4" s="1598"/>
      <c r="V4" s="1598"/>
      <c r="W4" s="1598"/>
      <c r="X4" s="1600"/>
      <c r="Y4" s="1607" t="s">
        <v>644</v>
      </c>
      <c r="Z4" s="1601"/>
      <c r="AA4" s="1602"/>
      <c r="AB4" s="1602"/>
      <c r="AC4" s="1603"/>
      <c r="AD4" s="1604"/>
    </row>
    <row r="5" spans="1:30" ht="36.75" customHeight="1">
      <c r="A5" s="931" t="s">
        <v>876</v>
      </c>
      <c r="B5" s="1216"/>
      <c r="C5" s="1753" t="s">
        <v>556</v>
      </c>
      <c r="D5" s="1217" t="s">
        <v>522</v>
      </c>
      <c r="E5" s="1211" t="s">
        <v>548</v>
      </c>
      <c r="F5" s="1211" t="s">
        <v>523</v>
      </c>
      <c r="G5" s="1211" t="s">
        <v>134</v>
      </c>
      <c r="H5" s="1211" t="s">
        <v>1551</v>
      </c>
      <c r="I5" s="1211" t="s">
        <v>524</v>
      </c>
      <c r="J5" s="1211" t="s">
        <v>1079</v>
      </c>
      <c r="K5" s="1211" t="s">
        <v>1662</v>
      </c>
      <c r="L5" s="1211" t="s">
        <v>162</v>
      </c>
      <c r="M5" s="1213" t="s">
        <v>565</v>
      </c>
      <c r="N5" s="1700" t="s">
        <v>556</v>
      </c>
      <c r="O5" s="1211" t="s">
        <v>522</v>
      </c>
      <c r="P5" s="1588" t="s">
        <v>548</v>
      </c>
      <c r="Q5" s="1588" t="s">
        <v>523</v>
      </c>
      <c r="R5" s="1588" t="s">
        <v>134</v>
      </c>
      <c r="S5" s="1588" t="s">
        <v>1551</v>
      </c>
      <c r="T5" s="1588" t="s">
        <v>1662</v>
      </c>
      <c r="U5" s="1588" t="s">
        <v>1081</v>
      </c>
      <c r="V5" s="1588" t="s">
        <v>1079</v>
      </c>
      <c r="W5" s="1588" t="s">
        <v>162</v>
      </c>
      <c r="X5" s="1210" t="s">
        <v>565</v>
      </c>
      <c r="Y5" s="2675" t="s">
        <v>1815</v>
      </c>
      <c r="Z5" s="1211" t="s">
        <v>1666</v>
      </c>
      <c r="AA5" s="1212" t="s">
        <v>1816</v>
      </c>
      <c r="AB5" s="1212" t="s">
        <v>526</v>
      </c>
      <c r="AC5" s="1213" t="s">
        <v>527</v>
      </c>
      <c r="AD5" s="1206" t="s">
        <v>448</v>
      </c>
    </row>
    <row r="6" spans="1:30" ht="30.75" customHeight="1">
      <c r="A6" s="1303"/>
      <c r="B6" s="2799" t="str">
        <f>"BAS "&amp;År-2000&amp;""</f>
        <v>BAS 23</v>
      </c>
      <c r="C6" s="1699"/>
      <c r="D6" s="1923" t="s">
        <v>1029</v>
      </c>
      <c r="E6" s="1924" t="s">
        <v>1030</v>
      </c>
      <c r="F6" s="1924" t="s">
        <v>1031</v>
      </c>
      <c r="G6" s="1924" t="s">
        <v>1032</v>
      </c>
      <c r="H6" s="1924" t="s">
        <v>1033</v>
      </c>
      <c r="I6" s="1924" t="s">
        <v>1034</v>
      </c>
      <c r="J6" s="1924" t="s">
        <v>1035</v>
      </c>
      <c r="K6" s="1924" t="s">
        <v>1036</v>
      </c>
      <c r="L6" s="1924" t="s">
        <v>1037</v>
      </c>
      <c r="M6" s="1214"/>
      <c r="N6" s="1701"/>
      <c r="O6" s="1923" t="s">
        <v>1029</v>
      </c>
      <c r="P6" s="1924" t="s">
        <v>1030</v>
      </c>
      <c r="Q6" s="1924" t="s">
        <v>1031</v>
      </c>
      <c r="R6" s="1924" t="s">
        <v>1032</v>
      </c>
      <c r="S6" s="1924" t="s">
        <v>1033</v>
      </c>
      <c r="T6" s="1924" t="s">
        <v>1036</v>
      </c>
      <c r="U6" s="1924" t="s">
        <v>1034</v>
      </c>
      <c r="V6" s="1924" t="s">
        <v>1035</v>
      </c>
      <c r="W6" s="1924" t="s">
        <v>1037</v>
      </c>
      <c r="X6" s="1214"/>
      <c r="Y6" s="2676" t="s">
        <v>1552</v>
      </c>
      <c r="Z6" s="1928" t="s">
        <v>1038</v>
      </c>
      <c r="AA6" s="1924" t="s">
        <v>1039</v>
      </c>
      <c r="AB6" s="1924" t="s">
        <v>142</v>
      </c>
      <c r="AC6" s="2724" t="s">
        <v>1718</v>
      </c>
      <c r="AD6" s="1207"/>
    </row>
    <row r="7" spans="1:30" ht="4.5" customHeight="1">
      <c r="A7" s="1219"/>
      <c r="B7" s="1925"/>
      <c r="C7" s="1926"/>
      <c r="D7" s="1918"/>
      <c r="E7" s="1919"/>
      <c r="F7" s="1919"/>
      <c r="G7" s="1919"/>
      <c r="H7" s="1919"/>
      <c r="I7" s="1919"/>
      <c r="J7" s="1919"/>
      <c r="K7" s="1919"/>
      <c r="L7" s="1927"/>
      <c r="M7" s="1214"/>
      <c r="N7" s="1917"/>
      <c r="O7" s="1918"/>
      <c r="P7" s="1919"/>
      <c r="Q7" s="1919"/>
      <c r="R7" s="1919"/>
      <c r="S7" s="1919"/>
      <c r="T7" s="1919"/>
      <c r="U7" s="1920"/>
      <c r="V7" s="1919"/>
      <c r="W7" s="696"/>
      <c r="X7" s="1214"/>
      <c r="Y7" s="1929"/>
      <c r="Z7" s="1930"/>
      <c r="AA7" s="1930"/>
      <c r="AB7" s="1931"/>
      <c r="AC7" s="1932"/>
      <c r="AD7" s="753"/>
    </row>
    <row r="8" spans="1:30" ht="12" hidden="1" customHeight="1">
      <c r="A8" s="1218"/>
      <c r="B8" s="1921"/>
      <c r="C8" s="1922"/>
      <c r="D8" s="1907"/>
      <c r="E8" s="1908"/>
      <c r="F8" s="1908"/>
      <c r="G8" s="1908"/>
      <c r="H8" s="1908"/>
      <c r="I8" s="1908"/>
      <c r="J8" s="1908"/>
      <c r="K8" s="1908"/>
      <c r="L8" s="1909"/>
      <c r="M8" s="1215"/>
      <c r="N8" s="1910"/>
      <c r="O8" s="1907"/>
      <c r="P8" s="1908"/>
      <c r="Q8" s="1908"/>
      <c r="R8" s="1908"/>
      <c r="S8" s="1908"/>
      <c r="T8" s="1908"/>
      <c r="U8" s="1911"/>
      <c r="V8" s="1908"/>
      <c r="W8" s="1912"/>
      <c r="X8" s="1215"/>
      <c r="Y8" s="1913"/>
      <c r="Z8" s="1914"/>
      <c r="AA8" s="1914"/>
      <c r="AB8" s="1915"/>
      <c r="AC8" s="1916"/>
      <c r="AD8" s="1208"/>
    </row>
    <row r="9" spans="1:30" ht="14.25" customHeight="1">
      <c r="A9" s="1840">
        <v>190</v>
      </c>
      <c r="B9" s="1221" t="s">
        <v>15</v>
      </c>
      <c r="C9" s="92">
        <f>Drift!F17</f>
        <v>0</v>
      </c>
      <c r="D9" s="71"/>
      <c r="E9" s="71"/>
      <c r="F9" s="71"/>
      <c r="G9" s="71"/>
      <c r="H9" s="71"/>
      <c r="I9" s="71"/>
      <c r="J9" s="1465"/>
      <c r="K9" s="205"/>
      <c r="L9" s="205"/>
      <c r="M9" s="549">
        <f>C9-SUM(D9:L9)</f>
        <v>0</v>
      </c>
      <c r="N9" s="550">
        <f>Drift!H17</f>
        <v>0</v>
      </c>
      <c r="O9" s="71"/>
      <c r="P9" s="71"/>
      <c r="Q9" s="71"/>
      <c r="R9" s="71"/>
      <c r="S9" s="71"/>
      <c r="T9" s="71"/>
      <c r="U9" s="71"/>
      <c r="V9" s="71"/>
      <c r="W9" s="71"/>
      <c r="X9" s="549">
        <f>N9-SUM(O9:W9)</f>
        <v>0</v>
      </c>
      <c r="Y9" s="552"/>
      <c r="Z9" s="71"/>
      <c r="AA9" s="71"/>
      <c r="AB9" s="71"/>
      <c r="AC9" s="108"/>
      <c r="AD9" s="647" t="str">
        <f>IF((SUM(Y9:AC9)/(Drift!T17+1))&gt;1,(ROUND(SUM(Y9:AC9)-Drift!T17,0))&amp;" tkr högre intäkter i motparten än i driften!","")</f>
        <v/>
      </c>
    </row>
    <row r="10" spans="1:30" ht="13.35" customHeight="1">
      <c r="A10" s="692" t="s">
        <v>241</v>
      </c>
      <c r="B10" s="698" t="s">
        <v>161</v>
      </c>
      <c r="C10" s="92">
        <f>Drift!F30</f>
        <v>0</v>
      </c>
      <c r="D10" s="58"/>
      <c r="E10" s="58"/>
      <c r="F10" s="58"/>
      <c r="G10" s="58"/>
      <c r="H10" s="58"/>
      <c r="I10" s="58"/>
      <c r="J10" s="1453"/>
      <c r="K10" s="59"/>
      <c r="L10" s="205"/>
      <c r="M10" s="549">
        <f t="shared" ref="M10:M39" si="0">C10-SUM(D10:L10)</f>
        <v>0</v>
      </c>
      <c r="N10" s="550">
        <f>Drift!H30</f>
        <v>0</v>
      </c>
      <c r="O10" s="58"/>
      <c r="P10" s="58"/>
      <c r="Q10" s="58"/>
      <c r="R10" s="58"/>
      <c r="S10" s="58"/>
      <c r="T10" s="58"/>
      <c r="U10" s="58"/>
      <c r="V10" s="58"/>
      <c r="W10" s="58"/>
      <c r="X10" s="549">
        <f t="shared" ref="X10:X39" si="1">N10-SUM(O10:W10)</f>
        <v>0</v>
      </c>
      <c r="Y10" s="553"/>
      <c r="Z10" s="58"/>
      <c r="AA10" s="58"/>
      <c r="AB10" s="58"/>
      <c r="AC10" s="195"/>
      <c r="AD10" s="648" t="str">
        <f>IF((SUM(Y10:AC10)/(Drift!T30+1))&gt;1,(ROUND(SUM(Y10:AC10)-Drift!T30,0))&amp;" tkr högre intäkter i motparten än i driften!","")</f>
        <v/>
      </c>
    </row>
    <row r="11" spans="1:30" ht="13.35" customHeight="1">
      <c r="A11" s="692">
        <v>339</v>
      </c>
      <c r="B11" s="698" t="s">
        <v>72</v>
      </c>
      <c r="C11" s="92">
        <f>Drift!F37</f>
        <v>0</v>
      </c>
      <c r="D11" s="71"/>
      <c r="E11" s="71"/>
      <c r="F11" s="71"/>
      <c r="G11" s="71"/>
      <c r="H11" s="71"/>
      <c r="I11" s="71"/>
      <c r="J11" s="1465"/>
      <c r="K11" s="205"/>
      <c r="L11" s="205"/>
      <c r="M11" s="549">
        <f t="shared" si="0"/>
        <v>0</v>
      </c>
      <c r="N11" s="550">
        <f>Drift!H37</f>
        <v>0</v>
      </c>
      <c r="O11" s="71"/>
      <c r="P11" s="71"/>
      <c r="Q11" s="71"/>
      <c r="R11" s="71"/>
      <c r="S11" s="71"/>
      <c r="T11" s="71"/>
      <c r="U11" s="71"/>
      <c r="V11" s="71"/>
      <c r="W11" s="71"/>
      <c r="X11" s="549">
        <f t="shared" si="1"/>
        <v>0</v>
      </c>
      <c r="Y11" s="552"/>
      <c r="Z11" s="71"/>
      <c r="AA11" s="71"/>
      <c r="AB11" s="71"/>
      <c r="AC11" s="108"/>
      <c r="AD11" s="648" t="str">
        <f>IF((SUM(Y11:AC11)/(Drift!T37+1))&gt;1,(ROUND(SUM(Y11:AC11)-Drift!T37,0))&amp;" tkr högre intäkter i motparten än i driften!","")</f>
        <v/>
      </c>
    </row>
    <row r="12" spans="1:30" ht="13.35" customHeight="1">
      <c r="A12" s="692">
        <v>359</v>
      </c>
      <c r="B12" s="698" t="s">
        <v>143</v>
      </c>
      <c r="C12" s="92">
        <f>Drift!F42</f>
        <v>0</v>
      </c>
      <c r="D12" s="71"/>
      <c r="E12" s="71"/>
      <c r="F12" s="71"/>
      <c r="G12" s="71"/>
      <c r="H12" s="71"/>
      <c r="I12" s="71"/>
      <c r="J12" s="1465"/>
      <c r="K12" s="205"/>
      <c r="L12" s="205"/>
      <c r="M12" s="549">
        <f t="shared" si="0"/>
        <v>0</v>
      </c>
      <c r="N12" s="550">
        <f>Drift!H42</f>
        <v>0</v>
      </c>
      <c r="O12" s="71"/>
      <c r="P12" s="71"/>
      <c r="Q12" s="71"/>
      <c r="R12" s="71"/>
      <c r="S12" s="71"/>
      <c r="T12" s="71"/>
      <c r="U12" s="71"/>
      <c r="V12" s="71"/>
      <c r="W12" s="71"/>
      <c r="X12" s="549">
        <f t="shared" si="1"/>
        <v>0</v>
      </c>
      <c r="Y12" s="552"/>
      <c r="Z12" s="71"/>
      <c r="AA12" s="71"/>
      <c r="AB12" s="71"/>
      <c r="AC12" s="108"/>
      <c r="AD12" s="648" t="str">
        <f>IF((SUM(Y12:AC12)/(Drift!T42+1))&gt;1,(ROUND(SUM(Y12:AC12)-Drift!T42,0))&amp;" tkr högre intäkter i motparten än i driften!","")</f>
        <v/>
      </c>
    </row>
    <row r="13" spans="1:30" ht="13.35" customHeight="1">
      <c r="A13" s="692">
        <v>407</v>
      </c>
      <c r="B13" s="698" t="s">
        <v>81</v>
      </c>
      <c r="C13" s="92">
        <f>Drift!F47</f>
        <v>0</v>
      </c>
      <c r="D13" s="58"/>
      <c r="E13" s="58"/>
      <c r="F13" s="58"/>
      <c r="G13" s="58"/>
      <c r="H13" s="58"/>
      <c r="I13" s="58"/>
      <c r="J13" s="1453"/>
      <c r="K13" s="59"/>
      <c r="L13" s="205"/>
      <c r="M13" s="1540">
        <f>C13-SUM(D13:L13)</f>
        <v>0</v>
      </c>
      <c r="N13" s="550">
        <f>Drift!H47</f>
        <v>0</v>
      </c>
      <c r="O13" s="58"/>
      <c r="P13" s="58"/>
      <c r="Q13" s="58"/>
      <c r="R13" s="58"/>
      <c r="S13" s="58"/>
      <c r="T13" s="58"/>
      <c r="U13" s="58"/>
      <c r="V13" s="58"/>
      <c r="W13" s="58"/>
      <c r="X13" s="549">
        <f t="shared" si="1"/>
        <v>0</v>
      </c>
      <c r="Y13" s="553"/>
      <c r="Z13" s="58"/>
      <c r="AA13" s="58"/>
      <c r="AB13" s="58"/>
      <c r="AC13" s="108"/>
      <c r="AD13" s="648" t="str">
        <f>IF((SUM(Y13:AC13)/(Drift!T47+1))&gt;1,(ROUND(SUM(Y13:AC13)-Drift!T47,0))&amp;" tkr högre intäkter i motparten än i driften!","")</f>
        <v/>
      </c>
    </row>
    <row r="14" spans="1:30" ht="13.35" customHeight="1">
      <c r="A14" s="692">
        <v>412</v>
      </c>
      <c r="B14" s="698" t="s">
        <v>82</v>
      </c>
      <c r="C14" s="92">
        <f>Drift!F48</f>
        <v>0</v>
      </c>
      <c r="D14" s="58"/>
      <c r="E14" s="58"/>
      <c r="F14" s="58"/>
      <c r="G14" s="58"/>
      <c r="H14" s="58"/>
      <c r="I14" s="58"/>
      <c r="J14" s="1453"/>
      <c r="K14" s="59"/>
      <c r="L14" s="205"/>
      <c r="M14" s="1540">
        <f t="shared" si="0"/>
        <v>0</v>
      </c>
      <c r="N14" s="550">
        <f>Drift!H48</f>
        <v>0</v>
      </c>
      <c r="O14" s="58"/>
      <c r="P14" s="58"/>
      <c r="Q14" s="58"/>
      <c r="R14" s="58"/>
      <c r="S14" s="58"/>
      <c r="T14" s="58"/>
      <c r="U14" s="58"/>
      <c r="V14" s="58"/>
      <c r="W14" s="58"/>
      <c r="X14" s="549">
        <f t="shared" si="1"/>
        <v>0</v>
      </c>
      <c r="Y14" s="553"/>
      <c r="Z14" s="58"/>
      <c r="AA14" s="58"/>
      <c r="AB14" s="58"/>
      <c r="AC14" s="108"/>
      <c r="AD14" s="648" t="str">
        <f>IF((SUM(Y14:AC14)/(Drift!T48+1))&gt;1,(ROUND(SUM(Y14:AC14)-Drift!T48,0))&amp;" tkr högre intäkter i motparten än i driften!","")</f>
        <v/>
      </c>
    </row>
    <row r="15" spans="1:30" ht="13.35" customHeight="1">
      <c r="A15" s="692">
        <v>425</v>
      </c>
      <c r="B15" s="698" t="s">
        <v>84</v>
      </c>
      <c r="C15" s="92">
        <f>Drift!F50</f>
        <v>0</v>
      </c>
      <c r="D15" s="58"/>
      <c r="E15" s="58"/>
      <c r="F15" s="58"/>
      <c r="G15" s="58"/>
      <c r="H15" s="58"/>
      <c r="I15" s="58"/>
      <c r="J15" s="1453"/>
      <c r="K15" s="59"/>
      <c r="L15" s="205"/>
      <c r="M15" s="1540">
        <f>C15-SUM(D15:L15)</f>
        <v>0</v>
      </c>
      <c r="N15" s="550">
        <f>Drift!H50</f>
        <v>0</v>
      </c>
      <c r="O15" s="58"/>
      <c r="P15" s="58"/>
      <c r="Q15" s="58"/>
      <c r="R15" s="58"/>
      <c r="S15" s="58"/>
      <c r="T15" s="58"/>
      <c r="U15" s="58"/>
      <c r="V15" s="58"/>
      <c r="W15" s="58"/>
      <c r="X15" s="549">
        <f t="shared" si="1"/>
        <v>0</v>
      </c>
      <c r="Y15" s="553"/>
      <c r="Z15" s="58"/>
      <c r="AA15" s="58"/>
      <c r="AB15" s="58"/>
      <c r="AC15" s="108"/>
      <c r="AD15" s="648" t="str">
        <f>IF((SUM(Y15:AC15)/(Drift!T50+1))&gt;1,(ROUND(SUM(Y15:AC15)-Drift!T50,0))&amp;" tkr högre intäkter i motparten än i driften!","")</f>
        <v/>
      </c>
    </row>
    <row r="16" spans="1:30" ht="20.25" customHeight="1">
      <c r="A16" s="692">
        <v>419</v>
      </c>
      <c r="B16" s="698" t="s">
        <v>167</v>
      </c>
      <c r="C16" s="92">
        <f>SUM(Drift!F46,Drift!F49)</f>
        <v>0</v>
      </c>
      <c r="D16" s="58"/>
      <c r="E16" s="58"/>
      <c r="F16" s="58"/>
      <c r="G16" s="58"/>
      <c r="H16" s="58"/>
      <c r="I16" s="58"/>
      <c r="J16" s="1453"/>
      <c r="K16" s="59"/>
      <c r="L16" s="205"/>
      <c r="M16" s="1540">
        <f t="shared" si="0"/>
        <v>0</v>
      </c>
      <c r="N16" s="550">
        <f>SUM(Drift!H46,Drift!H49)</f>
        <v>0</v>
      </c>
      <c r="O16" s="58"/>
      <c r="P16" s="58"/>
      <c r="Q16" s="58"/>
      <c r="R16" s="58"/>
      <c r="S16" s="58"/>
      <c r="T16" s="58"/>
      <c r="U16" s="58"/>
      <c r="V16" s="58"/>
      <c r="W16" s="58"/>
      <c r="X16" s="549">
        <f t="shared" si="1"/>
        <v>0</v>
      </c>
      <c r="Y16" s="553"/>
      <c r="Z16" s="58"/>
      <c r="AA16" s="58"/>
      <c r="AB16" s="58"/>
      <c r="AC16" s="108"/>
      <c r="AD16" s="648" t="str">
        <f>IF((SUM(Y16:AC16)/(Drift!T46+Drift!T49+1))&gt;1,(ROUND(SUM(Y16:AC16)-Drift!T46-Drift!T49,0))&amp;" tkr högre intäkter i motparten än i driften!","")</f>
        <v/>
      </c>
    </row>
    <row r="17" spans="1:30" ht="13.35" customHeight="1">
      <c r="A17" s="692">
        <v>435</v>
      </c>
      <c r="B17" s="698" t="s">
        <v>532</v>
      </c>
      <c r="C17" s="92">
        <f>Drift!F53</f>
        <v>0</v>
      </c>
      <c r="D17" s="58"/>
      <c r="E17" s="58"/>
      <c r="F17" s="58"/>
      <c r="G17" s="58"/>
      <c r="H17" s="58"/>
      <c r="I17" s="58"/>
      <c r="J17" s="1453"/>
      <c r="K17" s="59"/>
      <c r="L17" s="205"/>
      <c r="M17" s="1540">
        <f t="shared" si="0"/>
        <v>0</v>
      </c>
      <c r="N17" s="550">
        <f>Drift!H53</f>
        <v>0</v>
      </c>
      <c r="O17" s="58"/>
      <c r="P17" s="58"/>
      <c r="Q17" s="58"/>
      <c r="R17" s="58"/>
      <c r="S17" s="58"/>
      <c r="T17" s="58"/>
      <c r="U17" s="58"/>
      <c r="V17" s="58"/>
      <c r="W17" s="58"/>
      <c r="X17" s="549">
        <f t="shared" si="1"/>
        <v>0</v>
      </c>
      <c r="Y17" s="553"/>
      <c r="Z17" s="58"/>
      <c r="AA17" s="58"/>
      <c r="AB17" s="58"/>
      <c r="AC17" s="108"/>
      <c r="AD17" s="648" t="str">
        <f>IF((SUM(Y17:AC17)/(Drift!T53+1))&gt;1,(ROUND(SUM(Y17:AC17)-Drift!T53,0))&amp;" tkr högre intäkter i motparten än i driften!","")</f>
        <v/>
      </c>
    </row>
    <row r="18" spans="1:30" ht="13.35" customHeight="1">
      <c r="A18" s="692">
        <v>440</v>
      </c>
      <c r="B18" s="698" t="s">
        <v>423</v>
      </c>
      <c r="C18" s="92">
        <f>Drift!F54</f>
        <v>0</v>
      </c>
      <c r="D18" s="58"/>
      <c r="E18" s="58"/>
      <c r="F18" s="58"/>
      <c r="G18" s="58"/>
      <c r="H18" s="58"/>
      <c r="I18" s="58"/>
      <c r="J18" s="1453"/>
      <c r="K18" s="59"/>
      <c r="L18" s="205"/>
      <c r="M18" s="1540">
        <f t="shared" si="0"/>
        <v>0</v>
      </c>
      <c r="N18" s="550">
        <f>Drift!H54</f>
        <v>0</v>
      </c>
      <c r="O18" s="58"/>
      <c r="P18" s="58"/>
      <c r="Q18" s="58"/>
      <c r="R18" s="58"/>
      <c r="S18" s="58"/>
      <c r="T18" s="58"/>
      <c r="U18" s="58"/>
      <c r="V18" s="58"/>
      <c r="W18" s="58"/>
      <c r="X18" s="549">
        <f t="shared" si="1"/>
        <v>0</v>
      </c>
      <c r="Y18" s="553"/>
      <c r="Z18" s="58"/>
      <c r="AA18" s="58"/>
      <c r="AB18" s="58"/>
      <c r="AC18" s="108"/>
      <c r="AD18" s="648" t="str">
        <f>IF((SUM(Y18:AC18)/(Drift!T54+1))&gt;1,(ROUND(SUM(Y18:AC18)-Drift!T54,0))&amp;" tkr högre intäkter i motparten än i driften!","")</f>
        <v/>
      </c>
    </row>
    <row r="19" spans="1:30" ht="13.35" customHeight="1">
      <c r="A19" s="692">
        <v>443</v>
      </c>
      <c r="B19" s="2814" t="s">
        <v>1820</v>
      </c>
      <c r="C19" s="92">
        <f>Drift!F55</f>
        <v>0</v>
      </c>
      <c r="D19" s="58"/>
      <c r="E19" s="58"/>
      <c r="F19" s="58"/>
      <c r="G19" s="58"/>
      <c r="H19" s="58"/>
      <c r="I19" s="58"/>
      <c r="J19" s="1453"/>
      <c r="K19" s="59"/>
      <c r="L19" s="205"/>
      <c r="M19" s="1540">
        <f t="shared" si="0"/>
        <v>0</v>
      </c>
      <c r="N19" s="550">
        <f>Drift!H55</f>
        <v>0</v>
      </c>
      <c r="O19" s="58"/>
      <c r="P19" s="58"/>
      <c r="Q19" s="58"/>
      <c r="R19" s="58"/>
      <c r="S19" s="58"/>
      <c r="T19" s="58"/>
      <c r="U19" s="58"/>
      <c r="V19" s="58"/>
      <c r="W19" s="58"/>
      <c r="X19" s="549">
        <f t="shared" si="1"/>
        <v>0</v>
      </c>
      <c r="Y19" s="553"/>
      <c r="Z19" s="58"/>
      <c r="AA19" s="58"/>
      <c r="AB19" s="58"/>
      <c r="AC19" s="108"/>
      <c r="AD19" s="648" t="str">
        <f>IF((SUM(Y19:AC19)/(Drift!T55+1))&gt;1,(ROUND(SUM(Y19:AC19)-Drift!T55,0))&amp;" tkr högre intäkter i motparten än i driften!","")</f>
        <v/>
      </c>
    </row>
    <row r="20" spans="1:30" ht="13.35" customHeight="1">
      <c r="A20" s="692">
        <v>450</v>
      </c>
      <c r="B20" s="698" t="s">
        <v>144</v>
      </c>
      <c r="C20" s="92">
        <f>Drift!F56</f>
        <v>0</v>
      </c>
      <c r="D20" s="58"/>
      <c r="E20" s="58"/>
      <c r="F20" s="58"/>
      <c r="G20" s="58"/>
      <c r="H20" s="58"/>
      <c r="I20" s="58"/>
      <c r="J20" s="1453"/>
      <c r="K20" s="59"/>
      <c r="L20" s="205"/>
      <c r="M20" s="1540">
        <f t="shared" si="0"/>
        <v>0</v>
      </c>
      <c r="N20" s="550">
        <f>Drift!H56</f>
        <v>0</v>
      </c>
      <c r="O20" s="58"/>
      <c r="P20" s="58"/>
      <c r="Q20" s="58"/>
      <c r="R20" s="58"/>
      <c r="S20" s="58"/>
      <c r="T20" s="58"/>
      <c r="U20" s="58"/>
      <c r="V20" s="58"/>
      <c r="W20" s="58"/>
      <c r="X20" s="549">
        <f t="shared" si="1"/>
        <v>0</v>
      </c>
      <c r="Y20" s="553"/>
      <c r="Z20" s="58"/>
      <c r="AA20" s="58"/>
      <c r="AB20" s="58"/>
      <c r="AC20" s="108"/>
      <c r="AD20" s="648" t="str">
        <f>IF((SUM(Y20:AC20)/(Drift!T56+1))&gt;1,(ROUND(SUM(Y20:AC20)-Drift!T56,0))&amp;" tkr högre intäkter i motparten än i driften!","")</f>
        <v/>
      </c>
    </row>
    <row r="21" spans="1:30" ht="13.35" customHeight="1">
      <c r="A21" s="692">
        <v>453</v>
      </c>
      <c r="B21" s="2814" t="s">
        <v>1821</v>
      </c>
      <c r="C21" s="92">
        <f>Drift!F57</f>
        <v>0</v>
      </c>
      <c r="D21" s="58"/>
      <c r="E21" s="58"/>
      <c r="F21" s="58"/>
      <c r="G21" s="58"/>
      <c r="H21" s="58"/>
      <c r="I21" s="58"/>
      <c r="J21" s="1453"/>
      <c r="K21" s="59"/>
      <c r="L21" s="205"/>
      <c r="M21" s="1540">
        <f t="shared" si="0"/>
        <v>0</v>
      </c>
      <c r="N21" s="550">
        <f>Drift!H57</f>
        <v>0</v>
      </c>
      <c r="O21" s="58"/>
      <c r="P21" s="58"/>
      <c r="Q21" s="58"/>
      <c r="R21" s="58"/>
      <c r="S21" s="58"/>
      <c r="T21" s="58"/>
      <c r="U21" s="58"/>
      <c r="V21" s="58"/>
      <c r="W21" s="58"/>
      <c r="X21" s="549">
        <f t="shared" si="1"/>
        <v>0</v>
      </c>
      <c r="Y21" s="553"/>
      <c r="Z21" s="58"/>
      <c r="AA21" s="58"/>
      <c r="AB21" s="58"/>
      <c r="AC21" s="108"/>
      <c r="AD21" s="648" t="str">
        <f>IF((SUM(Y21:AC21)/(Drift!T57+1))&gt;1,(ROUND(SUM(Y21:AC21)-Drift!T57,0))&amp;" tkr högre intäkter i motparten än i driften!","")</f>
        <v/>
      </c>
    </row>
    <row r="22" spans="1:30" ht="13.35" customHeight="1">
      <c r="A22" s="692" t="s">
        <v>539</v>
      </c>
      <c r="B22" s="698" t="s">
        <v>424</v>
      </c>
      <c r="C22" s="92">
        <f>Drift!F60</f>
        <v>0</v>
      </c>
      <c r="D22" s="58"/>
      <c r="E22" s="58"/>
      <c r="F22" s="58"/>
      <c r="G22" s="58"/>
      <c r="H22" s="58"/>
      <c r="I22" s="58"/>
      <c r="J22" s="1453"/>
      <c r="K22" s="59"/>
      <c r="L22" s="205"/>
      <c r="M22" s="1540">
        <f t="shared" si="0"/>
        <v>0</v>
      </c>
      <c r="N22" s="550">
        <f>Drift!H60</f>
        <v>0</v>
      </c>
      <c r="O22" s="58"/>
      <c r="P22" s="58"/>
      <c r="Q22" s="58"/>
      <c r="R22" s="58"/>
      <c r="S22" s="58"/>
      <c r="T22" s="58"/>
      <c r="U22" s="58"/>
      <c r="V22" s="58"/>
      <c r="W22" s="58"/>
      <c r="X22" s="549">
        <f t="shared" si="1"/>
        <v>0</v>
      </c>
      <c r="Y22" s="553"/>
      <c r="Z22" s="58"/>
      <c r="AA22" s="58"/>
      <c r="AB22" s="58"/>
      <c r="AC22" s="108"/>
      <c r="AD22" s="648" t="str">
        <f>IF((SUM(Y22:AC22)/(Drift!T60+1))&gt;1,(ROUND(SUM(Y22:AC22)-Drift!T60,0))&amp;" tkr högre intäkter i motparten än i driften!","")</f>
        <v/>
      </c>
    </row>
    <row r="23" spans="1:30" ht="13.35" customHeight="1">
      <c r="A23" s="692" t="s">
        <v>540</v>
      </c>
      <c r="B23" s="698" t="s">
        <v>425</v>
      </c>
      <c r="C23" s="92">
        <f>Drift!F61</f>
        <v>0</v>
      </c>
      <c r="D23" s="58"/>
      <c r="E23" s="58"/>
      <c r="F23" s="58"/>
      <c r="G23" s="58"/>
      <c r="H23" s="58"/>
      <c r="I23" s="58"/>
      <c r="J23" s="1453"/>
      <c r="K23" s="59"/>
      <c r="L23" s="205"/>
      <c r="M23" s="1540">
        <f t="shared" si="0"/>
        <v>0</v>
      </c>
      <c r="N23" s="550">
        <f>Drift!H61</f>
        <v>0</v>
      </c>
      <c r="O23" s="58"/>
      <c r="P23" s="58"/>
      <c r="Q23" s="58"/>
      <c r="R23" s="58"/>
      <c r="S23" s="58"/>
      <c r="T23" s="58"/>
      <c r="U23" s="58"/>
      <c r="V23" s="58"/>
      <c r="W23" s="58"/>
      <c r="X23" s="549">
        <f t="shared" si="1"/>
        <v>0</v>
      </c>
      <c r="Y23" s="553"/>
      <c r="Z23" s="58"/>
      <c r="AA23" s="58"/>
      <c r="AB23" s="58"/>
      <c r="AC23" s="108"/>
      <c r="AD23" s="648" t="str">
        <f>IF((SUM(Y23:AC23)/(Drift!T61+1))&gt;1,(ROUND(SUM(Y23:AC23)-Drift!T61,0))&amp;" tkr högre intäkter i motparten än i driften!","")</f>
        <v/>
      </c>
    </row>
    <row r="24" spans="1:30" ht="13.35" customHeight="1">
      <c r="A24" s="692">
        <v>474</v>
      </c>
      <c r="B24" s="2814" t="s">
        <v>1836</v>
      </c>
      <c r="C24" s="92">
        <f>Drift!F63</f>
        <v>0</v>
      </c>
      <c r="D24" s="58"/>
      <c r="E24" s="58"/>
      <c r="F24" s="58"/>
      <c r="G24" s="58"/>
      <c r="H24" s="58"/>
      <c r="I24" s="58"/>
      <c r="J24" s="1453"/>
      <c r="K24" s="59"/>
      <c r="L24" s="205"/>
      <c r="M24" s="549">
        <f t="shared" si="0"/>
        <v>0</v>
      </c>
      <c r="N24" s="550">
        <f>Drift!H63</f>
        <v>0</v>
      </c>
      <c r="O24" s="58"/>
      <c r="P24" s="58"/>
      <c r="Q24" s="58"/>
      <c r="R24" s="58"/>
      <c r="S24" s="58"/>
      <c r="T24" s="58"/>
      <c r="U24" s="58"/>
      <c r="V24" s="58"/>
      <c r="W24" s="58"/>
      <c r="X24" s="549">
        <f t="shared" si="1"/>
        <v>0</v>
      </c>
      <c r="Y24" s="552"/>
      <c r="Z24" s="58"/>
      <c r="AA24" s="58"/>
      <c r="AB24" s="58"/>
      <c r="AC24" s="108"/>
      <c r="AD24" s="648" t="str">
        <f>IF((SUM(Y24:AC24)/(Drift!T63+1))&gt;1,(ROUND(SUM(Y24:AC24)-Drift!T63,0))&amp;" tkr högre intäkter i motparten än i driften!","")</f>
        <v/>
      </c>
    </row>
    <row r="25" spans="1:30" ht="13.35" customHeight="1">
      <c r="A25" s="692">
        <v>479</v>
      </c>
      <c r="B25" s="698" t="s">
        <v>490</v>
      </c>
      <c r="C25" s="92">
        <f>SUM(Drift!F64,Drift!F65,Drift!F66)</f>
        <v>0</v>
      </c>
      <c r="D25" s="58"/>
      <c r="E25" s="58"/>
      <c r="F25" s="58"/>
      <c r="G25" s="58"/>
      <c r="H25" s="58"/>
      <c r="I25" s="58"/>
      <c r="J25" s="1453"/>
      <c r="K25" s="59"/>
      <c r="L25" s="205"/>
      <c r="M25" s="549">
        <f t="shared" si="0"/>
        <v>0</v>
      </c>
      <c r="N25" s="550">
        <f>SUM(Drift!H64:H66)</f>
        <v>0</v>
      </c>
      <c r="O25" s="58"/>
      <c r="P25" s="58"/>
      <c r="Q25" s="58"/>
      <c r="R25" s="58"/>
      <c r="S25" s="58"/>
      <c r="T25" s="58"/>
      <c r="U25" s="58"/>
      <c r="V25" s="58"/>
      <c r="W25" s="58"/>
      <c r="X25" s="549">
        <f t="shared" si="1"/>
        <v>0</v>
      </c>
      <c r="Y25" s="553"/>
      <c r="Z25" s="58"/>
      <c r="AA25" s="58"/>
      <c r="AB25" s="58"/>
      <c r="AC25" s="108"/>
      <c r="AD25" s="648" t="str">
        <f>IF((SUM(Y25:AC25)/(Drift!T64+Drift!T65+Drift!T66+1))&gt;1,(ROUND(SUM(Y25:AC25)-Drift!T64-Drift!T65-Drift!T66,0))&amp;" tkr högre intäkter i motparten än i driften!","")</f>
        <v/>
      </c>
    </row>
    <row r="26" spans="1:30" ht="13.35" customHeight="1">
      <c r="A26" s="692">
        <v>509</v>
      </c>
      <c r="B26" s="698" t="s">
        <v>489</v>
      </c>
      <c r="C26" s="92">
        <f>SUM(Drift!F70,Drift!F71)</f>
        <v>0</v>
      </c>
      <c r="D26" s="71"/>
      <c r="E26" s="71"/>
      <c r="F26" s="71"/>
      <c r="G26" s="71"/>
      <c r="H26" s="71"/>
      <c r="I26" s="71"/>
      <c r="J26" s="1465"/>
      <c r="K26" s="205"/>
      <c r="L26" s="205"/>
      <c r="M26" s="549">
        <f t="shared" si="0"/>
        <v>0</v>
      </c>
      <c r="N26" s="550">
        <f>SUM(Drift!H70,Drift!H71)</f>
        <v>0</v>
      </c>
      <c r="O26" s="71"/>
      <c r="P26" s="71"/>
      <c r="Q26" s="71"/>
      <c r="R26" s="71"/>
      <c r="S26" s="71"/>
      <c r="T26" s="71"/>
      <c r="U26" s="71"/>
      <c r="V26" s="71"/>
      <c r="W26" s="71"/>
      <c r="X26" s="549">
        <f t="shared" si="1"/>
        <v>0</v>
      </c>
      <c r="Y26" s="553"/>
      <c r="Z26" s="71"/>
      <c r="AA26" s="71"/>
      <c r="AB26" s="71"/>
      <c r="AC26" s="108"/>
      <c r="AD26" s="648" t="str">
        <f>IF((SUM(Y26:AC26)/(Drift!T70+Drift!T71+1))&gt;1,(ROUND(SUM(Y26:AC26)-Drift!T70-Drift!T71,0))&amp;" tkr högre intäkter i motparten än i driften!","")</f>
        <v/>
      </c>
    </row>
    <row r="27" spans="1:30" ht="13.35" customHeight="1">
      <c r="A27" s="692">
        <v>510</v>
      </c>
      <c r="B27" s="698" t="s">
        <v>542</v>
      </c>
      <c r="C27" s="92">
        <f>Drift!F73</f>
        <v>0</v>
      </c>
      <c r="D27" s="58"/>
      <c r="E27" s="58"/>
      <c r="F27" s="58"/>
      <c r="G27" s="58"/>
      <c r="H27" s="58"/>
      <c r="I27" s="58"/>
      <c r="J27" s="1453"/>
      <c r="K27" s="59"/>
      <c r="L27" s="205"/>
      <c r="M27" s="549">
        <f t="shared" si="0"/>
        <v>0</v>
      </c>
      <c r="N27" s="550">
        <f>Drift!H73</f>
        <v>0</v>
      </c>
      <c r="O27" s="58"/>
      <c r="P27" s="58"/>
      <c r="Q27" s="58"/>
      <c r="R27" s="58"/>
      <c r="S27" s="58"/>
      <c r="T27" s="58"/>
      <c r="U27" s="58"/>
      <c r="V27" s="58"/>
      <c r="W27" s="58"/>
      <c r="X27" s="549">
        <f t="shared" si="1"/>
        <v>0</v>
      </c>
      <c r="Y27" s="553"/>
      <c r="Z27" s="58"/>
      <c r="AA27" s="58"/>
      <c r="AB27" s="58"/>
      <c r="AC27" s="108"/>
      <c r="AD27" s="648" t="str">
        <f>IF((SUM(Y27:AC27)/(Drift!T73+1))&gt;1,(ROUND(SUM(Y27:AC27)-Drift!T73,0))&amp;" tkr högre intäkter i motparten än i driften!","")</f>
        <v/>
      </c>
    </row>
    <row r="28" spans="1:30" ht="18" customHeight="1">
      <c r="A28" s="692">
        <v>520</v>
      </c>
      <c r="B28" s="737" t="s">
        <v>414</v>
      </c>
      <c r="C28" s="92">
        <f>Drift!F74</f>
        <v>0</v>
      </c>
      <c r="D28" s="58"/>
      <c r="E28" s="58"/>
      <c r="F28" s="58"/>
      <c r="G28" s="58"/>
      <c r="H28" s="58"/>
      <c r="I28" s="58"/>
      <c r="J28" s="1453"/>
      <c r="K28" s="58"/>
      <c r="L28" s="58"/>
      <c r="M28" s="549">
        <f>C28-SUM(D28:L28)</f>
        <v>0</v>
      </c>
      <c r="N28" s="550">
        <f>Drift!H74</f>
        <v>0</v>
      </c>
      <c r="O28" s="58"/>
      <c r="P28" s="58"/>
      <c r="Q28" s="58"/>
      <c r="R28" s="58"/>
      <c r="S28" s="58"/>
      <c r="T28" s="58"/>
      <c r="U28" s="192"/>
      <c r="V28" s="58"/>
      <c r="W28" s="58"/>
      <c r="X28" s="549">
        <f>N28-SUM(O28:W28)</f>
        <v>0</v>
      </c>
      <c r="Y28" s="552"/>
      <c r="Z28" s="58"/>
      <c r="AA28" s="58"/>
      <c r="AB28" s="58"/>
      <c r="AC28" s="639"/>
      <c r="AD28" s="648" t="str">
        <f>IF((SUM(Y28:AC28)/(Drift!T74+1))&gt;1,(ROUND(SUM(Y28:AC28)-Drift!T74,0))&amp;" tkr högre intäkter i motparten än i driften!","")</f>
        <v/>
      </c>
    </row>
    <row r="29" spans="1:30" ht="13.5" customHeight="1">
      <c r="A29" s="692">
        <v>513</v>
      </c>
      <c r="B29" s="1752" t="s">
        <v>415</v>
      </c>
      <c r="C29" s="92">
        <f>Drift!F75</f>
        <v>0</v>
      </c>
      <c r="D29" s="58"/>
      <c r="E29" s="58"/>
      <c r="F29" s="58"/>
      <c r="G29" s="58"/>
      <c r="H29" s="58"/>
      <c r="I29" s="58"/>
      <c r="J29" s="1453"/>
      <c r="K29" s="59"/>
      <c r="L29" s="205"/>
      <c r="M29" s="549">
        <f t="shared" si="0"/>
        <v>0</v>
      </c>
      <c r="N29" s="550">
        <f>Drift!H75</f>
        <v>0</v>
      </c>
      <c r="O29" s="58"/>
      <c r="P29" s="58"/>
      <c r="Q29" s="58"/>
      <c r="R29" s="58"/>
      <c r="S29" s="58"/>
      <c r="T29" s="58"/>
      <c r="U29" s="192"/>
      <c r="V29" s="58"/>
      <c r="W29" s="58"/>
      <c r="X29" s="549">
        <f>N29-SUM(O29:W29)</f>
        <v>0</v>
      </c>
      <c r="Y29" s="552"/>
      <c r="Z29" s="58"/>
      <c r="AA29" s="58"/>
      <c r="AB29" s="58"/>
      <c r="AC29" s="639"/>
      <c r="AD29" s="648" t="str">
        <f>IF((SUM(Y29:AC29)/(Drift!T75+1))&gt;1,(ROUND(SUM(Y29:AC29)-Drift!T75,0))&amp;" tkr högre intäkter i motparten än i driften!","")</f>
        <v/>
      </c>
    </row>
    <row r="30" spans="1:30" ht="13.35" customHeight="1">
      <c r="A30" s="692">
        <v>530</v>
      </c>
      <c r="B30" s="1222" t="s">
        <v>109</v>
      </c>
      <c r="C30" s="92">
        <f>Drift!F76</f>
        <v>0</v>
      </c>
      <c r="D30" s="58"/>
      <c r="E30" s="58"/>
      <c r="F30" s="58"/>
      <c r="G30" s="58"/>
      <c r="H30" s="58"/>
      <c r="I30" s="58"/>
      <c r="J30" s="1453"/>
      <c r="K30" s="59"/>
      <c r="L30" s="205"/>
      <c r="M30" s="549">
        <f t="shared" si="0"/>
        <v>0</v>
      </c>
      <c r="N30" s="550">
        <f>Drift!H76</f>
        <v>0</v>
      </c>
      <c r="O30" s="58"/>
      <c r="P30" s="58"/>
      <c r="Q30" s="58"/>
      <c r="R30" s="58"/>
      <c r="S30" s="58"/>
      <c r="T30" s="58"/>
      <c r="U30" s="58"/>
      <c r="V30" s="58"/>
      <c r="W30" s="58"/>
      <c r="X30" s="549">
        <f t="shared" si="1"/>
        <v>0</v>
      </c>
      <c r="Y30" s="552"/>
      <c r="Z30" s="58"/>
      <c r="AA30" s="58"/>
      <c r="AB30" s="58"/>
      <c r="AC30" s="108"/>
      <c r="AD30" s="648" t="str">
        <f>IF((SUM(Y30:AC30)/(Drift!T76+1))&gt;1,(ROUND(SUM(Y30:AC30)-Drift!T76,0))&amp;" tkr högre intäkter i motparten än i driften!","")</f>
        <v/>
      </c>
    </row>
    <row r="31" spans="1:30" ht="13.35" customHeight="1">
      <c r="A31" s="692">
        <v>559</v>
      </c>
      <c r="B31" s="1222" t="s">
        <v>215</v>
      </c>
      <c r="C31" s="92">
        <f>Drift!F79</f>
        <v>0</v>
      </c>
      <c r="D31" s="58"/>
      <c r="E31" s="58"/>
      <c r="F31" s="58"/>
      <c r="G31" s="58"/>
      <c r="H31" s="58"/>
      <c r="I31" s="58"/>
      <c r="J31" s="1453"/>
      <c r="K31" s="58"/>
      <c r="L31" s="58"/>
      <c r="M31" s="1540">
        <f t="shared" si="0"/>
        <v>0</v>
      </c>
      <c r="N31" s="550">
        <f>Drift!H79</f>
        <v>0</v>
      </c>
      <c r="O31" s="58"/>
      <c r="P31" s="58"/>
      <c r="Q31" s="58"/>
      <c r="R31" s="58"/>
      <c r="S31" s="58"/>
      <c r="T31" s="58"/>
      <c r="U31" s="58"/>
      <c r="V31" s="58"/>
      <c r="W31" s="58"/>
      <c r="X31" s="1540">
        <f t="shared" si="1"/>
        <v>0</v>
      </c>
      <c r="Y31" s="552"/>
      <c r="Z31" s="71"/>
      <c r="AA31" s="71"/>
      <c r="AB31" s="71"/>
      <c r="AC31" s="195"/>
      <c r="AD31" s="648" t="str">
        <f>IF((SUM(Y31:AC31)/(Drift!T79+1))&gt;1,(ROUND(SUM(Y31:AC31)-Drift!T79,0))&amp;" tkr högre intäkter i motparten än i driften!","")</f>
        <v/>
      </c>
    </row>
    <row r="32" spans="1:30" ht="13.35" customHeight="1">
      <c r="A32" s="692">
        <v>552</v>
      </c>
      <c r="B32" s="698" t="s">
        <v>145</v>
      </c>
      <c r="C32" s="92">
        <f>SUM(D32+E32+F32+G32+H32+I32+K32+L32)</f>
        <v>0</v>
      </c>
      <c r="D32" s="58"/>
      <c r="E32" s="58"/>
      <c r="F32" s="58"/>
      <c r="G32" s="58"/>
      <c r="H32" s="58"/>
      <c r="I32" s="58"/>
      <c r="J32" s="1453"/>
      <c r="K32" s="58"/>
      <c r="L32" s="58"/>
      <c r="M32" s="1540" t="str">
        <f>IF(OR(C32="",C32=0),"",C32-SUM(D32:L32))</f>
        <v/>
      </c>
      <c r="N32" s="550">
        <f>SUM(O32+P32+Q32+R32+S32+T32+U32+V32+W32)</f>
        <v>0</v>
      </c>
      <c r="O32" s="58"/>
      <c r="P32" s="58"/>
      <c r="Q32" s="58"/>
      <c r="R32" s="58"/>
      <c r="S32" s="58"/>
      <c r="T32" s="58"/>
      <c r="U32" s="58"/>
      <c r="V32" s="58"/>
      <c r="W32" s="58"/>
      <c r="X32" s="1540" t="str">
        <f>IF(OR(N32="",N32=0),"",N32-SUM(O32:W32))</f>
        <v/>
      </c>
      <c r="Y32" s="553"/>
      <c r="Z32" s="58"/>
      <c r="AA32" s="58"/>
      <c r="AB32" s="58"/>
      <c r="AC32" s="195"/>
      <c r="AD32" s="648"/>
    </row>
    <row r="33" spans="1:30" ht="13.35" customHeight="1">
      <c r="A33" s="692">
        <v>569</v>
      </c>
      <c r="B33" s="693" t="s">
        <v>113</v>
      </c>
      <c r="C33" s="92">
        <f>Drift!F80</f>
        <v>0</v>
      </c>
      <c r="D33" s="58"/>
      <c r="E33" s="58"/>
      <c r="F33" s="58"/>
      <c r="G33" s="58"/>
      <c r="H33" s="58"/>
      <c r="I33" s="58"/>
      <c r="J33" s="1453"/>
      <c r="K33" s="58"/>
      <c r="L33" s="58"/>
      <c r="M33" s="1540">
        <f t="shared" si="0"/>
        <v>0</v>
      </c>
      <c r="N33" s="550">
        <f>Drift!H80</f>
        <v>0</v>
      </c>
      <c r="O33" s="58"/>
      <c r="P33" s="58"/>
      <c r="Q33" s="58"/>
      <c r="R33" s="58"/>
      <c r="S33" s="58"/>
      <c r="T33" s="58"/>
      <c r="U33" s="58"/>
      <c r="V33" s="58"/>
      <c r="W33" s="58"/>
      <c r="X33" s="1540">
        <f t="shared" si="1"/>
        <v>0</v>
      </c>
      <c r="Y33" s="553"/>
      <c r="Z33" s="58"/>
      <c r="AA33" s="58"/>
      <c r="AB33" s="58"/>
      <c r="AC33" s="195"/>
      <c r="AD33" s="648" t="str">
        <f>IF((SUM(Y33:AC33)/(Drift!T80+1))&gt;1,(ROUND(SUM(Y33:AC33)-Drift!T80,0))&amp;" tkr högre intäkter i motparten än i driften!","")</f>
        <v/>
      </c>
    </row>
    <row r="34" spans="1:30" ht="13.35" customHeight="1">
      <c r="A34" s="692">
        <v>554</v>
      </c>
      <c r="B34" s="698" t="s">
        <v>219</v>
      </c>
      <c r="C34" s="92">
        <f>SUM(D34+E34+F34+G34+H34+I34+K34+L34)</f>
        <v>0</v>
      </c>
      <c r="D34" s="58"/>
      <c r="E34" s="58"/>
      <c r="F34" s="58"/>
      <c r="G34" s="58"/>
      <c r="H34" s="58"/>
      <c r="I34" s="58"/>
      <c r="J34" s="1453"/>
      <c r="K34" s="58"/>
      <c r="L34" s="58"/>
      <c r="M34" s="1540" t="str">
        <f>IF(OR(C34="",C34=0),"",C34-SUM(D34:L34))</f>
        <v/>
      </c>
      <c r="N34" s="550">
        <f>SUM(O34+P34+Q34+R34+S34+T34+U34+V34+W34)</f>
        <v>0</v>
      </c>
      <c r="O34" s="58"/>
      <c r="P34" s="58"/>
      <c r="Q34" s="58"/>
      <c r="R34" s="58"/>
      <c r="S34" s="58"/>
      <c r="T34" s="58"/>
      <c r="U34" s="58"/>
      <c r="V34" s="58"/>
      <c r="W34" s="58"/>
      <c r="X34" s="1540" t="str">
        <f>IF(OR(N34="",N34=0),"",N34-SUM(O34:W34))</f>
        <v/>
      </c>
      <c r="Y34" s="553"/>
      <c r="Z34" s="58"/>
      <c r="AA34" s="58"/>
      <c r="AB34" s="58"/>
      <c r="AC34" s="195"/>
      <c r="AD34" s="648"/>
    </row>
    <row r="35" spans="1:30" ht="13.35" customHeight="1">
      <c r="A35" s="692">
        <v>580</v>
      </c>
      <c r="B35" s="698" t="s">
        <v>146</v>
      </c>
      <c r="C35" s="92">
        <f>SUM(Drift!F81,Drift!F82,Drift!F84)</f>
        <v>0</v>
      </c>
      <c r="D35" s="58"/>
      <c r="E35" s="58"/>
      <c r="F35" s="58"/>
      <c r="G35" s="58"/>
      <c r="H35" s="58"/>
      <c r="I35" s="58"/>
      <c r="J35" s="1453"/>
      <c r="K35" s="59"/>
      <c r="L35" s="205"/>
      <c r="M35" s="1540">
        <f t="shared" si="0"/>
        <v>0</v>
      </c>
      <c r="N35" s="550">
        <f>SUM(Drift!H81,Drift!H82,Drift!H84)</f>
        <v>0</v>
      </c>
      <c r="O35" s="58"/>
      <c r="P35" s="58"/>
      <c r="Q35" s="58"/>
      <c r="R35" s="58"/>
      <c r="S35" s="58"/>
      <c r="T35" s="58"/>
      <c r="U35" s="58"/>
      <c r="V35" s="58"/>
      <c r="W35" s="58"/>
      <c r="X35" s="1540">
        <f t="shared" si="1"/>
        <v>0</v>
      </c>
      <c r="Y35" s="552"/>
      <c r="Z35" s="58"/>
      <c r="AA35" s="58"/>
      <c r="AB35" s="58"/>
      <c r="AC35" s="108"/>
      <c r="AD35" s="648" t="str">
        <f>IF((SUM(Y35:AC35)/(Drift!T81+Drift!T82+Drift!T84+1))&gt;1,(ROUND(SUM(Y35:AC35)-Drift!T81-Drift!T82-Drift!T84,0))&amp;" tkr högre intäkter i motparten än i driften!","")</f>
        <v/>
      </c>
    </row>
    <row r="36" spans="1:30" ht="13.35" customHeight="1">
      <c r="A36" s="692">
        <v>600</v>
      </c>
      <c r="B36" s="693" t="s">
        <v>121</v>
      </c>
      <c r="C36" s="92">
        <f>Drift!F87</f>
        <v>0</v>
      </c>
      <c r="D36" s="71"/>
      <c r="E36" s="71"/>
      <c r="F36" s="71"/>
      <c r="G36" s="71"/>
      <c r="H36" s="71"/>
      <c r="I36" s="71"/>
      <c r="J36" s="1465"/>
      <c r="K36" s="205"/>
      <c r="L36" s="205"/>
      <c r="M36" s="549">
        <f t="shared" si="0"/>
        <v>0</v>
      </c>
      <c r="N36" s="550">
        <f>Drift!H87</f>
        <v>0</v>
      </c>
      <c r="O36" s="71"/>
      <c r="P36" s="71"/>
      <c r="Q36" s="71"/>
      <c r="R36" s="71"/>
      <c r="S36" s="71"/>
      <c r="T36" s="71"/>
      <c r="U36" s="71"/>
      <c r="V36" s="71"/>
      <c r="W36" s="71"/>
      <c r="X36" s="549">
        <f t="shared" si="1"/>
        <v>0</v>
      </c>
      <c r="Y36" s="553"/>
      <c r="Z36" s="71"/>
      <c r="AA36" s="71"/>
      <c r="AB36" s="71"/>
      <c r="AC36" s="108"/>
      <c r="AD36" s="648" t="str">
        <f>IF((SUM(Y36:AC36)/(Drift!T87+1))&gt;1,(ROUND(SUM(Y36:AC36)-Drift!T87,0))&amp;" tkr högre intäkter i motparten än i driften!","")</f>
        <v/>
      </c>
    </row>
    <row r="37" spans="1:30" ht="13.35" customHeight="1">
      <c r="A37" s="692">
        <v>610</v>
      </c>
      <c r="B37" s="698" t="s">
        <v>147</v>
      </c>
      <c r="C37" s="92">
        <f>Drift!F88</f>
        <v>0</v>
      </c>
      <c r="D37" s="58"/>
      <c r="E37" s="58"/>
      <c r="F37" s="58"/>
      <c r="G37" s="58"/>
      <c r="H37" s="58"/>
      <c r="I37" s="58"/>
      <c r="J37" s="1453"/>
      <c r="K37" s="59"/>
      <c r="L37" s="205"/>
      <c r="M37" s="549">
        <f t="shared" si="0"/>
        <v>0</v>
      </c>
      <c r="N37" s="550">
        <f>Drift!H88</f>
        <v>0</v>
      </c>
      <c r="O37" s="58"/>
      <c r="P37" s="58"/>
      <c r="Q37" s="58"/>
      <c r="R37" s="58"/>
      <c r="S37" s="58"/>
      <c r="T37" s="58"/>
      <c r="U37" s="58"/>
      <c r="V37" s="58"/>
      <c r="W37" s="58"/>
      <c r="X37" s="549">
        <f t="shared" si="1"/>
        <v>0</v>
      </c>
      <c r="Y37" s="553"/>
      <c r="Z37" s="58"/>
      <c r="AA37" s="58"/>
      <c r="AB37" s="58"/>
      <c r="AC37" s="108"/>
      <c r="AD37" s="648" t="str">
        <f>IF((SUM(Y37:AC37)/(Drift!T88+1))&gt;1,(ROUND(SUM(Y37:AC37)-Drift!T88,0))&amp;" tkr högre intäkter i motparten än i driften!","")</f>
        <v/>
      </c>
    </row>
    <row r="38" spans="1:30" ht="13.35" customHeight="1">
      <c r="A38" s="692">
        <v>890</v>
      </c>
      <c r="B38" s="698" t="s">
        <v>148</v>
      </c>
      <c r="C38" s="92">
        <f>Drift!F109</f>
        <v>0</v>
      </c>
      <c r="D38" s="58"/>
      <c r="E38" s="58"/>
      <c r="F38" s="58"/>
      <c r="G38" s="58"/>
      <c r="H38" s="58"/>
      <c r="I38" s="58"/>
      <c r="J38" s="1453"/>
      <c r="K38" s="59"/>
      <c r="L38" s="205"/>
      <c r="M38" s="549">
        <f t="shared" si="0"/>
        <v>0</v>
      </c>
      <c r="N38" s="550">
        <f>Drift!H109</f>
        <v>0</v>
      </c>
      <c r="O38" s="58"/>
      <c r="P38" s="58"/>
      <c r="Q38" s="58"/>
      <c r="R38" s="58"/>
      <c r="S38" s="58"/>
      <c r="T38" s="58"/>
      <c r="U38" s="58"/>
      <c r="V38" s="58"/>
      <c r="W38" s="58"/>
      <c r="X38" s="549">
        <f t="shared" si="1"/>
        <v>0</v>
      </c>
      <c r="Y38" s="553"/>
      <c r="Z38" s="58"/>
      <c r="AA38" s="58"/>
      <c r="AB38" s="58"/>
      <c r="AC38" s="108"/>
      <c r="AD38" s="648" t="str">
        <f>IF((SUM(Y38:AC38)/(Drift!T109+1))&gt;1,(ROUND(SUM(Y38:AC38)-Drift!T109,0))&amp;" tkr högre intäkter i motparten än i driften!","")</f>
        <v/>
      </c>
    </row>
    <row r="39" spans="1:30" ht="13.35" customHeight="1">
      <c r="A39" s="692">
        <v>940</v>
      </c>
      <c r="B39" s="698" t="s">
        <v>149</v>
      </c>
      <c r="C39" s="92">
        <f>SUM(Drift!F111:F112)</f>
        <v>0</v>
      </c>
      <c r="D39" s="58"/>
      <c r="E39" s="58"/>
      <c r="F39" s="58"/>
      <c r="G39" s="58"/>
      <c r="H39" s="58"/>
      <c r="I39" s="58"/>
      <c r="J39" s="1453"/>
      <c r="K39" s="59"/>
      <c r="L39" s="205"/>
      <c r="M39" s="549">
        <f t="shared" si="0"/>
        <v>0</v>
      </c>
      <c r="N39" s="550">
        <f>SUM(Drift!H111:H112)</f>
        <v>0</v>
      </c>
      <c r="O39" s="58"/>
      <c r="P39" s="58"/>
      <c r="Q39" s="58"/>
      <c r="R39" s="58"/>
      <c r="S39" s="58"/>
      <c r="T39" s="58"/>
      <c r="U39" s="58"/>
      <c r="V39" s="58"/>
      <c r="W39" s="58"/>
      <c r="X39" s="549">
        <f t="shared" si="1"/>
        <v>0</v>
      </c>
      <c r="Y39" s="553"/>
      <c r="Z39" s="58"/>
      <c r="AA39" s="58"/>
      <c r="AB39" s="58"/>
      <c r="AC39" s="108"/>
      <c r="AD39" s="649" t="str">
        <f>IF((SUM(Y39:AC39)/(Drift!T111+Drift!T112+1))&gt;1,(ROUND(SUM(Y39:AC39)-Drift!T111-Drift!T112,0))&amp;" tkr högre intäkter i motparten än i driften!","")</f>
        <v/>
      </c>
    </row>
    <row r="40" spans="1:30" ht="13.35" customHeight="1">
      <c r="A40" s="724" t="s">
        <v>294</v>
      </c>
      <c r="B40" s="1223" t="s">
        <v>33</v>
      </c>
      <c r="C40" s="497">
        <f>SUM(C9:C31,C33,C35:C39)</f>
        <v>0</v>
      </c>
      <c r="D40" s="447">
        <f>SUM(D9:D31,D33,D35:D39)</f>
        <v>0</v>
      </c>
      <c r="E40" s="447">
        <f t="shared" ref="E40:L40" si="2">SUM(E9:E31,E33,E35:E39)</f>
        <v>0</v>
      </c>
      <c r="F40" s="447">
        <f t="shared" si="2"/>
        <v>0</v>
      </c>
      <c r="G40" s="447">
        <f t="shared" si="2"/>
        <v>0</v>
      </c>
      <c r="H40" s="447">
        <f t="shared" si="2"/>
        <v>0</v>
      </c>
      <c r="I40" s="447">
        <f t="shared" si="2"/>
        <v>0</v>
      </c>
      <c r="J40" s="2348">
        <f t="shared" si="2"/>
        <v>0</v>
      </c>
      <c r="K40" s="447">
        <f t="shared" si="2"/>
        <v>0</v>
      </c>
      <c r="L40" s="447">
        <f t="shared" si="2"/>
        <v>0</v>
      </c>
      <c r="M40" s="450">
        <f>SUM(M9:M31,M33,M35:M39)</f>
        <v>0</v>
      </c>
      <c r="N40" s="551">
        <f>SUM(N9:N31,N33,N35:N39)</f>
        <v>0</v>
      </c>
      <c r="O40" s="447">
        <f>SUM(O9:O31,O33,O35:O39)</f>
        <v>0</v>
      </c>
      <c r="P40" s="447">
        <f t="shared" ref="P40:W40" si="3">SUM(P9:P31,P33,P35:P39)</f>
        <v>0</v>
      </c>
      <c r="Q40" s="447">
        <f t="shared" si="3"/>
        <v>0</v>
      </c>
      <c r="R40" s="447">
        <f t="shared" si="3"/>
        <v>0</v>
      </c>
      <c r="S40" s="447">
        <f t="shared" si="3"/>
        <v>0</v>
      </c>
      <c r="T40" s="447">
        <f t="shared" si="3"/>
        <v>0</v>
      </c>
      <c r="U40" s="447">
        <f t="shared" si="3"/>
        <v>0</v>
      </c>
      <c r="V40" s="447">
        <f t="shared" si="3"/>
        <v>0</v>
      </c>
      <c r="W40" s="447">
        <f t="shared" si="3"/>
        <v>0</v>
      </c>
      <c r="X40" s="450">
        <f t="shared" ref="X40:AC40" si="4">SUM(X9:X31,X33,X35:X39)</f>
        <v>0</v>
      </c>
      <c r="Y40" s="554">
        <f t="shared" si="4"/>
        <v>0</v>
      </c>
      <c r="Z40" s="448">
        <f t="shared" si="4"/>
        <v>0</v>
      </c>
      <c r="AA40" s="448">
        <f t="shared" si="4"/>
        <v>0</v>
      </c>
      <c r="AB40" s="448">
        <f t="shared" si="4"/>
        <v>0</v>
      </c>
      <c r="AC40" s="449">
        <f t="shared" si="4"/>
        <v>0</v>
      </c>
      <c r="AD40" s="650"/>
    </row>
    <row r="41" spans="1:30" ht="12" customHeight="1">
      <c r="A41" s="724"/>
      <c r="B41" s="1224" t="s">
        <v>1478</v>
      </c>
      <c r="C41" s="11"/>
      <c r="D41" s="52"/>
      <c r="E41" s="52"/>
      <c r="F41" s="52"/>
      <c r="G41" s="52"/>
      <c r="H41" s="52"/>
      <c r="I41" s="52"/>
      <c r="J41" s="2078"/>
      <c r="K41" s="51"/>
      <c r="L41" s="2080" t="str">
        <f>IF(OR(ABS(L40&gt;500),(L40&lt;-500),COUNTIF(L9:L39,"&gt;500")&gt;0,COUNTIF(L9:L39,"&lt;-500")&gt;0),"Kommentera vad köp av v-het från utlandet avser","")</f>
        <v/>
      </c>
      <c r="M41" s="2584" t="str">
        <f>IF(OR(ABS(M40&gt;100),(M40&lt;-100),COUNTIF(M9:M39,"&gt;100")&gt;0,COUNTIF(M9:M39,"&lt;-100")&gt;0),"Rätta differenserna i kolumn M","")</f>
        <v/>
      </c>
      <c r="N41" s="642"/>
      <c r="O41" s="281"/>
      <c r="P41" s="281"/>
      <c r="Q41" s="281"/>
      <c r="R41" s="281"/>
      <c r="S41" s="281"/>
      <c r="T41" s="282"/>
      <c r="V41" s="282"/>
      <c r="W41" s="645"/>
      <c r="X41" s="2585" t="str">
        <f>IF(OR(ABS(X40&gt;100),(X40&lt;-100),COUNTIF(X9:X39,"&gt;100")&gt;0,COUNTIF(X9:X39,"&lt;-100")&gt;0),"Rätta differenserna i kolumn X","")</f>
        <v/>
      </c>
      <c r="Y41" s="130">
        <f>SUM('Verks int o kostn'!I27+'Verks int o kostn'!I29)</f>
        <v>0</v>
      </c>
      <c r="Z41" s="95">
        <f>'Verks int o kostn'!I28</f>
        <v>0</v>
      </c>
      <c r="AA41" s="95">
        <f>SUM('Verks int o kostn'!D17,'Verks int o kostn'!D18)</f>
        <v>0</v>
      </c>
      <c r="AB41" s="95">
        <f>'Verks int o kostn'!D23</f>
        <v>0</v>
      </c>
      <c r="AC41" s="280">
        <f>SUM('Verks int o kostn'!D14,'Verks int o kostn'!D19,'Verks int o kostn'!D20,'Verks int o kostn'!D21,'Verks int o kostn'!D22,'Verks int o kostn'!D24,'Verks int o kostn'!D25)</f>
        <v>0</v>
      </c>
      <c r="AD41" s="651"/>
    </row>
    <row r="42" spans="1:30" ht="12.75" customHeight="1" thickBot="1">
      <c r="A42" s="715"/>
      <c r="B42" s="1225" t="s">
        <v>137</v>
      </c>
      <c r="C42" s="276"/>
      <c r="D42" s="137"/>
      <c r="E42" s="137"/>
      <c r="F42" s="137"/>
      <c r="G42" s="137"/>
      <c r="H42" s="137"/>
      <c r="I42" s="137"/>
      <c r="J42" s="640"/>
      <c r="K42" s="137"/>
      <c r="L42" s="641"/>
      <c r="M42" s="1647" t="str">
        <f>IF(OR(COUNTIF(M27:M29,"&gt;10")&gt;0,COUNTIF(M27:M29,"&lt;-10")&gt;0),"Rätta differensen mellan Driften och Motparten på rad 510, 513 och/eller rad 520","")</f>
        <v/>
      </c>
      <c r="N42" s="643"/>
      <c r="O42" s="277"/>
      <c r="P42" s="137"/>
      <c r="Q42" s="137"/>
      <c r="R42" s="137"/>
      <c r="S42" s="137"/>
      <c r="T42" s="138"/>
      <c r="U42" s="655" t="str">
        <f>IFERROR(IF('Verks int o kostn'!I41&gt;U29,"Kontrollera beloppet cell U29 mot rad 630 i verks kostn",""),0)</f>
        <v/>
      </c>
      <c r="V42" s="138"/>
      <c r="W42" s="277"/>
      <c r="X42" s="646"/>
      <c r="Y42" s="498">
        <f>Y40-Y41</f>
        <v>0</v>
      </c>
      <c r="Z42" s="499">
        <f>Z40-Z41</f>
        <v>0</v>
      </c>
      <c r="AA42" s="500">
        <f>AA40-AA41</f>
        <v>0</v>
      </c>
      <c r="AB42" s="500">
        <f>AB40-AB41</f>
        <v>0</v>
      </c>
      <c r="AC42" s="501">
        <f>AC40-AC41</f>
        <v>0</v>
      </c>
    </row>
    <row r="43" spans="1:30" ht="12.75" customHeight="1">
      <c r="A43" s="45"/>
      <c r="B43" s="45"/>
      <c r="E43" s="52"/>
      <c r="G43" s="52"/>
      <c r="H43" s="52"/>
      <c r="J43" s="183"/>
      <c r="K43" s="52"/>
      <c r="L43" s="184"/>
      <c r="R43" s="52"/>
      <c r="S43" s="52"/>
      <c r="U43" s="1541"/>
      <c r="V43" s="2077" t="str">
        <f>IF(V35&lt;0.9*N35,"Kontrollera ekonomisk bistånd","")</f>
        <v/>
      </c>
      <c r="W43" s="278"/>
      <c r="X43" s="644"/>
      <c r="Y43" s="2586" t="str">
        <f>IF(ABS(Y42)&gt;100,"Kontrollera mot verksamhetens intäkter.","")</f>
        <v/>
      </c>
      <c r="Z43" s="2586" t="str">
        <f>IF(ABS(Z42)&gt;100,"Kontrollera mot verksamhetens intäkter.","")</f>
        <v/>
      </c>
      <c r="AA43" s="2586" t="str">
        <f>IF(ABS(AA42)&gt;100,"Kontrollera mot verksamhetens intäkter.","")</f>
        <v/>
      </c>
      <c r="AB43" s="2586" t="str">
        <f>IF(ABS(AB42)&gt;100,"Kontrollera mot verksamhetens intäkter.","")</f>
        <v/>
      </c>
      <c r="AC43" s="2586" t="str">
        <f>IF(ABS(AC42)&gt;100,"Kontrollera mot verks.int.!","")</f>
        <v/>
      </c>
      <c r="AD43" s="11"/>
    </row>
    <row r="44" spans="1:30" ht="12.75" customHeight="1">
      <c r="A44" s="1226"/>
      <c r="B44" s="1224" t="s">
        <v>719</v>
      </c>
      <c r="D44" s="653" t="str">
        <f>IF(D32&gt;D31,"Kol. D, därav &gt; total, rad 552",IF(E32&gt;E31,"Kol. E, därav &gt; total, rad 552",IF(F32&gt;F31,"Kol.F, därav &gt; total, rad 552",IF(G32&gt;G31,"Kol. G, därav &gt; total, rad 552",IF(H32&gt;H31,"Kol. H, därav &gt; total, rad 552","")))))</f>
        <v/>
      </c>
      <c r="F44" s="375" t="str">
        <f>IF(C31=0,"",IF(AND(D31&gt;0,D32=""),"rad 552 kol D ange belopp eller 0",IF(AND(E31&gt;0,E32=""),"rad 552 kol E ange belopp eller 0",IF(AND(F31&gt;0,F32=""),"rad 552 kol F ange belopp eller 0",IF(AND(G31&gt;0,G32=""),"rad 552 kol G ange belopp eller 0",IF(AND(H31&gt;0,H32=""),"rad 552 kol H ange belopp eller 0",""))))))</f>
        <v/>
      </c>
      <c r="I44" s="653" t="str">
        <f>IF(I32&gt;I31,"Kol. I, därav &gt; total, rad 552",IF(J32&gt;J31,"Kol. J, därav &gt; total, rad 552",IF(K32&gt;K31,"Kol. K, därav &gt; total, rad 552",IF(L32&gt;L31,"Kol. L, därav &gt; total, rad 552",""))))</f>
        <v/>
      </c>
      <c r="K44" s="1539" t="str">
        <f>IF(C31=0,"",IF(AND(I31&gt;0,I32=""),"rad 552 kol I ange belopp eller 0",IF(AND(J31&gt;0,J32=""),"rad 552 kol J ange belopp eller 0 ",IF(AND(K31&gt;0,K32=""),"rad 552 kol K ange belopp eller 0",IF(AND(L31&gt;0,L32=""),"rad 552 kol L ange belopp eller 0","")))))</f>
        <v/>
      </c>
      <c r="L44" s="184"/>
      <c r="M44" s="184"/>
      <c r="O44" s="416" t="str">
        <f>IF(O32&gt;O31,"Kol. O, därav &gt; total, rad 552",IF(P32&gt;P31,"Kol. P, därav &gt; total, rad 552",IF(Q32&gt;Q31,"Kol. Q, därav &gt; total, rad 552",IF(R32&gt;R31,"Kol. R, därav &gt; total, rad 552",IF(S32&gt;S31,"Kol. S, därav &gt; total, rad 552","")))))</f>
        <v/>
      </c>
      <c r="Q44" s="375" t="str">
        <f>IF(N31=0,"",IF(AND(O31&gt;0,O32=""),"rad 552 kol O ange belopp eller 0",IF(AND(P31&gt;0,P32=""),"rad 552 kol P ange belopp eller 0",IF(AND(Q31&gt;0,Q32=""),"rad 552 kol Q ange belopp eller 0",IF(AND(R31&gt;0,R32=""),"rad 552 kol R ange belopp eller 0",IF(AND(S31&gt;0,S32=""),"på rad 552 kol S ange belopp eller 0",""))))))</f>
        <v/>
      </c>
      <c r="R44" s="184"/>
      <c r="S44" s="416" t="str">
        <f>IF(T32&gt;T31,"Kol. T, därav &gt; total, rad 552",IF(U32&gt;U31,"Kol. U, därav &gt; total, rad 552",IF(V32&gt;V31,"Kol. V, därav &gt; total, rad 552",IF(W32&gt;W31,"Kol. W, därav &gt; total, rad 552",""))))</f>
        <v/>
      </c>
      <c r="T44" s="1539" t="str">
        <f>IF(N31=0,"",IF(AND(T31&gt;0,T32=""),"rad 552 kol T ange belopp eller 0",IF(AND(U31&gt;0,U32=""),"rad 552 kol U ange belopp eller 0",IF(AND(V31&gt;0,V32=""),"rad 552 kol V ange belopp eller 0",IF(AND(W31&gt;0,W32=""),"rad 552 kol W ange belopp eller 0","")))))</f>
        <v/>
      </c>
      <c r="V44" s="395">
        <f>'Verks int o kostn'!I41-U29</f>
        <v>0</v>
      </c>
      <c r="W44" s="395">
        <f>'Verks int o kostn'!D21-AC29</f>
        <v>0</v>
      </c>
      <c r="X44" s="416" t="str">
        <f>IF(Y32&gt;Y31,"kolY,rad552,därav&gt;total",IF(Z32&gt;Z31,"kolZ,rad552ldärav&gt;total",IF(AA32&gt;AA31,"kolAA,rad552,därav&gt;total",IF(AB32&gt;AB31,"kolAB,rad552,därav&gt;total",IF(AC32&gt;AC31,"kolAC,rad552,därav&gt;total","")))))</f>
        <v/>
      </c>
      <c r="Y44" s="375" t="str">
        <f>IF(AND(Y31&gt;0,Y32=""),"rad 552 ange belopp eller 0","")</f>
        <v/>
      </c>
      <c r="Z44" s="375" t="str">
        <f>IF(AND(Z31&gt;0,Z32=""),"rad 552 ange belopp eller 0","")</f>
        <v/>
      </c>
      <c r="AA44" s="375" t="str">
        <f>IF(AND(AA31&gt;0,AA32=""),"rad 552 ange belopp eller 0","")</f>
        <v/>
      </c>
      <c r="AB44" s="375" t="str">
        <f>IF(AND(AB31&gt;0,AB32=""),"rad 552 ange belopp eller 0","")</f>
        <v/>
      </c>
      <c r="AC44" s="375" t="str">
        <f>IF(AND(AC31&gt;0,AC32=""),"rad 552 ange belopp eller 0","")</f>
        <v/>
      </c>
      <c r="AD44" s="11"/>
    </row>
    <row r="45" spans="1:30" ht="12.75" customHeight="1">
      <c r="A45" s="1227"/>
      <c r="B45" s="2347" t="s">
        <v>718</v>
      </c>
      <c r="D45" s="654" t="str">
        <f>IF(D34&gt;D33,"Kol. D, därav &gt; total, rad 554",IF(E34&gt;E33,"Kol. E, därav &gt; total, rad 554",IF(F34&gt;F33,"Kol.F, därav &gt; total, rad 554",IF(G34&gt;G33,"Kol. G, därav &gt; total, rad 554",IF(H34&gt;H33,"Kol. H, därav &gt; total, rad 554","")))))</f>
        <v/>
      </c>
      <c r="F45" s="375" t="str">
        <f>IF(C33=0,"",IF(AND(D33&gt;0,D34=""),"rad 554 kol D ange belopp eller 0",IF(AND(E33&gt;0,E34=""),"rad 554 kol E ange belopp eller 0",IF(AND(F33&gt;0,F34=""),"rad 554 kol F ange belopp eller 0",IF(AND(G33&gt;0,G34=""),"rad 554 kol G ange belopp eller 0",IF(AND(H33&gt;0,H34=""),"rad 554 kol H ange belopp eller 0",""))))))</f>
        <v/>
      </c>
      <c r="G45" s="184"/>
      <c r="H45" s="184"/>
      <c r="I45" s="653" t="str">
        <f>IF(I34&gt;I33,"Kol. I, därav &gt; total, rad 554",IF(J34&gt;J33,"Kol. J, därav &gt; total, rad 554",IF(K34&gt;K33,"Kol. K, därav &gt; total, rad 554",IF(L34&gt;L33,"Kol. L, därav &gt; total, rad 554",""))))</f>
        <v/>
      </c>
      <c r="K45" s="1539" t="str">
        <f>IF(C33=0,"",IF(AND(I33&gt;0,I34=""),"rad 554 kol I ange belopp eller 0",IF(AND(J33&gt;0,J34=""),"rad 554 kol J ange belopp eller 0",IF(AND(K33&gt;0,K34=""),"rad 554 kol K ange belopp eller 0",IF(AND(L33&gt;0,L34=""),"rad 554 kol L ange belopp eller 0","")))))</f>
        <v/>
      </c>
      <c r="L45" s="184"/>
      <c r="O45" s="416" t="str">
        <f>IF(O34&gt;O33,"Kol. O, därav &gt; total, rad 554",IF(P34&gt;P33,"Kol. P, därav &gt; total, rad 554",IF(Q34&gt;Q33,"Kol.Q, därav &gt; total, rad 554",IF(R34&gt;R33,"Kol.R, därav &gt; total, rad 554",IF(S34&gt;S33,"Kol.S, därav &gt; total, rad 554","")))))</f>
        <v/>
      </c>
      <c r="Q45" s="375" t="str">
        <f>IF(N33=0,"",IF(AND(O33&gt;0,O34=""),"rad 554 kol O ange belopp eller 0 ",IF(AND(P33&gt;0,P34=""),"rad 554 kol P ange belopp eller 0",IF(AND(Q33&gt;0,Q34=""),"rad 554 kol Q ange belopp eller 0",IF(AND(R33&gt;0,R34=""),"rad 554 kol R ange belopp eller 0",IF(AND(S33&gt;0,S34=""),"rad 554 kol S ange belopp eller 0",""))))))</f>
        <v/>
      </c>
      <c r="R45" s="184"/>
      <c r="S45" s="416" t="str">
        <f>IF(T34&gt;T33,"Kol. T därav &gt; total, rad 554",IF(U34&gt;U33,"Kol. U därav &gt; total, rad 554",IF(V34&gt;V33,"Kol. V därav &gt; total, rad 554",IF(W34&gt;W33,"Kol. W därav &gt; total, rad 554",""))))</f>
        <v/>
      </c>
      <c r="T45" s="1539" t="str">
        <f>IF(N33=0,"",IF(AND(T33&gt;0,T34=""),"rad 554 kol T ange belopp eller 0",IF(AND(U33&gt;0,U34=""),"rad 554 kol U ange belopp eller 0",IF(AND(V33&gt;0,V34=""),"rad 554 kol V ange belopp eller 0",IF(AND(W33&gt;0,W34=""),"rad 554 kol W ange belopp eller 0","")))))</f>
        <v/>
      </c>
      <c r="V45" s="185"/>
      <c r="W45" s="278"/>
      <c r="X45" s="416" t="str">
        <f>IF(Y34&gt;Y33,"kolY,rad554,därav&gt;total",IF(Z34&gt;Z33,"kolZ,rad554 därav&gt;total",IF(AA34&gt;AA33,"kolAA,rad554,därav&gt;total",IF(AB34&gt;AB33,"kolAB,rad554,därav&gt;total",IF(AC34&gt;AC33,"kolAC,rad554,därav&gt;total","")))))</f>
        <v/>
      </c>
      <c r="Y45" s="375" t="str">
        <f>IF(AND(Y33&gt;0,Y34=""),"rad 554 ange belopp eller 0","")</f>
        <v/>
      </c>
      <c r="Z45" s="375" t="str">
        <f>IF(AND(Z33&gt;0,Z34=""),"rad 554 ange belopp eller 0","")</f>
        <v/>
      </c>
      <c r="AA45" s="375" t="str">
        <f>IF(AND(AA33&gt;0,AA34=""),"rad 554 ange belopp eller 0","")</f>
        <v/>
      </c>
      <c r="AB45" s="375" t="str">
        <f>IF(AND(AB33&gt;0,AB34=""),"rad 554 ange belopp eller 0","")</f>
        <v/>
      </c>
      <c r="AC45" s="375" t="str">
        <f>IF(AND(AC33&gt;0,AC34=""),"rad 554 ange belopp eller 0","")</f>
        <v/>
      </c>
      <c r="AD45" s="11"/>
    </row>
    <row r="46" spans="1:30" ht="9.75" customHeight="1">
      <c r="A46" s="45"/>
      <c r="B46" s="45"/>
      <c r="C46" s="48" t="s">
        <v>150</v>
      </c>
      <c r="D46" s="45"/>
      <c r="E46" s="45"/>
      <c r="F46" s="45"/>
      <c r="G46" s="45"/>
      <c r="H46" s="45"/>
      <c r="I46" s="45"/>
      <c r="J46" s="45"/>
      <c r="K46" s="11"/>
      <c r="L46" s="11"/>
      <c r="M46" s="11"/>
      <c r="N46" s="48" t="s">
        <v>151</v>
      </c>
      <c r="O46" s="45"/>
      <c r="P46" s="45"/>
      <c r="Q46" s="45"/>
      <c r="R46" s="45"/>
      <c r="S46" s="45"/>
      <c r="T46" s="45"/>
      <c r="V46" s="45"/>
      <c r="W46" s="45"/>
      <c r="X46" s="11"/>
      <c r="Y46" s="48" t="s">
        <v>152</v>
      </c>
      <c r="Z46" s="48"/>
      <c r="AA46" s="8"/>
      <c r="AB46" s="45"/>
      <c r="AC46" s="335" t="str">
        <f>IF('Verks int o kostn'!D21&gt;AC29,"Kontrollera belopp i cellAC29 mot rad 525 i verks.intäkter","")</f>
        <v/>
      </c>
      <c r="AD46" s="45"/>
    </row>
    <row r="47" spans="1:30" ht="10.5" customHeight="1">
      <c r="A47" s="45"/>
      <c r="B47" s="45"/>
      <c r="C47" s="2919"/>
      <c r="D47" s="3002"/>
      <c r="E47" s="3002"/>
      <c r="F47" s="3002"/>
      <c r="G47" s="3002"/>
      <c r="H47" s="2972"/>
      <c r="L47" s="2232"/>
      <c r="M47" s="191"/>
      <c r="N47" s="2919"/>
      <c r="O47" s="3002"/>
      <c r="P47" s="3002"/>
      <c r="Q47" s="3002"/>
      <c r="R47" s="3002"/>
      <c r="S47" s="2972"/>
      <c r="T47" s="49" t="s">
        <v>510</v>
      </c>
      <c r="U47" s="2233"/>
      <c r="V47" s="2230"/>
      <c r="W47" s="2230"/>
      <c r="X47" s="2231"/>
      <c r="Y47" s="2919"/>
      <c r="Z47" s="3002"/>
      <c r="AA47" s="3002"/>
      <c r="AB47" s="3002"/>
      <c r="AC47" s="2972"/>
      <c r="AD47" s="3005" t="s">
        <v>1598</v>
      </c>
    </row>
    <row r="48" spans="1:30" ht="9.75" customHeight="1">
      <c r="A48" s="45"/>
      <c r="B48" s="45"/>
      <c r="C48" s="2973"/>
      <c r="D48" s="3003"/>
      <c r="E48" s="3003"/>
      <c r="F48" s="3003"/>
      <c r="G48" s="3003"/>
      <c r="H48" s="2974"/>
      <c r="L48" s="2232"/>
      <c r="M48" s="191"/>
      <c r="N48" s="2973"/>
      <c r="O48" s="3003"/>
      <c r="P48" s="3003"/>
      <c r="Q48" s="3003"/>
      <c r="R48" s="3003"/>
      <c r="S48" s="2974"/>
      <c r="T48" s="50" t="s">
        <v>510</v>
      </c>
      <c r="U48" s="2233"/>
      <c r="V48" s="2230"/>
      <c r="W48" s="2230"/>
      <c r="X48" s="2231"/>
      <c r="Y48" s="2973"/>
      <c r="Z48" s="3003"/>
      <c r="AA48" s="3003"/>
      <c r="AB48" s="3003"/>
      <c r="AC48" s="2974"/>
      <c r="AD48" s="3006"/>
    </row>
    <row r="49" spans="1:30" ht="12.75">
      <c r="A49" s="45"/>
      <c r="B49" s="45"/>
      <c r="C49" s="2973"/>
      <c r="D49" s="3003"/>
      <c r="E49" s="3003"/>
      <c r="F49" s="3003"/>
      <c r="G49" s="3003"/>
      <c r="H49" s="2974"/>
      <c r="L49" s="2238"/>
      <c r="M49" s="2239"/>
      <c r="N49" s="2973"/>
      <c r="O49" s="3003"/>
      <c r="P49" s="3003"/>
      <c r="Q49" s="3003"/>
      <c r="R49" s="3003"/>
      <c r="S49" s="2974"/>
      <c r="T49" s="45"/>
      <c r="U49" s="2229"/>
      <c r="V49" s="2230"/>
      <c r="W49" s="2230"/>
      <c r="X49" s="2231"/>
      <c r="Y49" s="2973"/>
      <c r="Z49" s="3003"/>
      <c r="AA49" s="3003"/>
      <c r="AB49" s="3003"/>
      <c r="AC49" s="2974"/>
      <c r="AD49" s="3006"/>
    </row>
    <row r="50" spans="1:30">
      <c r="A50" s="45"/>
      <c r="B50" s="45"/>
      <c r="C50" s="2975"/>
      <c r="D50" s="3004"/>
      <c r="E50" s="3004"/>
      <c r="F50" s="3004"/>
      <c r="G50" s="3004"/>
      <c r="H50" s="2976"/>
      <c r="L50" s="2238"/>
      <c r="M50" s="2239"/>
      <c r="N50" s="2975"/>
      <c r="O50" s="3004"/>
      <c r="P50" s="3004"/>
      <c r="Q50" s="3004"/>
      <c r="R50" s="3004"/>
      <c r="S50" s="2976"/>
      <c r="T50" s="45"/>
      <c r="Y50" s="2975"/>
      <c r="Z50" s="3004"/>
      <c r="AA50" s="3004"/>
      <c r="AB50" s="3004"/>
      <c r="AC50" s="2976"/>
      <c r="AD50" s="3006"/>
    </row>
    <row r="51" spans="1:30" ht="12" customHeight="1">
      <c r="A51" s="45"/>
      <c r="B51" s="45"/>
      <c r="L51" s="279"/>
      <c r="M51" s="45"/>
      <c r="T51" s="45"/>
      <c r="U51" s="45"/>
      <c r="V51" s="45"/>
      <c r="W51" s="45"/>
      <c r="X51" s="45"/>
      <c r="AD51" s="45"/>
    </row>
    <row r="52" spans="1:30"/>
    <row r="53" spans="1:30"/>
    <row r="54" spans="1:30"/>
    <row r="55" spans="1:30"/>
  </sheetData>
  <customSheetViews>
    <customSheetView guid="{97D6DB71-3F4C-4C5F-8C5B-51E3EBF78932}" showPageBreaks="1" showGridLines="0" hiddenRows="1" hiddenColumns="1" topLeftCell="A4">
      <pane xSplit="2" topLeftCell="X1" activePane="topRight" state="frozen"/>
      <selection pane="topRight" activeCell="J2" sqref="J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1"/>
      <headerFooter>
        <oddHeader>&amp;L&amp;8Statistiska Centralbyrån
Offentlig ekonomi&amp;R&amp;P</oddHeader>
      </headerFooter>
    </customSheetView>
    <customSheetView guid="{99FBDEB7-DD08-4F57-81F4-3C180403E153}" showGridLines="0" hiddenRows="1" hiddenColumns="1">
      <pane xSplit="2" topLeftCell="C1" activePane="topRight" state="frozen"/>
      <selection pane="topRight" activeCell="J2" sqref="J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2"/>
      <headerFooter>
        <oddHeader>&amp;L&amp;8Statistiska Centralbyrån
Offentlig ekonomi&amp;R&amp;P</oddHeader>
      </headerFooter>
    </customSheetView>
    <customSheetView guid="{27C9E95B-0E2B-454F-B637-1CECC9579A10}" showGridLines="0" hiddenRows="1" hiddenColumns="1" showRuler="0">
      <pane xSplit="2" topLeftCell="J1" activePane="topRight" state="frozen"/>
      <selection pane="topRight" activeCell="AD22" sqref="AD2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3"/>
      <headerFooter alignWithMargins="0">
        <oddHeader>&amp;L&amp;8Statistiska Centralbyrån
Offentlig ekonomi&amp;R&amp;P</oddHeader>
      </headerFooter>
    </customSheetView>
  </customSheetViews>
  <mergeCells count="4">
    <mergeCell ref="C47:H50"/>
    <mergeCell ref="N47:S50"/>
    <mergeCell ref="Y47:AC50"/>
    <mergeCell ref="AD47:AD50"/>
  </mergeCells>
  <phoneticPr fontId="95" type="noConversion"/>
  <conditionalFormatting sqref="D32:L32 D34:L34 O34:W34 O32:W32 Y32:AC32 Y34:AC34">
    <cfRule type="cellIs" dxfId="90" priority="40" stopIfTrue="1" operator="lessThan">
      <formula>-500</formula>
    </cfRule>
    <cfRule type="cellIs" dxfId="89" priority="41" stopIfTrue="1" operator="greaterThan">
      <formula>D31</formula>
    </cfRule>
  </conditionalFormatting>
  <conditionalFormatting sqref="M9:M26 M30:M40 X9:X40">
    <cfRule type="cellIs" dxfId="88" priority="27" stopIfTrue="1" operator="notBetween">
      <formula>-500</formula>
      <formula>500</formula>
    </cfRule>
  </conditionalFormatting>
  <conditionalFormatting sqref="M27:M29">
    <cfRule type="cellIs" dxfId="87" priority="11" stopIfTrue="1" operator="notBetween">
      <formula>-10</formula>
      <formula>10</formula>
    </cfRule>
  </conditionalFormatting>
  <conditionalFormatting sqref="D9:L39 Y9:AC39 O9:W39">
    <cfRule type="cellIs" dxfId="86" priority="9" stopIfTrue="1" operator="lessThan">
      <formula>-500</formula>
    </cfRule>
  </conditionalFormatting>
  <conditionalFormatting sqref="J9:J39">
    <cfRule type="cellIs" dxfId="85" priority="8" stopIfTrue="1" operator="greaterThan">
      <formula>1</formula>
    </cfRule>
  </conditionalFormatting>
  <conditionalFormatting sqref="U31">
    <cfRule type="cellIs" dxfId="84" priority="7" stopIfTrue="1" operator="greaterThan">
      <formula>1</formula>
    </cfRule>
  </conditionalFormatting>
  <conditionalFormatting sqref="U33">
    <cfRule type="cellIs" dxfId="83" priority="6" stopIfTrue="1" operator="greaterThan">
      <formula>1</formula>
    </cfRule>
  </conditionalFormatting>
  <conditionalFormatting sqref="AD47:AD50">
    <cfRule type="expression" dxfId="82" priority="1">
      <formula>AC42&lt;-100</formula>
    </cfRule>
    <cfRule type="expression" dxfId="81" priority="2">
      <formula>AB42&lt;-100</formula>
    </cfRule>
    <cfRule type="expression" dxfId="80" priority="3">
      <formula>AA42&lt;-100</formula>
    </cfRule>
    <cfRule type="expression" dxfId="79" priority="4">
      <formula>Z42&lt;-100</formula>
    </cfRule>
    <cfRule type="expression" dxfId="78" priority="5">
      <formula>Y42&lt;-100</formula>
    </cfRule>
  </conditionalFormatting>
  <dataValidations count="1">
    <dataValidation type="decimal" operator="lessThan" allowBlank="1" showInputMessage="1" showErrorMessage="1" error="Beloppet ska vara i 1000 tal kr" sqref="D9:L39 O9:W39 Y9:AC39" xr:uid="{00000000-0002-0000-0700-000000000000}">
      <formula1>99999999</formula1>
    </dataValidation>
  </dataValidations>
  <pageMargins left="0.70866141732283472" right="0.70866141732283472" top="0.54" bottom="0.17" header="0.19685039370078741" footer="0.15748031496062992"/>
  <pageSetup paperSize="9" scale="65" orientation="landscape" r:id="rId4"/>
  <headerFooter>
    <oddHeader>&amp;L&amp;8Statistiska Centralbyrån
Offentlig ekonomi&amp;R&amp;P</oddHeader>
  </headerFooter>
  <colBreaks count="2" manualBreakCount="2">
    <brk id="13" max="1048575" man="1"/>
    <brk id="24" max="1048575" man="1"/>
  </colBreaks>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tabColor rgb="FFFFFF00"/>
  </sheetPr>
  <dimension ref="A1:IV104"/>
  <sheetViews>
    <sheetView showGridLines="0" zoomScale="96" zoomScaleNormal="96" workbookViewId="0">
      <pane xSplit="2" ySplit="7" topLeftCell="E31" activePane="bottomRight" state="frozen"/>
      <selection activeCell="F36" sqref="F36"/>
      <selection pane="topRight" activeCell="F36" sqref="F36"/>
      <selection pane="bottomLeft" activeCell="F36" sqref="F36"/>
      <selection pane="bottomRight" activeCell="X58" sqref="X58"/>
    </sheetView>
  </sheetViews>
  <sheetFormatPr defaultColWidth="0" defaultRowHeight="0" customHeight="1" zeroHeight="1"/>
  <cols>
    <col min="1" max="1" width="4" style="296" customWidth="1"/>
    <col min="2" max="2" width="27.42578125" style="236" customWidth="1"/>
    <col min="3" max="5" width="10.42578125" style="236" customWidth="1"/>
    <col min="6" max="6" width="9.5703125" style="236" customWidth="1"/>
    <col min="7" max="7" width="8.42578125" style="236" customWidth="1"/>
    <col min="8" max="8" width="8.42578125" style="297" hidden="1" customWidth="1"/>
    <col min="9" max="9" width="25.5703125" style="236" customWidth="1"/>
    <col min="10" max="10" width="5.5703125" style="236" customWidth="1"/>
    <col min="11" max="11" width="1.42578125" style="237" customWidth="1"/>
    <col min="12" max="12" width="0.5703125" style="237" customWidth="1"/>
    <col min="13" max="14" width="8.42578125" style="188" customWidth="1"/>
    <col min="15" max="15" width="9" style="188" customWidth="1"/>
    <col min="16" max="16" width="22.5703125" style="298" customWidth="1"/>
    <col min="17" max="17" width="46" style="5" customWidth="1"/>
    <col min="18" max="23" width="8.42578125" style="187" customWidth="1"/>
    <col min="24" max="24" width="8.42578125" style="188" customWidth="1"/>
    <col min="25" max="26" width="9.42578125" style="187" customWidth="1"/>
    <col min="27" max="16384" width="0" style="187" hidden="1"/>
  </cols>
  <sheetData>
    <row r="1" spans="1:256" ht="21.75">
      <c r="A1" s="86" t="str">
        <f>"Specificering pedagogisk verksamhet "&amp;År&amp;", 1 000 tal kr"</f>
        <v>Specificering pedagogisk verksamhet 2023, 1 000 tal kr</v>
      </c>
      <c r="B1" s="87"/>
      <c r="C1" s="87"/>
      <c r="D1" s="87"/>
      <c r="E1" s="186"/>
      <c r="F1" s="186"/>
      <c r="G1" s="186"/>
      <c r="H1" s="283"/>
      <c r="I1" s="632">
        <f>Information!B3</f>
        <v>0</v>
      </c>
      <c r="J1" s="629">
        <f>Information!B2</f>
        <v>0</v>
      </c>
      <c r="K1" s="213"/>
      <c r="L1" s="213"/>
      <c r="M1" s="1559"/>
      <c r="N1" s="186"/>
      <c r="O1" s="86"/>
      <c r="P1" s="153"/>
      <c r="Q1" s="186"/>
      <c r="R1" s="186"/>
      <c r="S1" s="186"/>
      <c r="T1" s="186"/>
      <c r="U1" s="186"/>
      <c r="V1" s="186"/>
      <c r="W1" s="186"/>
      <c r="X1" s="1848"/>
      <c r="Y1" s="224"/>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c r="BQ1" s="186"/>
      <c r="BR1" s="186"/>
      <c r="BS1" s="186"/>
      <c r="BT1" s="186"/>
      <c r="BU1" s="186"/>
      <c r="BV1" s="186"/>
      <c r="BW1" s="186"/>
      <c r="BX1" s="186"/>
      <c r="BY1" s="186"/>
      <c r="BZ1" s="186"/>
      <c r="CA1" s="186"/>
      <c r="CB1" s="186"/>
      <c r="CC1" s="186"/>
      <c r="CD1" s="186"/>
      <c r="CE1" s="186"/>
      <c r="CF1" s="186"/>
      <c r="CG1" s="186"/>
      <c r="CH1" s="186"/>
      <c r="CI1" s="186"/>
      <c r="CJ1" s="186"/>
      <c r="CK1" s="186"/>
      <c r="CL1" s="186"/>
      <c r="CM1" s="186"/>
      <c r="CN1" s="186"/>
      <c r="CO1" s="186"/>
      <c r="CP1" s="186"/>
      <c r="CQ1" s="186"/>
      <c r="CR1" s="186"/>
      <c r="CS1" s="186"/>
      <c r="CT1" s="186"/>
      <c r="CU1" s="186"/>
      <c r="CV1" s="186"/>
      <c r="CW1" s="186"/>
      <c r="CX1" s="186"/>
      <c r="CY1" s="186"/>
      <c r="CZ1" s="186"/>
      <c r="DA1" s="186"/>
      <c r="DB1" s="186"/>
      <c r="DC1" s="186"/>
      <c r="DD1" s="186"/>
      <c r="DE1" s="186"/>
      <c r="DF1" s="186"/>
      <c r="DG1" s="186"/>
      <c r="DH1" s="186"/>
      <c r="DI1" s="186"/>
      <c r="DJ1" s="186"/>
      <c r="DK1" s="186"/>
      <c r="DL1" s="186"/>
      <c r="DM1" s="186"/>
      <c r="DN1" s="186"/>
      <c r="DO1" s="186"/>
      <c r="DP1" s="186"/>
      <c r="DQ1" s="186"/>
      <c r="DR1" s="186"/>
      <c r="DS1" s="186"/>
      <c r="DT1" s="186"/>
      <c r="DU1" s="186"/>
      <c r="DV1" s="186"/>
      <c r="DW1" s="186"/>
      <c r="DX1" s="186"/>
      <c r="DY1" s="186"/>
      <c r="DZ1" s="186"/>
      <c r="EA1" s="186"/>
      <c r="EB1" s="186"/>
      <c r="EC1" s="186"/>
      <c r="ED1" s="186"/>
      <c r="EE1" s="186"/>
      <c r="EF1" s="186"/>
      <c r="EG1" s="186"/>
      <c r="EH1" s="186"/>
      <c r="EI1" s="186"/>
      <c r="EJ1" s="186"/>
      <c r="EK1" s="186"/>
      <c r="EL1" s="186"/>
      <c r="EM1" s="186"/>
      <c r="EN1" s="186"/>
      <c r="EO1" s="186"/>
      <c r="EP1" s="186"/>
      <c r="EQ1" s="186"/>
      <c r="ER1" s="186"/>
      <c r="ES1" s="186"/>
      <c r="ET1" s="186"/>
      <c r="EU1" s="186"/>
      <c r="EV1" s="186"/>
      <c r="EW1" s="186"/>
      <c r="EX1" s="186"/>
      <c r="EY1" s="186"/>
      <c r="EZ1" s="186"/>
      <c r="FA1" s="186"/>
      <c r="FB1" s="186"/>
      <c r="FC1" s="186"/>
      <c r="FD1" s="186"/>
      <c r="FE1" s="186"/>
      <c r="FF1" s="186"/>
      <c r="FG1" s="186"/>
      <c r="FH1" s="186"/>
      <c r="FI1" s="186"/>
      <c r="FJ1" s="186"/>
      <c r="FK1" s="186"/>
      <c r="FL1" s="186"/>
      <c r="FM1" s="186"/>
      <c r="FN1" s="186"/>
      <c r="FO1" s="186"/>
      <c r="FP1" s="186"/>
      <c r="FQ1" s="186"/>
      <c r="FR1" s="186"/>
      <c r="FS1" s="186"/>
      <c r="FT1" s="186"/>
      <c r="FU1" s="186"/>
      <c r="FV1" s="186"/>
      <c r="FW1" s="186"/>
      <c r="FX1" s="186"/>
      <c r="FY1" s="186"/>
      <c r="FZ1" s="186"/>
      <c r="GA1" s="186"/>
      <c r="GB1" s="186"/>
      <c r="GC1" s="186"/>
      <c r="GD1" s="186"/>
      <c r="GE1" s="186"/>
      <c r="GF1" s="186"/>
      <c r="GG1" s="186"/>
      <c r="GH1" s="186"/>
      <c r="GI1" s="186"/>
      <c r="GJ1" s="186"/>
      <c r="GK1" s="186"/>
      <c r="GL1" s="186"/>
      <c r="GM1" s="186"/>
      <c r="GN1" s="186"/>
      <c r="GO1" s="186"/>
      <c r="GP1" s="186"/>
      <c r="GQ1" s="186"/>
      <c r="GR1" s="186"/>
      <c r="GS1" s="186"/>
      <c r="GT1" s="186"/>
      <c r="GU1" s="186"/>
      <c r="GV1" s="186"/>
      <c r="GW1" s="186"/>
      <c r="GX1" s="186"/>
      <c r="GY1" s="186"/>
      <c r="GZ1" s="186"/>
      <c r="HA1" s="186"/>
      <c r="HB1" s="186"/>
      <c r="HC1" s="186"/>
      <c r="HD1" s="186"/>
      <c r="HE1" s="186"/>
      <c r="HF1" s="186"/>
      <c r="HG1" s="186"/>
      <c r="HH1" s="186"/>
      <c r="HI1" s="186"/>
      <c r="HJ1" s="186"/>
      <c r="HK1" s="186"/>
      <c r="HL1" s="186"/>
      <c r="HM1" s="186"/>
      <c r="HN1" s="186"/>
      <c r="HO1" s="186"/>
      <c r="HP1" s="186"/>
      <c r="HQ1" s="186"/>
      <c r="HR1" s="186"/>
      <c r="HS1" s="186"/>
      <c r="HT1" s="186"/>
      <c r="HU1" s="186"/>
      <c r="HV1" s="186"/>
      <c r="HW1" s="186"/>
      <c r="HX1" s="186"/>
      <c r="HY1" s="186"/>
      <c r="HZ1" s="186"/>
      <c r="IA1" s="186"/>
      <c r="IB1" s="186"/>
      <c r="IC1" s="186"/>
      <c r="ID1" s="186"/>
      <c r="IE1" s="186"/>
      <c r="IF1" s="186"/>
      <c r="IG1" s="186"/>
      <c r="IH1" s="186"/>
      <c r="II1" s="186"/>
      <c r="IJ1" s="186"/>
      <c r="IK1" s="186"/>
      <c r="IL1" s="186"/>
      <c r="IM1" s="186"/>
      <c r="IN1" s="186"/>
      <c r="IO1" s="186"/>
      <c r="IP1" s="186"/>
      <c r="IQ1" s="186"/>
      <c r="IR1" s="186"/>
      <c r="IS1" s="186"/>
      <c r="IT1" s="186"/>
      <c r="IU1" s="186"/>
      <c r="IV1" s="186"/>
    </row>
    <row r="2" spans="1:256" ht="17.25" customHeight="1">
      <c r="A2" s="1488"/>
      <c r="C2" s="430"/>
      <c r="D2" s="48" t="s">
        <v>994</v>
      </c>
      <c r="E2" s="224"/>
      <c r="F2" s="224"/>
      <c r="G2" s="285"/>
      <c r="H2" s="286"/>
      <c r="I2" s="48" t="s">
        <v>1052</v>
      </c>
      <c r="K2" s="1708"/>
      <c r="L2" s="187"/>
      <c r="O2" s="2435"/>
      <c r="P2" s="48" t="s">
        <v>1530</v>
      </c>
      <c r="Q2" s="1547"/>
    </row>
    <row r="3" spans="1:256" ht="17.25" customHeight="1" thickBot="1">
      <c r="C3" s="107"/>
      <c r="D3" s="48" t="s">
        <v>627</v>
      </c>
      <c r="E3" s="285"/>
      <c r="F3" s="285"/>
      <c r="G3" s="285"/>
      <c r="H3" s="286"/>
      <c r="I3" s="48"/>
      <c r="K3" s="287"/>
      <c r="L3" s="287"/>
      <c r="M3" s="1549"/>
      <c r="N3" s="1549"/>
      <c r="O3" s="2436"/>
      <c r="P3" s="48" t="s">
        <v>1529</v>
      </c>
      <c r="Q3" s="1548"/>
      <c r="X3" s="1549"/>
    </row>
    <row r="4" spans="1:256" ht="11.25" customHeight="1">
      <c r="A4" s="1644" t="s">
        <v>873</v>
      </c>
      <c r="B4" s="1643" t="s">
        <v>509</v>
      </c>
      <c r="C4" s="1228" t="s">
        <v>153</v>
      </c>
      <c r="D4" s="1631"/>
      <c r="E4" s="930" t="s">
        <v>153</v>
      </c>
      <c r="F4" s="1631"/>
      <c r="G4" s="1630"/>
      <c r="H4" s="288" t="s">
        <v>678</v>
      </c>
      <c r="I4" s="3022" t="s">
        <v>1531</v>
      </c>
      <c r="J4" s="3023"/>
      <c r="K4" s="3023"/>
      <c r="L4" s="3024"/>
      <c r="M4" s="3030" t="s">
        <v>1226</v>
      </c>
      <c r="N4" s="3031"/>
      <c r="O4" s="1283"/>
      <c r="P4" s="1632" t="s">
        <v>40</v>
      </c>
      <c r="Q4" s="3036" t="s">
        <v>60</v>
      </c>
      <c r="R4" s="289"/>
      <c r="S4" s="289"/>
      <c r="X4" s="1849"/>
    </row>
    <row r="5" spans="1:256" ht="12.75" customHeight="1">
      <c r="A5" s="1645" t="s">
        <v>876</v>
      </c>
      <c r="B5" s="974"/>
      <c r="C5" s="1229" t="s">
        <v>44</v>
      </c>
      <c r="D5" s="3016" t="s">
        <v>1066</v>
      </c>
      <c r="E5" s="933" t="s">
        <v>160</v>
      </c>
      <c r="F5" s="3016" t="s">
        <v>1647</v>
      </c>
      <c r="G5" s="3019" t="s">
        <v>1370</v>
      </c>
      <c r="H5" s="163"/>
      <c r="I5" s="3025"/>
      <c r="J5" s="3026"/>
      <c r="K5" s="3026"/>
      <c r="L5" s="3027"/>
      <c r="M5" s="3032"/>
      <c r="N5" s="3033"/>
      <c r="O5" s="1216"/>
      <c r="P5" s="1639" t="s">
        <v>1001</v>
      </c>
      <c r="Q5" s="3037"/>
      <c r="R5" s="289"/>
      <c r="S5" s="289"/>
      <c r="X5" s="1850"/>
    </row>
    <row r="6" spans="1:256" ht="36.75" customHeight="1">
      <c r="A6" s="1230"/>
      <c r="B6" s="974"/>
      <c r="C6" s="1229"/>
      <c r="D6" s="3017"/>
      <c r="E6" s="696"/>
      <c r="F6" s="3017"/>
      <c r="G6" s="3020"/>
      <c r="H6" s="163"/>
      <c r="I6" s="1728"/>
      <c r="J6" s="1745"/>
      <c r="K6" s="1745"/>
      <c r="L6" s="1746"/>
      <c r="M6" s="3034"/>
      <c r="N6" s="3035"/>
      <c r="O6" s="1216" t="s">
        <v>560</v>
      </c>
      <c r="P6" s="1633" t="s">
        <v>1611</v>
      </c>
      <c r="Q6" s="3037"/>
      <c r="S6" s="289"/>
      <c r="X6" s="1851" t="s">
        <v>39</v>
      </c>
      <c r="IV6" s="3029"/>
    </row>
    <row r="7" spans="1:256" ht="65.25" customHeight="1" thickBot="1">
      <c r="A7" s="1218"/>
      <c r="B7" s="974"/>
      <c r="C7" s="1220"/>
      <c r="D7" s="3018"/>
      <c r="E7" s="696"/>
      <c r="F7" s="3018"/>
      <c r="G7" s="3021"/>
      <c r="H7" s="163"/>
      <c r="I7" s="1747"/>
      <c r="J7" s="974"/>
      <c r="K7" s="1749"/>
      <c r="L7" s="1748"/>
      <c r="M7" s="1284" t="str">
        <f>"År "&amp;År</f>
        <v>År 2023</v>
      </c>
      <c r="N7" s="1285" t="str">
        <f>"År "&amp;År-1</f>
        <v>År 2022</v>
      </c>
      <c r="O7" s="1286" t="str">
        <f>År-1&amp;"-"&amp; År</f>
        <v>2022-2023</v>
      </c>
      <c r="P7" s="2062" t="s">
        <v>1612</v>
      </c>
      <c r="Q7" s="3037"/>
      <c r="S7" s="289"/>
      <c r="X7" s="1852" t="str">
        <f>"År "&amp;År</f>
        <v>År 2023</v>
      </c>
      <c r="IV7" s="3029"/>
    </row>
    <row r="8" spans="1:256" ht="12.75">
      <c r="A8" s="1251" t="s">
        <v>443</v>
      </c>
      <c r="B8" s="1252" t="s">
        <v>639</v>
      </c>
      <c r="C8" s="130">
        <f>Drift!P47</f>
        <v>0</v>
      </c>
      <c r="D8" s="131">
        <f>SUM(Motpart!D13:L13)</f>
        <v>0</v>
      </c>
      <c r="E8" s="131">
        <f>Drift!W47</f>
        <v>0</v>
      </c>
      <c r="F8" s="131">
        <f>Motpart!Y13</f>
        <v>0</v>
      </c>
      <c r="G8" s="139">
        <f>Drift!V47</f>
        <v>0</v>
      </c>
      <c r="H8" s="164"/>
      <c r="I8" s="1209" t="s">
        <v>1135</v>
      </c>
      <c r="J8" s="1843"/>
      <c r="K8" s="1735"/>
      <c r="L8" s="1736"/>
      <c r="M8" s="1287" t="e">
        <f>(C8-F8-G8)*1000/J8</f>
        <v>#DIV/0!</v>
      </c>
      <c r="N8" s="1288"/>
      <c r="O8" s="1289" t="e">
        <f t="shared" ref="O8:O14" si="0">IF(OR(M8="",N8=""),"",IF(AND(M8=0,N8=0),0,IF(N8=0,1,M8/N8-1)))</f>
        <v>#DIV/0!</v>
      </c>
      <c r="P8" s="2362" t="e">
        <f>IF(M8="","",IF(AND(O8&gt;-20%,O8&lt;20%),"","Kommentera förändringen"))</f>
        <v>#DIV/0!</v>
      </c>
      <c r="Q8" s="1290" t="s">
        <v>1140</v>
      </c>
      <c r="R8" s="98" t="s">
        <v>97</v>
      </c>
      <c r="S8" s="289"/>
      <c r="X8" s="1287">
        <f>C8-F8-G8</f>
        <v>0</v>
      </c>
    </row>
    <row r="9" spans="1:256" s="1528" customFormat="1" ht="11.25">
      <c r="A9" s="1253" t="s">
        <v>331</v>
      </c>
      <c r="B9" s="1254" t="s">
        <v>377</v>
      </c>
      <c r="C9" s="446">
        <f>C8-G8-D8</f>
        <v>0</v>
      </c>
      <c r="D9" s="1231"/>
      <c r="E9" s="1237"/>
      <c r="F9" s="1237"/>
      <c r="G9" s="1243"/>
      <c r="H9" s="165">
        <v>850</v>
      </c>
      <c r="I9" s="1729"/>
      <c r="J9" s="1730"/>
      <c r="K9" s="1733"/>
      <c r="L9" s="1734"/>
      <c r="M9" s="1291" t="e">
        <f>C9*1000/J8</f>
        <v>#DIV/0!</v>
      </c>
      <c r="N9" s="1292"/>
      <c r="O9" s="1293" t="e">
        <f t="shared" si="0"/>
        <v>#DIV/0!</v>
      </c>
      <c r="P9" s="2362" t="e">
        <f>IF(M9="","",IF(AND(O9&gt;-20%,O9&lt;20%),"","Kommentera förändringen"))</f>
        <v>#DIV/0!</v>
      </c>
      <c r="Q9" s="1290" t="s">
        <v>1141</v>
      </c>
      <c r="R9" s="3041"/>
      <c r="S9" s="3042"/>
      <c r="T9" s="3042"/>
      <c r="U9" s="3042"/>
      <c r="V9" s="3042"/>
      <c r="W9" s="3043"/>
      <c r="X9" s="1291">
        <f>C9</f>
        <v>0</v>
      </c>
      <c r="Y9" s="1524"/>
      <c r="Z9" s="1524"/>
    </row>
    <row r="10" spans="1:256" s="1524" customFormat="1" ht="11.25">
      <c r="A10" s="1253" t="s">
        <v>329</v>
      </c>
      <c r="B10" s="1255" t="s">
        <v>1620</v>
      </c>
      <c r="C10" s="92">
        <f>Drift!C47+Drift!D47</f>
        <v>0</v>
      </c>
      <c r="D10" s="1231"/>
      <c r="E10" s="1238"/>
      <c r="F10" s="1238"/>
      <c r="G10" s="1243"/>
      <c r="H10" s="165">
        <v>851</v>
      </c>
      <c r="I10" s="1729"/>
      <c r="J10" s="1730"/>
      <c r="K10" s="1317"/>
      <c r="L10" s="1731"/>
      <c r="M10" s="1291">
        <f>IF(C10=0,0,C10*100/C9)</f>
        <v>0</v>
      </c>
      <c r="N10" s="1292"/>
      <c r="O10" s="1293" t="str">
        <f t="shared" si="0"/>
        <v/>
      </c>
      <c r="P10" s="2362" t="str">
        <f>IF(M10="","",IF(AND(O10&gt;-20%,O10&lt;20%),"","Kommentera förändringen"))</f>
        <v>Kommentera förändringen</v>
      </c>
      <c r="Q10" s="1290" t="s">
        <v>378</v>
      </c>
      <c r="R10" s="3044"/>
      <c r="S10" s="3045"/>
      <c r="T10" s="3045"/>
      <c r="U10" s="3045"/>
      <c r="V10" s="3045"/>
      <c r="W10" s="3046"/>
      <c r="X10" s="1291">
        <f>IF(C10=0,0,C10*100/C9)</f>
        <v>0</v>
      </c>
    </row>
    <row r="11" spans="1:256" s="1524" customFormat="1" ht="11.25">
      <c r="A11" s="1253" t="s">
        <v>332</v>
      </c>
      <c r="B11" s="1255" t="s">
        <v>636</v>
      </c>
      <c r="C11" s="2669"/>
      <c r="D11" s="1232" t="str">
        <f>IF(C8=0,"",IF(C11&lt;Drift!I47+Drift!J47+Drift!L47,"Kommentera",""))</f>
        <v/>
      </c>
      <c r="E11" s="272"/>
      <c r="F11" s="1238"/>
      <c r="G11" s="299"/>
      <c r="H11" s="165"/>
      <c r="I11" s="2818" t="str">
        <f>IF(G11&gt;E11,"Därav kol. G&gt; Kol. E- korrigera!","")</f>
        <v/>
      </c>
      <c r="J11" s="1844"/>
      <c r="K11" s="1284"/>
      <c r="L11" s="1732"/>
      <c r="M11" s="1291" t="e">
        <f>(C11-E11)*1000/J8</f>
        <v>#DIV/0!</v>
      </c>
      <c r="N11" s="1292"/>
      <c r="O11" s="1293" t="e">
        <f t="shared" si="0"/>
        <v>#DIV/0!</v>
      </c>
      <c r="P11" s="2362" t="e">
        <f>IF(M11="","",IF(OR(O11&lt;-40%,O11&gt;40%),"Kommentera förändringen",IF(OR(O11&lt;-20%,O11&gt;20%),"Kontrollera förändringen","")))</f>
        <v>#DIV/0!</v>
      </c>
      <c r="Q11" s="1290" t="s">
        <v>1142</v>
      </c>
      <c r="R11" s="3044"/>
      <c r="S11" s="3045"/>
      <c r="T11" s="3045"/>
      <c r="U11" s="3045"/>
      <c r="V11" s="3045"/>
      <c r="W11" s="3046"/>
      <c r="X11" s="1291">
        <f>C11-E11</f>
        <v>0</v>
      </c>
    </row>
    <row r="12" spans="1:256" s="1524" customFormat="1" ht="11.25">
      <c r="A12" s="1253" t="s">
        <v>511</v>
      </c>
      <c r="B12" s="1255" t="s">
        <v>550</v>
      </c>
      <c r="C12" s="1235"/>
      <c r="D12" s="1233"/>
      <c r="E12" s="93">
        <f>Drift!R47</f>
        <v>0</v>
      </c>
      <c r="F12" s="1239"/>
      <c r="G12" s="1553"/>
      <c r="H12" s="180" t="s">
        <v>652</v>
      </c>
      <c r="I12" s="1303"/>
      <c r="J12" s="1730"/>
      <c r="K12" s="1733"/>
      <c r="L12" s="1734"/>
      <c r="M12" s="1291" t="e">
        <f>(Motpart!G13+Motpart!K13)*1000/J8</f>
        <v>#DIV/0!</v>
      </c>
      <c r="N12" s="1292"/>
      <c r="O12" s="1293" t="e">
        <f t="shared" si="0"/>
        <v>#DIV/0!</v>
      </c>
      <c r="P12" s="2363" t="e">
        <f>IF(M12="","",IF(OR(AND(O12&gt;-50%,O12&lt;50%),X12&lt;750),"","Kommentera förändringen"))</f>
        <v>#DIV/0!</v>
      </c>
      <c r="Q12" s="1290" t="s">
        <v>1143</v>
      </c>
      <c r="R12" s="3044"/>
      <c r="S12" s="3045"/>
      <c r="T12" s="3045"/>
      <c r="U12" s="3045"/>
      <c r="V12" s="3045"/>
      <c r="W12" s="3046"/>
      <c r="X12" s="1291">
        <f>Motpart!G13+Motpart!K13</f>
        <v>0</v>
      </c>
    </row>
    <row r="13" spans="1:256" s="1524" customFormat="1" ht="11.25">
      <c r="A13" s="1253" t="s">
        <v>512</v>
      </c>
      <c r="B13" s="1255" t="s">
        <v>513</v>
      </c>
      <c r="C13" s="1236"/>
      <c r="D13" s="1233"/>
      <c r="E13" s="272"/>
      <c r="F13" s="1239"/>
      <c r="G13" s="1553"/>
      <c r="H13" s="181" t="s">
        <v>653</v>
      </c>
      <c r="I13" s="1303"/>
      <c r="J13" s="1730"/>
      <c r="K13" s="1733"/>
      <c r="L13" s="1734"/>
      <c r="M13" s="1291" t="e">
        <f>F8*1000/J8</f>
        <v>#DIV/0!</v>
      </c>
      <c r="N13" s="1292"/>
      <c r="O13" s="1293" t="e">
        <f t="shared" si="0"/>
        <v>#DIV/0!</v>
      </c>
      <c r="P13" s="2362" t="e">
        <f>IF(M13="","",IF(AND(ABS(O13)&gt;50%,X13&gt;900),"Kommentera förändringen",IF(OR(ABS(O13)&gt;50%,X13&gt;490),"Kontrollera förändringen","")))</f>
        <v>#DIV/0!</v>
      </c>
      <c r="Q13" s="1290" t="s">
        <v>1144</v>
      </c>
      <c r="R13" s="3044"/>
      <c r="S13" s="3045"/>
      <c r="T13" s="3045"/>
      <c r="U13" s="3045"/>
      <c r="V13" s="3045"/>
      <c r="W13" s="3046"/>
      <c r="X13" s="1291">
        <f>F8</f>
        <v>0</v>
      </c>
    </row>
    <row r="14" spans="1:256" s="1524" customFormat="1" ht="11.25">
      <c r="A14" s="1256" t="s">
        <v>669</v>
      </c>
      <c r="B14" s="1257"/>
      <c r="C14" s="1236"/>
      <c r="D14" s="1234"/>
      <c r="E14" s="1242"/>
      <c r="F14" s="1240"/>
      <c r="G14" s="1553"/>
      <c r="H14" s="180" t="s">
        <v>654</v>
      </c>
      <c r="I14" s="1303"/>
      <c r="J14" s="1730"/>
      <c r="K14" s="1733"/>
      <c r="L14" s="1734"/>
      <c r="M14" s="1291" t="e">
        <f>((Motpart!D13+Motpart!E13+Motpart!F13+Motpart!J13)-((Motpart!D13+Motpart!E13+Motpart!F13+Motpart!J13)*0.06))*1000/J8</f>
        <v>#DIV/0!</v>
      </c>
      <c r="N14" s="1292"/>
      <c r="O14" s="1293" t="e">
        <f t="shared" si="0"/>
        <v>#DIV/0!</v>
      </c>
      <c r="P14" s="2362" t="e">
        <f>IF(M14="","",IF(OR(AND(O14&gt;-30%,O14&lt;30%),X14&lt;680),"","Kommentera förändringen"))</f>
        <v>#DIV/0!</v>
      </c>
      <c r="Q14" s="1290" t="s">
        <v>1145</v>
      </c>
      <c r="R14" s="3047"/>
      <c r="S14" s="3048"/>
      <c r="T14" s="3048"/>
      <c r="U14" s="3048"/>
      <c r="V14" s="3048"/>
      <c r="W14" s="3049"/>
      <c r="X14" s="1291">
        <f>(Motpart!D13+Motpart!E13+Motpart!F13+Motpart!J13)-((Motpart!D13+Motpart!E13+Motpart!F13+Motpart!J13)*0.06)</f>
        <v>0</v>
      </c>
    </row>
    <row r="15" spans="1:256" s="1530" customFormat="1" ht="12" thickBot="1">
      <c r="A15" s="1256" t="s">
        <v>327</v>
      </c>
      <c r="B15" s="1257"/>
      <c r="C15" s="1236"/>
      <c r="D15" s="1234"/>
      <c r="E15" s="1234"/>
      <c r="F15" s="1241"/>
      <c r="G15" s="1244"/>
      <c r="H15" s="166"/>
      <c r="I15" s="1744"/>
      <c r="J15" s="1845"/>
      <c r="K15" s="1294"/>
      <c r="L15" s="1742"/>
      <c r="M15" s="1295">
        <f>IF(C9=0,0,(E12-E13)*100/C9)</f>
        <v>0</v>
      </c>
      <c r="N15" s="1296"/>
      <c r="O15" s="1297">
        <f>IF(M15="","",IF(AND(M15=0,N15=0),0,IF(N15=0,1,M15/N15-1)))</f>
        <v>0</v>
      </c>
      <c r="P15" s="1298" t="str">
        <f>IF(M15="","",IF(OR(O15&gt;50%,O15&lt;-50%),"Stor förändring, kommentera",IF(AND(M15&lt;12,M15&gt;0),"","Kommentera avg.finans.")))</f>
        <v>Kommentera avg.finans.</v>
      </c>
      <c r="Q15" s="1290" t="s">
        <v>595</v>
      </c>
      <c r="R15" s="1529"/>
      <c r="X15" s="1295">
        <f>IF(C9=0,0,(E12-E13)*100/C9)</f>
        <v>0</v>
      </c>
      <c r="Y15" s="1524"/>
      <c r="Z15" s="1524"/>
    </row>
    <row r="16" spans="1:256" ht="12.75">
      <c r="A16" s="1258" t="s">
        <v>918</v>
      </c>
      <c r="B16" s="1259" t="s">
        <v>640</v>
      </c>
      <c r="C16" s="90">
        <f>Drift!P50</f>
        <v>0</v>
      </c>
      <c r="D16" s="91">
        <f>SUM(Motpart!D15:L15)</f>
        <v>0</v>
      </c>
      <c r="E16" s="94">
        <f>Drift!W50</f>
        <v>0</v>
      </c>
      <c r="F16" s="91">
        <f>Motpart!Y15</f>
        <v>0</v>
      </c>
      <c r="G16" s="140">
        <f>Drift!V50</f>
        <v>0</v>
      </c>
      <c r="H16" s="163"/>
      <c r="I16" s="1209" t="s">
        <v>1136</v>
      </c>
      <c r="J16" s="1843"/>
      <c r="K16" s="1743"/>
      <c r="L16" s="1736"/>
      <c r="M16" s="1299" t="e">
        <f>(C16-G16-F16)*1000/J16</f>
        <v>#DIV/0!</v>
      </c>
      <c r="N16" s="1288"/>
      <c r="O16" s="1300" t="e">
        <f t="shared" ref="O16:O42" si="1">IF(OR(M16="",N16=""),"",IF(AND(M16=0,N16=0),0,IF(N16=0,1,M16/N16-1)))</f>
        <v>#DIV/0!</v>
      </c>
      <c r="P16" s="1115" t="e">
        <f>IF(M16="","",IF(AND(O16&gt;-20%,O16&lt;20%),"","Kommentera förändringen"))</f>
        <v>#DIV/0!</v>
      </c>
      <c r="Q16" s="1301" t="s">
        <v>1182</v>
      </c>
      <c r="R16" s="98" t="s">
        <v>98</v>
      </c>
      <c r="S16" s="289"/>
      <c r="X16" s="1299">
        <f>C16-G16-F16</f>
        <v>0</v>
      </c>
    </row>
    <row r="17" spans="1:256" ht="12.75">
      <c r="A17" s="1253" t="s">
        <v>426</v>
      </c>
      <c r="B17" s="1260" t="s">
        <v>377</v>
      </c>
      <c r="C17" s="446">
        <f>C16-G16-D16</f>
        <v>0</v>
      </c>
      <c r="D17" s="1245"/>
      <c r="E17" s="1246"/>
      <c r="F17" s="1246"/>
      <c r="G17" s="1243"/>
      <c r="H17" s="167" t="s">
        <v>288</v>
      </c>
      <c r="I17" s="1729"/>
      <c r="J17" s="1730"/>
      <c r="K17" s="1733"/>
      <c r="L17" s="1734"/>
      <c r="M17" s="1291" t="e">
        <f>C17*1000/J16</f>
        <v>#DIV/0!</v>
      </c>
      <c r="N17" s="1292"/>
      <c r="O17" s="1300" t="e">
        <f t="shared" si="1"/>
        <v>#DIV/0!</v>
      </c>
      <c r="P17" s="1115" t="e">
        <f>IF(M17="","",IF(AND(O17&gt;-20%,O17&lt;20%),"","Kommentera förändringen"))</f>
        <v>#DIV/0!</v>
      </c>
      <c r="Q17" s="1290" t="s">
        <v>1183</v>
      </c>
      <c r="R17" s="3041"/>
      <c r="S17" s="3002"/>
      <c r="T17" s="3002"/>
      <c r="U17" s="3002"/>
      <c r="V17" s="3002"/>
      <c r="W17" s="2972"/>
      <c r="X17" s="1291">
        <f>C17</f>
        <v>0</v>
      </c>
    </row>
    <row r="18" spans="1:256" ht="12.75">
      <c r="A18" s="1253" t="s">
        <v>427</v>
      </c>
      <c r="B18" s="2577" t="s">
        <v>1621</v>
      </c>
      <c r="C18" s="95">
        <f>Drift!C50+Drift!D50</f>
        <v>0</v>
      </c>
      <c r="D18" s="1245"/>
      <c r="E18" s="1238"/>
      <c r="F18" s="1238"/>
      <c r="G18" s="1243"/>
      <c r="H18" s="165" t="s">
        <v>679</v>
      </c>
      <c r="I18" s="1729"/>
      <c r="J18" s="1730"/>
      <c r="K18" s="1317"/>
      <c r="L18" s="1731"/>
      <c r="M18" s="1291">
        <f>IF(C18=0,0,(C18*100/C17))</f>
        <v>0</v>
      </c>
      <c r="N18" s="1292"/>
      <c r="O18" s="1300" t="str">
        <f t="shared" si="1"/>
        <v/>
      </c>
      <c r="P18" s="1115" t="str">
        <f>IF(M18="","",IF(AND(O18&gt;-20%,O18&lt;20%),"","Kommentera förändringen"))</f>
        <v>Kommentera förändringen</v>
      </c>
      <c r="Q18" s="1290" t="s">
        <v>421</v>
      </c>
      <c r="R18" s="3039"/>
      <c r="S18" s="3003"/>
      <c r="T18" s="3003"/>
      <c r="U18" s="3003"/>
      <c r="V18" s="3003"/>
      <c r="W18" s="2974"/>
      <c r="X18" s="1291">
        <f>IF(C18=0,0,(C18*100/C17))</f>
        <v>0</v>
      </c>
    </row>
    <row r="19" spans="1:256" ht="13.5" customHeight="1">
      <c r="A19" s="1253" t="s">
        <v>428</v>
      </c>
      <c r="B19" s="1255" t="s">
        <v>636</v>
      </c>
      <c r="C19" s="2669"/>
      <c r="D19" s="1245" t="str">
        <f>IF(C16=0,"",IF(C19&lt;Drift!I50+Drift!J50+Drift!L50,"Kommentera",""))</f>
        <v/>
      </c>
      <c r="E19" s="272"/>
      <c r="F19" s="1240"/>
      <c r="G19" s="299"/>
      <c r="H19" s="163"/>
      <c r="I19" s="2819" t="str">
        <f>IF(G19&gt;E19,"Därav kol. G&gt; Kol. E-korrigera!","")</f>
        <v/>
      </c>
      <c r="J19" s="1844"/>
      <c r="K19" s="1284"/>
      <c r="L19" s="1732"/>
      <c r="M19" s="1302" t="e">
        <f>(C19-E19)*1000/J16</f>
        <v>#DIV/0!</v>
      </c>
      <c r="N19" s="1288"/>
      <c r="O19" s="1300" t="e">
        <f t="shared" si="1"/>
        <v>#DIV/0!</v>
      </c>
      <c r="P19" s="1115" t="e">
        <f>IF(M19="","",IF(OR(O19&lt;-60%,O19&gt;60%),"Kommentera förändringen",IF(OR(O19&lt;-25%,O19&gt;25%),"Kontrollera förändringen","")))</f>
        <v>#DIV/0!</v>
      </c>
      <c r="Q19" s="1290" t="s">
        <v>1184</v>
      </c>
      <c r="R19" s="3039"/>
      <c r="S19" s="3003"/>
      <c r="T19" s="3003"/>
      <c r="U19" s="3003"/>
      <c r="V19" s="3003"/>
      <c r="W19" s="2974"/>
      <c r="X19" s="1302">
        <f>C19-E19</f>
        <v>0</v>
      </c>
    </row>
    <row r="20" spans="1:256" ht="12.75">
      <c r="A20" s="1253" t="s">
        <v>655</v>
      </c>
      <c r="B20" s="1255" t="s">
        <v>550</v>
      </c>
      <c r="C20" s="1235"/>
      <c r="D20" s="1233"/>
      <c r="E20" s="95">
        <f>Drift!R50</f>
        <v>0</v>
      </c>
      <c r="F20" s="1239"/>
      <c r="G20" s="1553"/>
      <c r="H20" s="522" t="s">
        <v>680</v>
      </c>
      <c r="I20" s="1303"/>
      <c r="J20" s="1730"/>
      <c r="K20" s="1733"/>
      <c r="L20" s="1734"/>
      <c r="M20" s="1291">
        <f>IF(D16=0,0,(Motpart!G15+Motpart!K15)*1000/J16)</f>
        <v>0</v>
      </c>
      <c r="N20" s="1292"/>
      <c r="O20" s="1300" t="str">
        <f t="shared" si="1"/>
        <v/>
      </c>
      <c r="P20" s="1115" t="e">
        <f>IF(M20="","",IF(AND(ABS(O20)&gt;50%,X20&gt;400),"Kommentera förändringen",IF(OR(ABS(O20)&gt;50%,X20&gt;198),"Kontrollera förändringen","")))</f>
        <v>#VALUE!</v>
      </c>
      <c r="Q20" s="1290" t="s">
        <v>1185</v>
      </c>
      <c r="R20" s="3039"/>
      <c r="S20" s="3003"/>
      <c r="T20" s="3003"/>
      <c r="U20" s="3003"/>
      <c r="V20" s="3003"/>
      <c r="W20" s="2974"/>
      <c r="X20" s="1291">
        <f>IF(D16=0,0,(Motpart!G15+Motpart!K15))</f>
        <v>0</v>
      </c>
    </row>
    <row r="21" spans="1:256" ht="12.75">
      <c r="A21" s="1253" t="s">
        <v>656</v>
      </c>
      <c r="B21" s="1255" t="s">
        <v>513</v>
      </c>
      <c r="C21" s="1236"/>
      <c r="D21" s="1233"/>
      <c r="E21" s="272"/>
      <c r="F21" s="1239"/>
      <c r="G21" s="1553"/>
      <c r="H21" s="522" t="s">
        <v>681</v>
      </c>
      <c r="I21" s="1303"/>
      <c r="J21" s="1730"/>
      <c r="K21" s="1733"/>
      <c r="L21" s="1734"/>
      <c r="M21" s="1291">
        <f>IF(F16=0,0,(F16*1000/J16))</f>
        <v>0</v>
      </c>
      <c r="N21" s="1292"/>
      <c r="O21" s="1300" t="str">
        <f t="shared" si="1"/>
        <v/>
      </c>
      <c r="P21" s="1115" t="str">
        <f>IF(M21="","",IF(OR(AND(O21&gt;-50%,O21&lt;50%),X21&lt;202),"","Kommentera förändringen"))</f>
        <v/>
      </c>
      <c r="Q21" s="1290" t="s">
        <v>1186</v>
      </c>
      <c r="R21" s="3039"/>
      <c r="S21" s="3003"/>
      <c r="T21" s="3003"/>
      <c r="U21" s="3003"/>
      <c r="V21" s="3003"/>
      <c r="W21" s="2974"/>
      <c r="X21" s="1291">
        <f>F16</f>
        <v>0</v>
      </c>
      <c r="IV21" s="289"/>
    </row>
    <row r="22" spans="1:256" ht="12.75">
      <c r="A22" s="1256" t="s">
        <v>668</v>
      </c>
      <c r="B22" s="1261"/>
      <c r="C22" s="1236"/>
      <c r="D22" s="1234"/>
      <c r="E22" s="1242"/>
      <c r="F22" s="1240"/>
      <c r="G22" s="1553"/>
      <c r="H22" s="522" t="s">
        <v>682</v>
      </c>
      <c r="I22" s="1303"/>
      <c r="J22" s="1730"/>
      <c r="K22" s="1733"/>
      <c r="L22" s="1734"/>
      <c r="M22" s="1291">
        <f>IF(D16=0,0,((Motpart!D15+Motpart!E15+Motpart!F15+Motpart!I15+Motpart!J15)-((Motpart!D15+Motpart!E15+Motpart!F15+Motpart!J15)*0.06))*1000/J16)</f>
        <v>0</v>
      </c>
      <c r="N22" s="1292"/>
      <c r="O22" s="1300" t="str">
        <f t="shared" si="1"/>
        <v/>
      </c>
      <c r="P22" s="1115" t="str">
        <f>IF(M22="","",IF(OR(AND(O22&gt;-50%,O22&lt;50%),X22&lt;204),"","Kommentera förändringen"))</f>
        <v/>
      </c>
      <c r="Q22" s="1290" t="s">
        <v>1187</v>
      </c>
      <c r="R22" s="3040"/>
      <c r="S22" s="3004"/>
      <c r="T22" s="3004"/>
      <c r="U22" s="3004"/>
      <c r="V22" s="3004"/>
      <c r="W22" s="2976"/>
      <c r="X22" s="1291">
        <f>IF(D16=0,0,(Motpart!D15+Motpart!E15+Motpart!F15+Motpart!I15+Motpart!J15)-((Motpart!D15+Motpart!E15+Motpart!F15+Motpart!J15)*0.06))</f>
        <v>0</v>
      </c>
      <c r="IV22" s="289"/>
    </row>
    <row r="23" spans="1:256" ht="13.5" thickBot="1">
      <c r="A23" s="1256" t="s">
        <v>657</v>
      </c>
      <c r="B23" s="1261"/>
      <c r="C23" s="1236"/>
      <c r="D23" s="1234"/>
      <c r="E23" s="1234"/>
      <c r="F23" s="1234"/>
      <c r="G23" s="1244"/>
      <c r="H23" s="523"/>
      <c r="I23" s="790"/>
      <c r="J23" s="1845"/>
      <c r="K23" s="1294"/>
      <c r="L23" s="1742"/>
      <c r="M23" s="1305">
        <f>IF(E20=0,0,(E20-E21)*100/C17)</f>
        <v>0</v>
      </c>
      <c r="N23" s="1296"/>
      <c r="O23" s="1306" t="str">
        <f>IF(OR(M23="",N23=""),"",IF(AND(M23=0,N23=0),0,IF(N23=0,1,M23/N23-1)))</f>
        <v/>
      </c>
      <c r="P23" s="1115" t="str">
        <f>IF(M23="","",IF(OR(O23&gt;50%,O23&lt;-50%),"Stor förändring, kommentera",IF(AND(M23&lt;31,M23&gt;0),"","Kommentera avg.finans.")))</f>
        <v>Stor förändring, kommentera</v>
      </c>
      <c r="Q23" s="1307" t="s">
        <v>600</v>
      </c>
      <c r="R23" s="289"/>
      <c r="S23" s="289"/>
      <c r="X23" s="1305">
        <f>IF(E20=0,0,(E20-E21)*100/C17)</f>
        <v>0</v>
      </c>
      <c r="IV23" s="289"/>
    </row>
    <row r="24" spans="1:256" ht="12.75">
      <c r="A24" s="1258" t="s">
        <v>432</v>
      </c>
      <c r="B24" s="1262" t="s">
        <v>641</v>
      </c>
      <c r="C24" s="90">
        <f>Drift!P53</f>
        <v>0</v>
      </c>
      <c r="D24" s="91">
        <f>SUM(Motpart!D17:L17)</f>
        <v>0</v>
      </c>
      <c r="E24" s="91">
        <f>Drift!W53</f>
        <v>0</v>
      </c>
      <c r="F24" s="91">
        <f>Motpart!Y17</f>
        <v>0</v>
      </c>
      <c r="G24" s="140">
        <f>Drift!V53</f>
        <v>0</v>
      </c>
      <c r="H24" s="180"/>
      <c r="I24" s="1209" t="s">
        <v>1137</v>
      </c>
      <c r="J24" s="1843"/>
      <c r="K24" s="1738"/>
      <c r="L24" s="1736"/>
      <c r="M24" s="1299" t="e">
        <f>(C24-G24-F24)*1000/J24</f>
        <v>#DIV/0!</v>
      </c>
      <c r="N24" s="1288"/>
      <c r="O24" s="1308" t="e">
        <f t="shared" si="1"/>
        <v>#DIV/0!</v>
      </c>
      <c r="P24" s="2364" t="e">
        <f>IF(M24="","",IF(AND(ABS(O24)&gt;40%),"Kommentera förändringen",IF(AND(ABS(O24)&gt;30%),"Kontrollera förändringen","")))</f>
        <v>#DIV/0!</v>
      </c>
      <c r="Q24" s="1290" t="s">
        <v>1176</v>
      </c>
      <c r="R24" s="98" t="s">
        <v>99</v>
      </c>
      <c r="S24" s="289"/>
      <c r="X24" s="1299">
        <f>C24-G24-F24</f>
        <v>0</v>
      </c>
    </row>
    <row r="25" spans="1:256" ht="12.75">
      <c r="A25" s="1253" t="s">
        <v>429</v>
      </c>
      <c r="B25" s="1263" t="s">
        <v>377</v>
      </c>
      <c r="C25" s="446">
        <f>C24-G24-D24</f>
        <v>0</v>
      </c>
      <c r="D25" s="1245"/>
      <c r="E25" s="1246"/>
      <c r="F25" s="1246"/>
      <c r="G25" s="1243"/>
      <c r="H25" s="522" t="s">
        <v>683</v>
      </c>
      <c r="I25" s="1303"/>
      <c r="J25" s="1730"/>
      <c r="K25" s="1733"/>
      <c r="L25" s="1734"/>
      <c r="M25" s="1291" t="e">
        <f>C25*1000/J24</f>
        <v>#DIV/0!</v>
      </c>
      <c r="N25" s="1309"/>
      <c r="O25" s="1300" t="e">
        <f t="shared" si="1"/>
        <v>#DIV/0!</v>
      </c>
      <c r="P25" s="1115" t="e">
        <f>IF(M25="","",IF(ABS(O25)&gt;40%,"Kommentera förändringen",IF(ABS(O25)&gt;30%,"Kontrollera förändringen","")))</f>
        <v>#DIV/0!</v>
      </c>
      <c r="Q25" s="1290" t="s">
        <v>1177</v>
      </c>
      <c r="R25" s="3041"/>
      <c r="S25" s="3002"/>
      <c r="T25" s="3002"/>
      <c r="U25" s="3002"/>
      <c r="V25" s="3002"/>
      <c r="W25" s="2972"/>
      <c r="X25" s="1291">
        <f>C25</f>
        <v>0</v>
      </c>
    </row>
    <row r="26" spans="1:256" ht="12.75">
      <c r="A26" s="1253" t="s">
        <v>430</v>
      </c>
      <c r="B26" s="2578" t="s">
        <v>1621</v>
      </c>
      <c r="C26" s="95">
        <f>Drift!C53+Drift!D53</f>
        <v>0</v>
      </c>
      <c r="D26" s="1245"/>
      <c r="E26" s="1238"/>
      <c r="F26" s="1238"/>
      <c r="G26" s="1243"/>
      <c r="H26" s="180" t="s">
        <v>432</v>
      </c>
      <c r="I26" s="1303"/>
      <c r="J26" s="1730"/>
      <c r="K26" s="1317"/>
      <c r="L26" s="1731"/>
      <c r="M26" s="1295">
        <f>IF(C26=0,0,C26*100/C25)</f>
        <v>0</v>
      </c>
      <c r="N26" s="1292"/>
      <c r="O26" s="1300" t="str">
        <f t="shared" si="1"/>
        <v/>
      </c>
      <c r="P26" s="1115" t="str">
        <f>IF(M26="","",IF(AND(O26&gt;-20%,O26&lt;20%),"","Kommentera förändringen"))</f>
        <v>Kommentera förändringen</v>
      </c>
      <c r="Q26" s="1290" t="s">
        <v>422</v>
      </c>
      <c r="R26" s="3039"/>
      <c r="S26" s="3003"/>
      <c r="T26" s="3003"/>
      <c r="U26" s="3003"/>
      <c r="V26" s="3003"/>
      <c r="W26" s="2974"/>
      <c r="X26" s="1295">
        <f>IF(C26=0,0,C26*100/C25)</f>
        <v>0</v>
      </c>
    </row>
    <row r="27" spans="1:256" ht="12.75">
      <c r="A27" s="1256" t="s">
        <v>431</v>
      </c>
      <c r="B27" s="1255" t="s">
        <v>636</v>
      </c>
      <c r="C27" s="2669"/>
      <c r="D27" s="1245" t="str">
        <f>IF(C24=0,"",IF(C27&lt;Drift!I53+Drift!J53+Drift!L53,"Kommentera",""))</f>
        <v/>
      </c>
      <c r="E27" s="272"/>
      <c r="F27" s="1240"/>
      <c r="G27" s="299"/>
      <c r="H27" s="522"/>
      <c r="I27" s="2820" t="str">
        <f>IF(G27&gt;E27,"Därav kol. G&gt; Kol. E- korrigera!","")</f>
        <v/>
      </c>
      <c r="J27" s="1442"/>
      <c r="K27" s="1284"/>
      <c r="L27" s="1732"/>
      <c r="M27" s="1291" t="e">
        <f>(C27-E27)*1000/J24</f>
        <v>#DIV/0!</v>
      </c>
      <c r="N27" s="1292"/>
      <c r="O27" s="1300" t="e">
        <f t="shared" si="1"/>
        <v>#DIV/0!</v>
      </c>
      <c r="P27" s="1115" t="e">
        <f>IF(M27="","",IF(OR(O27&lt;-50%,O27&gt;50%),"Kommentera förändringen",IF(OR(O27&lt;-20%,O27&gt;30%),"Kontrollera förändringen","")))</f>
        <v>#DIV/0!</v>
      </c>
      <c r="Q27" s="1290" t="s">
        <v>1178</v>
      </c>
      <c r="R27" s="3039"/>
      <c r="S27" s="3003"/>
      <c r="T27" s="3003"/>
      <c r="U27" s="3003"/>
      <c r="V27" s="3003"/>
      <c r="W27" s="2974"/>
      <c r="X27" s="1291">
        <f>C27-E27</f>
        <v>0</v>
      </c>
    </row>
    <row r="28" spans="1:256" ht="12.75">
      <c r="A28" s="1256" t="s">
        <v>658</v>
      </c>
      <c r="B28" s="1264"/>
      <c r="C28" s="1245"/>
      <c r="D28" s="1245"/>
      <c r="E28" s="1245"/>
      <c r="F28" s="1240"/>
      <c r="G28" s="1553"/>
      <c r="H28" s="180" t="s">
        <v>684</v>
      </c>
      <c r="I28" s="1303"/>
      <c r="J28" s="1730"/>
      <c r="K28" s="1733"/>
      <c r="L28" s="1734"/>
      <c r="M28" s="1295" t="e">
        <f>(Motpart!G17+Motpart!K17)*1000/J24</f>
        <v>#DIV/0!</v>
      </c>
      <c r="N28" s="1292"/>
      <c r="O28" s="1300" t="e">
        <f t="shared" si="1"/>
        <v>#DIV/0!</v>
      </c>
      <c r="P28" s="1115" t="e">
        <f>IF(M28="","",IF(OR(AND(O28&gt;-50%,O28&lt;50%),X28&lt;228),"","Kommentera förändringen"))</f>
        <v>#DIV/0!</v>
      </c>
      <c r="Q28" s="1290" t="s">
        <v>1179</v>
      </c>
      <c r="R28" s="3039"/>
      <c r="S28" s="3003"/>
      <c r="T28" s="3003"/>
      <c r="U28" s="3003"/>
      <c r="V28" s="3003"/>
      <c r="W28" s="2974"/>
      <c r="X28" s="1295">
        <f>Motpart!G17+Motpart!K17</f>
        <v>0</v>
      </c>
    </row>
    <row r="29" spans="1:256" ht="12.75">
      <c r="A29" s="1256" t="s">
        <v>659</v>
      </c>
      <c r="B29" s="1265"/>
      <c r="C29" s="1245"/>
      <c r="D29" s="1245"/>
      <c r="E29" s="1245"/>
      <c r="F29" s="1240"/>
      <c r="G29" s="1553"/>
      <c r="H29" s="521" t="s">
        <v>685</v>
      </c>
      <c r="I29" s="1303"/>
      <c r="J29" s="1730"/>
      <c r="K29" s="1733"/>
      <c r="L29" s="1734"/>
      <c r="M29" s="1310" t="e">
        <f>F24*1000/J24</f>
        <v>#DIV/0!</v>
      </c>
      <c r="N29" s="1292"/>
      <c r="O29" s="1300" t="e">
        <f t="shared" si="1"/>
        <v>#DIV/0!</v>
      </c>
      <c r="P29" s="1115" t="e">
        <f>IF(M29="","",IF(OR(AND(O29&gt;-50%,O29&lt;50%),X29&lt;210),"","Kommentera förändringen"))</f>
        <v>#DIV/0!</v>
      </c>
      <c r="Q29" s="1290" t="s">
        <v>1180</v>
      </c>
      <c r="R29" s="3040"/>
      <c r="S29" s="3004"/>
      <c r="T29" s="3004"/>
      <c r="U29" s="3004"/>
      <c r="V29" s="3004"/>
      <c r="W29" s="2976"/>
      <c r="X29" s="1310">
        <f>F24</f>
        <v>0</v>
      </c>
    </row>
    <row r="30" spans="1:256" ht="13.5" thickBot="1">
      <c r="A30" s="1256" t="s">
        <v>667</v>
      </c>
      <c r="B30" s="1266"/>
      <c r="C30" s="1245"/>
      <c r="D30" s="1245"/>
      <c r="E30" s="1245"/>
      <c r="F30" s="1240"/>
      <c r="G30" s="1554"/>
      <c r="H30" s="524" t="s">
        <v>686</v>
      </c>
      <c r="I30" s="790"/>
      <c r="J30" s="1739"/>
      <c r="K30" s="1740"/>
      <c r="L30" s="1741"/>
      <c r="M30" s="1311" t="e">
        <f>(Motpart!D17+Motpart!E17+Motpart!F17+Motpart!I17+Motpart!J17-(Motpart!D17+Motpart!E17+Motpart!F17+Motpart!J17)*0.06)*1000/J24</f>
        <v>#DIV/0!</v>
      </c>
      <c r="N30" s="1309"/>
      <c r="O30" s="1312" t="e">
        <f t="shared" si="1"/>
        <v>#DIV/0!</v>
      </c>
      <c r="P30" s="1313" t="e">
        <f>IF(M30="","",IF(OR(AND(O30&gt;-30%,O30&lt;50%),X30&lt;325),"","Kommentera förändringen"))</f>
        <v>#DIV/0!</v>
      </c>
      <c r="Q30" s="1307" t="s">
        <v>1181</v>
      </c>
      <c r="R30" s="289"/>
      <c r="S30" s="289"/>
      <c r="X30" s="1311">
        <f>(Motpart!D17+Motpart!E17+Motpart!F17+Motpart!I17+Motpart!J17-(Motpart!D17+Motpart!E17+Motpart!F17+Motpart!J17)*0.06)</f>
        <v>0</v>
      </c>
    </row>
    <row r="31" spans="1:256" ht="12.75">
      <c r="A31" s="1258" t="s">
        <v>444</v>
      </c>
      <c r="B31" s="1267" t="s">
        <v>642</v>
      </c>
      <c r="C31" s="90">
        <f>Drift!P54</f>
        <v>0</v>
      </c>
      <c r="D31" s="91">
        <f>SUM(Motpart!D18:L18)</f>
        <v>0</v>
      </c>
      <c r="E31" s="91">
        <f>Drift!W54</f>
        <v>0</v>
      </c>
      <c r="F31" s="91">
        <f>Motpart!Y18</f>
        <v>0</v>
      </c>
      <c r="G31" s="140">
        <f>Drift!V54</f>
        <v>0</v>
      </c>
      <c r="H31" s="525"/>
      <c r="I31" s="1209" t="s">
        <v>1138</v>
      </c>
      <c r="J31" s="1843"/>
      <c r="K31" s="1735"/>
      <c r="L31" s="1736"/>
      <c r="M31" s="1314" t="e">
        <f>SUM(M32:M34,M36:M38)</f>
        <v>#DIV/0!</v>
      </c>
      <c r="N31" s="1315"/>
      <c r="O31" s="1300" t="e">
        <f t="shared" si="1"/>
        <v>#DIV/0!</v>
      </c>
      <c r="P31" s="2364" t="e">
        <f>IF(M31="","",IF(AND(O31&gt;-10%,O31&lt;10%),"","Kommentera förändringen"))</f>
        <v>#DIV/0!</v>
      </c>
      <c r="Q31" s="1290" t="s">
        <v>1164</v>
      </c>
      <c r="R31" s="98" t="s">
        <v>905</v>
      </c>
      <c r="S31" s="289"/>
      <c r="X31" s="1314">
        <f>SUM(X32:X34,X36:X38)</f>
        <v>0</v>
      </c>
    </row>
    <row r="32" spans="1:256" ht="12.75">
      <c r="A32" s="1253" t="s">
        <v>433</v>
      </c>
      <c r="B32" s="1268" t="s">
        <v>559</v>
      </c>
      <c r="C32" s="300"/>
      <c r="D32" s="1245"/>
      <c r="E32" s="272"/>
      <c r="F32" s="1246"/>
      <c r="G32" s="299"/>
      <c r="H32" s="165" t="s">
        <v>687</v>
      </c>
      <c r="I32" s="2821"/>
      <c r="J32" s="2451"/>
      <c r="K32" s="2451"/>
      <c r="L32" s="2452"/>
      <c r="M32" s="1291" t="e">
        <f t="shared" ref="M32:M37" si="2">(C32-E32)*1000/$J$31</f>
        <v>#DIV/0!</v>
      </c>
      <c r="N32" s="1316"/>
      <c r="O32" s="1300" t="e">
        <f t="shared" si="1"/>
        <v>#DIV/0!</v>
      </c>
      <c r="P32" s="1115" t="e">
        <f>IF(M32="","",IF(AND(O32&gt;-10%,O32&lt;15%),"","Kommentera förändringen"))</f>
        <v>#DIV/0!</v>
      </c>
      <c r="Q32" s="1290" t="s">
        <v>1165</v>
      </c>
      <c r="R32" s="3041"/>
      <c r="S32" s="3002"/>
      <c r="T32" s="3002"/>
      <c r="U32" s="3002"/>
      <c r="V32" s="3002"/>
      <c r="W32" s="2972"/>
      <c r="X32" s="1291">
        <f t="shared" ref="X32:X37" si="3">C32-E32</f>
        <v>0</v>
      </c>
    </row>
    <row r="33" spans="1:24" ht="12.75">
      <c r="A33" s="1253" t="s">
        <v>434</v>
      </c>
      <c r="B33" s="1268" t="s">
        <v>1098</v>
      </c>
      <c r="C33" s="300"/>
      <c r="D33" s="1245"/>
      <c r="E33" s="272"/>
      <c r="F33" s="1238"/>
      <c r="G33" s="299"/>
      <c r="H33" s="165" t="s">
        <v>688</v>
      </c>
      <c r="I33" s="2819"/>
      <c r="J33" s="1730"/>
      <c r="K33" s="1317"/>
      <c r="L33" s="1731"/>
      <c r="M33" s="1291" t="e">
        <f>(C33-E33)*1000/$J$31</f>
        <v>#DIV/0!</v>
      </c>
      <c r="N33" s="1292"/>
      <c r="O33" s="1300" t="e">
        <f t="shared" si="1"/>
        <v>#DIV/0!</v>
      </c>
      <c r="P33" s="1115" t="e">
        <f>IF(M33="","",IF(OR(O33&lt;-40%,O33&gt;50%),"Kommentera förändringen",IF(OR(O33&lt;-30%,O33&gt;40%),"Kontrollera förändringen","")))</f>
        <v>#DIV/0!</v>
      </c>
      <c r="Q33" s="1290" t="s">
        <v>1166</v>
      </c>
      <c r="R33" s="3039"/>
      <c r="S33" s="3003"/>
      <c r="T33" s="3003"/>
      <c r="U33" s="3003"/>
      <c r="V33" s="3003"/>
      <c r="W33" s="2974"/>
      <c r="X33" s="1291">
        <f t="shared" si="3"/>
        <v>0</v>
      </c>
    </row>
    <row r="34" spans="1:24" ht="12.75">
      <c r="A34" s="1253" t="s">
        <v>435</v>
      </c>
      <c r="B34" s="1268" t="s">
        <v>590</v>
      </c>
      <c r="C34" s="300"/>
      <c r="D34" s="1245"/>
      <c r="E34" s="272"/>
      <c r="F34" s="1238"/>
      <c r="G34" s="299"/>
      <c r="H34" s="165"/>
      <c r="I34" s="2819"/>
      <c r="J34" s="1442"/>
      <c r="K34" s="1284"/>
      <c r="L34" s="1732"/>
      <c r="M34" s="1291" t="e">
        <f t="shared" si="2"/>
        <v>#DIV/0!</v>
      </c>
      <c r="N34" s="1309"/>
      <c r="O34" s="1300" t="e">
        <f t="shared" si="1"/>
        <v>#DIV/0!</v>
      </c>
      <c r="P34" s="1115" t="e">
        <f>IF(M34="","",IF(AND(O34&gt;-25%,O34&lt;25%),"","Kommentera förändringen"))</f>
        <v>#DIV/0!</v>
      </c>
      <c r="Q34" s="1290" t="s">
        <v>1167</v>
      </c>
      <c r="R34" s="3039"/>
      <c r="S34" s="3003"/>
      <c r="T34" s="3003"/>
      <c r="U34" s="3003"/>
      <c r="V34" s="3003"/>
      <c r="W34" s="2974"/>
      <c r="X34" s="1291">
        <f t="shared" si="3"/>
        <v>0</v>
      </c>
    </row>
    <row r="35" spans="1:24" ht="12.75">
      <c r="A35" s="1253" t="s">
        <v>436</v>
      </c>
      <c r="B35" s="1268" t="s">
        <v>557</v>
      </c>
      <c r="C35" s="300"/>
      <c r="D35" s="1245" t="str">
        <f>IF(C31=0,"",IF(OR(C35=0,C35=""),"Kommentera",""))</f>
        <v/>
      </c>
      <c r="E35" s="272"/>
      <c r="F35" s="1238"/>
      <c r="G35" s="299"/>
      <c r="H35" s="165" t="s">
        <v>689</v>
      </c>
      <c r="I35" s="2818"/>
      <c r="J35" s="1730"/>
      <c r="K35" s="1733"/>
      <c r="L35" s="1734"/>
      <c r="M35" s="1291" t="e">
        <f t="shared" si="2"/>
        <v>#DIV/0!</v>
      </c>
      <c r="N35" s="1316"/>
      <c r="O35" s="1300" t="e">
        <f t="shared" si="1"/>
        <v>#DIV/0!</v>
      </c>
      <c r="P35" s="1115" t="e">
        <f>IF(M35="","",IF(AND(O35&gt;-33%,O35&lt;33%),"","Kommentera förändringen"))</f>
        <v>#DIV/0!</v>
      </c>
      <c r="Q35" s="1290" t="s">
        <v>1168</v>
      </c>
      <c r="R35" s="3039"/>
      <c r="S35" s="3003"/>
      <c r="T35" s="3003"/>
      <c r="U35" s="3003"/>
      <c r="V35" s="3003"/>
      <c r="W35" s="2974"/>
      <c r="X35" s="1291">
        <f t="shared" si="3"/>
        <v>0</v>
      </c>
    </row>
    <row r="36" spans="1:24" ht="15" customHeight="1">
      <c r="A36" s="1253" t="s">
        <v>437</v>
      </c>
      <c r="B36" s="1269" t="s">
        <v>1004</v>
      </c>
      <c r="C36" s="300"/>
      <c r="D36" s="1245"/>
      <c r="E36" s="272"/>
      <c r="F36" s="1237"/>
      <c r="G36" s="299"/>
      <c r="H36" s="165" t="s">
        <v>690</v>
      </c>
      <c r="I36" s="2465"/>
      <c r="J36" s="1730"/>
      <c r="K36" s="1733"/>
      <c r="L36" s="1734"/>
      <c r="M36" s="1291" t="e">
        <f t="shared" si="2"/>
        <v>#DIV/0!</v>
      </c>
      <c r="N36" s="1316"/>
      <c r="O36" s="1300" t="e">
        <f t="shared" si="1"/>
        <v>#DIV/0!</v>
      </c>
      <c r="P36" s="1115" t="e">
        <f>IF(M36="","",IF(AND(O36&gt;-30%,O36&lt;40%),"","Kommentera förändringen"))</f>
        <v>#DIV/0!</v>
      </c>
      <c r="Q36" s="1290" t="s">
        <v>1169</v>
      </c>
      <c r="R36" s="3039"/>
      <c r="S36" s="3003"/>
      <c r="T36" s="3003"/>
      <c r="U36" s="3003"/>
      <c r="V36" s="3003"/>
      <c r="W36" s="2974"/>
      <c r="X36" s="1291">
        <f t="shared" si="3"/>
        <v>0</v>
      </c>
    </row>
    <row r="37" spans="1:24" s="227" customFormat="1" ht="12.75">
      <c r="A37" s="1253" t="s">
        <v>253</v>
      </c>
      <c r="B37" s="1270" t="s">
        <v>637</v>
      </c>
      <c r="C37" s="300"/>
      <c r="D37" s="1245" t="str">
        <f>IF(C31=0,"",IF(C37&lt;Drift!I54+Drift!J54+Drift!L54,"Kommentera",""))</f>
        <v/>
      </c>
      <c r="E37" s="272"/>
      <c r="F37" s="1150"/>
      <c r="G37" s="299"/>
      <c r="H37" s="181" t="s">
        <v>691</v>
      </c>
      <c r="I37" s="2822"/>
      <c r="J37" s="1730"/>
      <c r="K37" s="1733"/>
      <c r="L37" s="1734"/>
      <c r="M37" s="1291" t="e">
        <f t="shared" si="2"/>
        <v>#DIV/0!</v>
      </c>
      <c r="N37" s="1292"/>
      <c r="O37" s="1300" t="e">
        <f t="shared" si="1"/>
        <v>#DIV/0!</v>
      </c>
      <c r="P37" s="1115" t="e">
        <f>IF(M37="","",IF(AND(O37&gt;-20%,O37&lt;30%),"","Kommentera förändringen"))</f>
        <v>#DIV/0!</v>
      </c>
      <c r="Q37" s="1290" t="s">
        <v>1170</v>
      </c>
      <c r="R37" s="3039"/>
      <c r="S37" s="3003"/>
      <c r="T37" s="3003"/>
      <c r="U37" s="3003"/>
      <c r="V37" s="3003"/>
      <c r="W37" s="2974"/>
      <c r="X37" s="1291">
        <f t="shared" si="3"/>
        <v>0</v>
      </c>
    </row>
    <row r="38" spans="1:24" s="227" customFormat="1" ht="12.75" customHeight="1">
      <c r="A38" s="1253" t="s">
        <v>438</v>
      </c>
      <c r="B38" s="1268" t="s">
        <v>508</v>
      </c>
      <c r="C38" s="300"/>
      <c r="D38" s="1245"/>
      <c r="E38" s="272"/>
      <c r="F38" s="1150"/>
      <c r="G38" s="299"/>
      <c r="H38" s="165"/>
      <c r="I38" s="3011" t="str">
        <f>IF(SUM(E38-G38+100)&lt;Motpart!AA18,"I Motparten är statsbidragen "&amp;""&amp;(Motpart!AA18)&amp;" tkr. Alla bidrag från staten o statliga myndigheter, inklusive de från Migrationsverket, ska ingå under Övrigt som extern intäkt. De externa intäkterna på Övrigt-raden är dock bara "&amp;""&amp;(ROUND(E38-G38,0))&amp;" tkr. ","")</f>
        <v/>
      </c>
      <c r="J38" s="2459"/>
      <c r="K38" s="2459"/>
      <c r="L38" s="2460"/>
      <c r="M38" s="1291" t="e">
        <f>((C38+C39-G38)*1000/J31)</f>
        <v>#DIV/0!</v>
      </c>
      <c r="N38" s="1316"/>
      <c r="O38" s="1300" t="e">
        <f t="shared" si="1"/>
        <v>#DIV/0!</v>
      </c>
      <c r="P38" s="1115" t="e">
        <f>IF(SUM(E38-G38+100)&lt;Motpart!AA18,"Statsbidrag se kommentar till vänster",IF(M38="","",IF(OR(O38&lt;-50%,O38&gt;80%),"Kommentera förändringen",IF(OR(O38&lt;-30%,O38&gt;40%),"Kontrollera förändringen",""))))</f>
        <v>#DIV/0!</v>
      </c>
      <c r="Q38" s="1290" t="s">
        <v>1171</v>
      </c>
      <c r="R38" s="3039"/>
      <c r="S38" s="3003"/>
      <c r="T38" s="3003"/>
      <c r="U38" s="3003"/>
      <c r="V38" s="3003"/>
      <c r="W38" s="2974"/>
      <c r="X38" s="1291">
        <f>C38+C39-G38</f>
        <v>0</v>
      </c>
    </row>
    <row r="39" spans="1:24" s="227" customFormat="1" ht="12.75">
      <c r="A39" s="1253" t="s">
        <v>439</v>
      </c>
      <c r="B39" s="1271" t="s">
        <v>558</v>
      </c>
      <c r="C39" s="300"/>
      <c r="D39" s="2712" t="str">
        <f>IF(OR(C39 &gt; SUM(Drift!N54+Drift!O54+100), C39 &lt; SUM(Drift!N54+Drift!O54-100)),"Fördelad gemensam verksamhet skiljer sig mot Driftfliken.","")</f>
        <v/>
      </c>
      <c r="E39" s="1154"/>
      <c r="F39" s="1154"/>
      <c r="G39" s="1247"/>
      <c r="H39" s="180"/>
      <c r="I39" s="3028"/>
      <c r="J39" s="2461"/>
      <c r="K39" s="2461"/>
      <c r="L39" s="2462"/>
      <c r="M39" s="1295" t="e">
        <f>(M31*J31/1000+D31-F31-(Motpart!D18+Motpart!E18+Motpart!F18+Motpart!J18)*0.06)*1000/J31+M35</f>
        <v>#DIV/0!</v>
      </c>
      <c r="N39" s="1316"/>
      <c r="O39" s="1300" t="e">
        <f t="shared" si="1"/>
        <v>#DIV/0!</v>
      </c>
      <c r="P39" s="1115" t="e">
        <f>IF(M39="","",IF(AND(O39&gt;-20%,O39&lt;20%),"","Kommentera förändringen"))</f>
        <v>#DIV/0!</v>
      </c>
      <c r="Q39" s="1290" t="s">
        <v>1172</v>
      </c>
      <c r="R39" s="3039"/>
      <c r="S39" s="3003"/>
      <c r="T39" s="3003"/>
      <c r="U39" s="3003"/>
      <c r="V39" s="3003"/>
      <c r="W39" s="2974"/>
      <c r="X39" s="1295">
        <f>(X31+D31-F31-(Motpart!D18+Motpart!E18+Motpart!F18+Motpart!J18)*0.06)+X35</f>
        <v>0</v>
      </c>
    </row>
    <row r="40" spans="1:24" ht="12.75">
      <c r="A40" s="1272" t="s">
        <v>660</v>
      </c>
      <c r="B40" s="1273" t="s">
        <v>137</v>
      </c>
      <c r="C40" s="1550">
        <f>(C31-SUM(C32:C39)-D31)*-1</f>
        <v>0</v>
      </c>
      <c r="D40" s="1234"/>
      <c r="E40" s="1551">
        <f>(E31-SUM(E32:E38)-F31-SUM(Motpart!D18+Motpart!E18+Motpart!F18+Motpart!J18)*0.06)*-1</f>
        <v>0</v>
      </c>
      <c r="F40" s="1234"/>
      <c r="G40" s="1552">
        <f>(G31-SUM(G32:G38))*-1</f>
        <v>0</v>
      </c>
      <c r="H40" s="167"/>
      <c r="I40" s="3028"/>
      <c r="J40" s="2461"/>
      <c r="K40" s="2461"/>
      <c r="L40" s="2462"/>
      <c r="M40" s="1291" t="e">
        <f>(Motpart!G18+Motpart!K18)*1000/J31</f>
        <v>#DIV/0!</v>
      </c>
      <c r="N40" s="1316"/>
      <c r="O40" s="1300" t="e">
        <f t="shared" si="1"/>
        <v>#DIV/0!</v>
      </c>
      <c r="P40" s="1115" t="e">
        <f>IF(M40="","",IF(OR(AND(O40&gt;-40%,O40&lt;50%),X40&lt;551),"","Kommentera förändringen"))</f>
        <v>#DIV/0!</v>
      </c>
      <c r="Q40" s="1290" t="s">
        <v>1173</v>
      </c>
      <c r="R40" s="3039"/>
      <c r="S40" s="3003"/>
      <c r="T40" s="3003"/>
      <c r="U40" s="3003"/>
      <c r="V40" s="3003"/>
      <c r="W40" s="2974"/>
      <c r="X40" s="1291">
        <f>Motpart!G18+Motpart!K18</f>
        <v>0</v>
      </c>
    </row>
    <row r="41" spans="1:24" ht="12.75">
      <c r="A41" s="1272" t="s">
        <v>661</v>
      </c>
      <c r="B41" s="1273"/>
      <c r="C41" s="1236"/>
      <c r="D41" s="1234"/>
      <c r="E41" s="1234"/>
      <c r="F41" s="1234"/>
      <c r="G41" s="1244"/>
      <c r="H41" s="167"/>
      <c r="I41" s="3028"/>
      <c r="J41" s="2461"/>
      <c r="K41" s="2461"/>
      <c r="L41" s="2462"/>
      <c r="M41" s="1295" t="e">
        <f>F31*1000/J31</f>
        <v>#DIV/0!</v>
      </c>
      <c r="N41" s="1316"/>
      <c r="O41" s="1300" t="e">
        <f t="shared" si="1"/>
        <v>#DIV/0!</v>
      </c>
      <c r="P41" s="1115" t="e">
        <f>IF(M41="","",IF(OR(AND(O41&gt;-40%,O41&lt;50%),X41&lt;542),"","Kommentera förändringen"))</f>
        <v>#DIV/0!</v>
      </c>
      <c r="Q41" s="1290" t="s">
        <v>1174</v>
      </c>
      <c r="R41" s="3039"/>
      <c r="S41" s="3003"/>
      <c r="T41" s="3003"/>
      <c r="U41" s="3003"/>
      <c r="V41" s="3003"/>
      <c r="W41" s="2974"/>
      <c r="X41" s="1295">
        <f>F31</f>
        <v>0</v>
      </c>
    </row>
    <row r="42" spans="1:24" ht="12.75">
      <c r="A42" s="1253" t="s">
        <v>662</v>
      </c>
      <c r="B42" s="1271"/>
      <c r="C42" s="1236"/>
      <c r="D42" s="1234"/>
      <c r="E42" s="1234"/>
      <c r="F42" s="1234"/>
      <c r="G42" s="1244"/>
      <c r="H42" s="167"/>
      <c r="I42" s="3028"/>
      <c r="J42" s="2463"/>
      <c r="K42" s="2463"/>
      <c r="L42" s="2464"/>
      <c r="M42" s="1310" t="e">
        <f>((Motpart!D18+Motpart!E18+Motpart!F18+Motpart!J18-(Motpart!D18+Motpart!E18+Motpart!F18+Motpart!J18)*0.06))*1000/J31</f>
        <v>#DIV/0!</v>
      </c>
      <c r="N42" s="1316"/>
      <c r="O42" s="1300" t="e">
        <f t="shared" si="1"/>
        <v>#DIV/0!</v>
      </c>
      <c r="P42" s="1115" t="e">
        <f>IF(M42="","",IF(OR(AND(O42&gt;-40%,O42&lt;50%),X42&lt;503),"","Kommentera förändringen"))</f>
        <v>#DIV/0!</v>
      </c>
      <c r="Q42" s="1290" t="s">
        <v>1175</v>
      </c>
      <c r="R42" s="3040"/>
      <c r="S42" s="3004"/>
      <c r="T42" s="3004"/>
      <c r="U42" s="3004"/>
      <c r="V42" s="3004"/>
      <c r="W42" s="2976"/>
      <c r="X42" s="1310">
        <f>((Motpart!D18+Motpart!E18+Motpart!F18+Motpart!J18-(Motpart!D18+Motpart!E18+Motpart!F18+Motpart!J18)*0.06))</f>
        <v>0</v>
      </c>
    </row>
    <row r="43" spans="1:24" ht="13.5" thickBot="1">
      <c r="A43" s="1274"/>
      <c r="B43" s="1275"/>
      <c r="C43" s="2267" t="str">
        <f>IF(ABS(C40)&lt;100,"",IF(C31=0,"C31",IF(ABS(C40/C31)&gt;0.01,"C40")))</f>
        <v/>
      </c>
      <c r="D43" s="2268"/>
      <c r="E43" s="2265" t="str">
        <f>IF(ABS(E40)&lt;100,"",IF(E31=0,"E31",IF(ABS(E40/E31)&gt;0.01,"E40")))</f>
        <v/>
      </c>
      <c r="F43" s="2268"/>
      <c r="G43" s="2269" t="str">
        <f>IF(ABS(G40)&lt;100,"",IF(G31=0,"G31",IF(ABS(G40/G31)&gt;0.01,"G40")))</f>
        <v/>
      </c>
      <c r="H43" s="166"/>
      <c r="I43" s="1304"/>
      <c r="J43" s="1845"/>
      <c r="K43" s="1294"/>
      <c r="L43" s="1294"/>
      <c r="M43" s="1311"/>
      <c r="N43" s="1296"/>
      <c r="O43" s="1318"/>
      <c r="P43" s="1115" t="str">
        <f>IF(C43="C31","Bruttokostnad i Driften=0",IF(C43="C40","Eliminera differens kolumn C",IF(E43="E31","Bruttointäkt i Driften = 0",IF(E43="E40","Eliminera differens kolumn E",IF(G43="G31","Interna intäkter i Driften=0",IF(G43="G40","Eliminera differens kolumn G",""))))))</f>
        <v/>
      </c>
      <c r="Q43" s="1307" t="s">
        <v>561</v>
      </c>
      <c r="R43" s="289"/>
      <c r="S43" s="289"/>
      <c r="X43" s="1311"/>
    </row>
    <row r="44" spans="1:24" ht="12.75">
      <c r="A44" s="1258" t="s">
        <v>449</v>
      </c>
      <c r="B44" s="2808" t="s">
        <v>1818</v>
      </c>
      <c r="C44" s="90">
        <f>Drift!P55</f>
        <v>0</v>
      </c>
      <c r="D44" s="91">
        <f>SUM(Motpart!D19:L19)</f>
        <v>0</v>
      </c>
      <c r="E44" s="91">
        <f>Drift!W55</f>
        <v>0</v>
      </c>
      <c r="F44" s="91">
        <f>Motpart!Y19</f>
        <v>0</v>
      </c>
      <c r="G44" s="140">
        <f>Drift!V55</f>
        <v>0</v>
      </c>
      <c r="H44" s="169"/>
      <c r="I44" s="1737" t="s">
        <v>1138</v>
      </c>
      <c r="J44" s="1843"/>
      <c r="K44" s="1738"/>
      <c r="L44" s="1736"/>
      <c r="M44" s="1295" t="e">
        <f>SUM(M45:M47,M49:M51)</f>
        <v>#DIV/0!</v>
      </c>
      <c r="N44" s="1309"/>
      <c r="O44" s="1300" t="e">
        <f t="shared" ref="O44:O80" si="4">IF(OR(M44="",N44=""),"",IF(AND(M44=0,N44=0),0,IF(N44=0,1,M44/N44-1)))</f>
        <v>#DIV/0!</v>
      </c>
      <c r="P44" s="2364" t="e">
        <f>IF(M44="","",IF(OR(AND(O44&gt;-40%,O44&lt;50%),X44&lt;4270),"","Kommentera förändringen"))</f>
        <v>#DIV/0!</v>
      </c>
      <c r="Q44" s="1290" t="s">
        <v>1164</v>
      </c>
      <c r="R44" s="98" t="s">
        <v>1823</v>
      </c>
      <c r="S44" s="289"/>
      <c r="X44" s="1295">
        <f>SUM(X45:X47,X49:X51)</f>
        <v>0</v>
      </c>
    </row>
    <row r="45" spans="1:24" ht="12.75">
      <c r="A45" s="1253" t="s">
        <v>440</v>
      </c>
      <c r="B45" s="1268" t="s">
        <v>559</v>
      </c>
      <c r="C45" s="300"/>
      <c r="D45" s="1245"/>
      <c r="E45" s="272"/>
      <c r="F45" s="1238"/>
      <c r="G45" s="299"/>
      <c r="H45" s="163" t="s">
        <v>692</v>
      </c>
      <c r="I45" s="1729"/>
      <c r="J45" s="1730"/>
      <c r="K45" s="1733"/>
      <c r="L45" s="1734"/>
      <c r="M45" s="1310" t="e">
        <f t="shared" ref="M45:M50" si="5">(C45-E45)*1000/$J$44</f>
        <v>#DIV/0!</v>
      </c>
      <c r="N45" s="1316"/>
      <c r="O45" s="1300" t="e">
        <f t="shared" si="4"/>
        <v>#DIV/0!</v>
      </c>
      <c r="P45" s="1115" t="e">
        <f>IF(M45="","",IF(OR(AND(O45&gt;-40%,O45&lt;50%),X45&lt;2361),"","Kommentera förändringen"))</f>
        <v>#DIV/0!</v>
      </c>
      <c r="Q45" s="1290" t="s">
        <v>1203</v>
      </c>
      <c r="R45" s="3038"/>
      <c r="S45" s="3002"/>
      <c r="T45" s="3002"/>
      <c r="U45" s="3002"/>
      <c r="V45" s="3002"/>
      <c r="W45" s="2972"/>
      <c r="X45" s="1310">
        <f t="shared" ref="X45:X50" si="6">C45-E45</f>
        <v>0</v>
      </c>
    </row>
    <row r="46" spans="1:24" ht="12.75">
      <c r="A46" s="1253" t="s">
        <v>450</v>
      </c>
      <c r="B46" s="1268" t="s">
        <v>1098</v>
      </c>
      <c r="C46" s="300"/>
      <c r="D46" s="1245"/>
      <c r="E46" s="272"/>
      <c r="F46" s="1238"/>
      <c r="G46" s="299"/>
      <c r="H46" s="167" t="s">
        <v>693</v>
      </c>
      <c r="I46" s="1729"/>
      <c r="J46" s="1730"/>
      <c r="K46" s="1317"/>
      <c r="L46" s="1731"/>
      <c r="M46" s="1310" t="e">
        <f t="shared" si="5"/>
        <v>#DIV/0!</v>
      </c>
      <c r="N46" s="1292"/>
      <c r="O46" s="1300" t="e">
        <f t="shared" si="4"/>
        <v>#DIV/0!</v>
      </c>
      <c r="P46" s="1115" t="e">
        <f>IF(M46="","",IF(AND(OR(O46&lt;-50%,O46&gt;80%),X46&gt;250),"Kommentera förändringen",IF(AND(OR(O46&lt;-50%,O46&gt;80%),X46&gt;76),"Kontrollera förändringen","")))</f>
        <v>#DIV/0!</v>
      </c>
      <c r="Q46" s="1290" t="s">
        <v>1204</v>
      </c>
      <c r="R46" s="3039"/>
      <c r="S46" s="3003"/>
      <c r="T46" s="3003"/>
      <c r="U46" s="3003"/>
      <c r="V46" s="3003"/>
      <c r="W46" s="2974"/>
      <c r="X46" s="1310">
        <f t="shared" si="6"/>
        <v>0</v>
      </c>
    </row>
    <row r="47" spans="1:24" ht="12.75">
      <c r="A47" s="1253" t="s">
        <v>451</v>
      </c>
      <c r="B47" s="1268" t="s">
        <v>590</v>
      </c>
      <c r="C47" s="300"/>
      <c r="D47" s="1245"/>
      <c r="E47" s="272"/>
      <c r="F47" s="1237"/>
      <c r="G47" s="299"/>
      <c r="H47" s="167"/>
      <c r="I47" s="1729"/>
      <c r="J47" s="1844"/>
      <c r="K47" s="1284"/>
      <c r="L47" s="1732"/>
      <c r="M47" s="1310" t="e">
        <f t="shared" si="5"/>
        <v>#DIV/0!</v>
      </c>
      <c r="N47" s="1292"/>
      <c r="O47" s="1300" t="e">
        <f t="shared" si="4"/>
        <v>#DIV/0!</v>
      </c>
      <c r="P47" s="1115" t="e">
        <f>IF(M47="","",IF(AND(ABS(O47)&gt;50%,X47&gt;250),"Kommentera förändringen", IF(AND(ABS(O47)&gt;50%,X47&gt;79),"Kontrollera förändringen","")))</f>
        <v>#DIV/0!</v>
      </c>
      <c r="Q47" s="1290" t="s">
        <v>1205</v>
      </c>
      <c r="R47" s="3039"/>
      <c r="S47" s="3003"/>
      <c r="T47" s="3003"/>
      <c r="U47" s="3003"/>
      <c r="V47" s="3003"/>
      <c r="W47" s="2974"/>
      <c r="X47" s="1310">
        <f t="shared" si="6"/>
        <v>0</v>
      </c>
    </row>
    <row r="48" spans="1:24" ht="12.75">
      <c r="A48" s="1253" t="s">
        <v>441</v>
      </c>
      <c r="B48" s="1268" t="s">
        <v>557</v>
      </c>
      <c r="C48" s="300"/>
      <c r="D48" s="1245" t="str">
        <f>IF(C44=0,"",IF(OR(C48=0,C48=""),"Kommentera",""))</f>
        <v/>
      </c>
      <c r="E48" s="272"/>
      <c r="F48" s="1150"/>
      <c r="G48" s="299"/>
      <c r="H48" s="165" t="s">
        <v>694</v>
      </c>
      <c r="I48" s="1729"/>
      <c r="J48" s="1730"/>
      <c r="K48" s="1733"/>
      <c r="L48" s="1734"/>
      <c r="M48" s="1310" t="e">
        <f t="shared" si="5"/>
        <v>#DIV/0!</v>
      </c>
      <c r="N48" s="1309"/>
      <c r="O48" s="1300" t="e">
        <f t="shared" si="4"/>
        <v>#DIV/0!</v>
      </c>
      <c r="P48" s="1115" t="e">
        <f>IF(M48="","",IF(OR(AND(O48&gt;-50%,O48&lt;80%),X48&lt;521),"","Kommentera förändringen"))</f>
        <v>#DIV/0!</v>
      </c>
      <c r="Q48" s="1290" t="s">
        <v>1206</v>
      </c>
      <c r="R48" s="3039"/>
      <c r="S48" s="3003"/>
      <c r="T48" s="3003"/>
      <c r="U48" s="3003"/>
      <c r="V48" s="3003"/>
      <c r="W48" s="2974"/>
      <c r="X48" s="1310">
        <f t="shared" si="6"/>
        <v>0</v>
      </c>
    </row>
    <row r="49" spans="1:24" ht="12.75">
      <c r="A49" s="1253" t="s">
        <v>452</v>
      </c>
      <c r="B49" s="1269" t="s">
        <v>1004</v>
      </c>
      <c r="C49" s="300"/>
      <c r="D49" s="1245"/>
      <c r="E49" s="272"/>
      <c r="F49" s="1248"/>
      <c r="G49" s="299"/>
      <c r="H49" s="167" t="s">
        <v>695</v>
      </c>
      <c r="I49" s="1729"/>
      <c r="J49" s="1730"/>
      <c r="K49" s="1733"/>
      <c r="L49" s="1734"/>
      <c r="M49" s="1310" t="e">
        <f t="shared" si="5"/>
        <v>#DIV/0!</v>
      </c>
      <c r="N49" s="1316"/>
      <c r="O49" s="1300" t="e">
        <f t="shared" si="4"/>
        <v>#DIV/0!</v>
      </c>
      <c r="P49" s="1115" t="e">
        <f>IF(M49="","",IF(AND(OR(O49&lt;-70%,O49&gt;100%),X49&gt;250),"Kommentera förändringen",IF(AND(OR(O49&lt;-70%,O49&gt;100%),X49&gt;76),"Kontrollera förändringen","")))</f>
        <v>#DIV/0!</v>
      </c>
      <c r="Q49" s="1290" t="s">
        <v>1207</v>
      </c>
      <c r="R49" s="3039"/>
      <c r="S49" s="3003"/>
      <c r="T49" s="3003"/>
      <c r="U49" s="3003"/>
      <c r="V49" s="3003"/>
      <c r="W49" s="2974"/>
      <c r="X49" s="1310">
        <f t="shared" si="6"/>
        <v>0</v>
      </c>
    </row>
    <row r="50" spans="1:24" ht="12.75">
      <c r="A50" s="1253" t="s">
        <v>453</v>
      </c>
      <c r="B50" s="1270" t="s">
        <v>637</v>
      </c>
      <c r="C50" s="300"/>
      <c r="D50" s="1245" t="str">
        <f>IF(C44=0,"",IF(C50&lt;Drift!I55+Drift!J55+Drift!L55,"Kommentera",""))</f>
        <v/>
      </c>
      <c r="E50" s="272"/>
      <c r="F50" s="1237"/>
      <c r="G50" s="299"/>
      <c r="H50" s="165" t="s">
        <v>696</v>
      </c>
      <c r="I50" s="1729"/>
      <c r="J50" s="1730"/>
      <c r="K50" s="1733"/>
      <c r="L50" s="1734"/>
      <c r="M50" s="1310" t="e">
        <f t="shared" si="5"/>
        <v>#DIV/0!</v>
      </c>
      <c r="N50" s="1316"/>
      <c r="O50" s="1300" t="e">
        <f t="shared" si="4"/>
        <v>#DIV/0!</v>
      </c>
      <c r="P50" s="1115" t="e">
        <f>IF(M50="","",IF(AND(OR(O50&gt;100%, O50&lt;-80%), X50&gt;470), "Kommentera förändringen", IF(AND(O50&gt;80%, X50&gt;470), "Kontrollera förändringen", "")))</f>
        <v>#DIV/0!</v>
      </c>
      <c r="Q50" s="1290" t="s">
        <v>1208</v>
      </c>
      <c r="R50" s="3039"/>
      <c r="S50" s="3003"/>
      <c r="T50" s="3003"/>
      <c r="U50" s="3003"/>
      <c r="V50" s="3003"/>
      <c r="W50" s="2974"/>
      <c r="X50" s="1310">
        <f t="shared" si="6"/>
        <v>0</v>
      </c>
    </row>
    <row r="51" spans="1:24" ht="12.75">
      <c r="A51" s="1253" t="s">
        <v>454</v>
      </c>
      <c r="B51" s="1268" t="s">
        <v>508</v>
      </c>
      <c r="C51" s="300"/>
      <c r="D51" s="1642"/>
      <c r="E51" s="272"/>
      <c r="F51" s="1237"/>
      <c r="G51" s="299"/>
      <c r="H51" s="163" t="s">
        <v>697</v>
      </c>
      <c r="I51" s="3007" t="str">
        <f>IF(SUM(E51-G51+100)&lt;Motpart!AA19,"I Motparten är statsbidragen "&amp;""&amp;(Motpart!AA19)&amp;" tkr. Alla bidrag från staten o statliga myndigheter, inklusive de från Migrationsverket, ska ingå under Övrigt som extern intäkt. De externa intäkterna på Övrigt-raden är dock bara "&amp;""&amp;(ROUND(E51-G51,0))&amp;" tkr. ","")</f>
        <v/>
      </c>
      <c r="J51" s="2466"/>
      <c r="K51" s="2466"/>
      <c r="L51" s="2474"/>
      <c r="M51" s="1310" t="e">
        <f>(C51+C52-G51)*1000/$J$44</f>
        <v>#DIV/0!</v>
      </c>
      <c r="N51" s="1316"/>
      <c r="O51" s="1300" t="e">
        <f t="shared" si="4"/>
        <v>#DIV/0!</v>
      </c>
      <c r="P51" s="1115" t="e">
        <f>IF(SUM(E51-G51+100)&lt;Motpart!AA19,"Statsbidrag se kommentar till vänster",IF(M51="","",IF(OR(AND(O51&gt;-50%,O51&lt;100%),X51&lt;1226),"","Kommentera förändringen")))</f>
        <v>#DIV/0!</v>
      </c>
      <c r="Q51" s="1290" t="s">
        <v>1209</v>
      </c>
      <c r="R51" s="3039"/>
      <c r="S51" s="3003"/>
      <c r="T51" s="3003"/>
      <c r="U51" s="3003"/>
      <c r="V51" s="3003"/>
      <c r="W51" s="2974"/>
      <c r="X51" s="1310">
        <f>C51+C52-G51</f>
        <v>0</v>
      </c>
    </row>
    <row r="52" spans="1:24" ht="12.75">
      <c r="A52" s="1253" t="s">
        <v>455</v>
      </c>
      <c r="B52" s="1271" t="s">
        <v>519</v>
      </c>
      <c r="C52" s="300"/>
      <c r="D52" s="2713" t="str">
        <f>IF(OR(C52 &gt; SUM(Drift!N55+Drift!O55+100), C52 &lt; SUM(Drift!N55+Drift!O55-100)),"Fördelad gemensam verksamhet skiljer sig mot Driftfliken.","")</f>
        <v/>
      </c>
      <c r="E52" s="1245"/>
      <c r="F52" s="1245"/>
      <c r="G52" s="1247"/>
      <c r="H52" s="167"/>
      <c r="I52" s="3008"/>
      <c r="J52" s="2466"/>
      <c r="K52" s="2466"/>
      <c r="L52" s="2474"/>
      <c r="M52" s="1291" t="e">
        <f>((M44*J44/1000+D44-F44-(Motpart!D19+Motpart!E19+Motpart!F19+Motpart!J19)*0.06))*1000/J44+M48</f>
        <v>#DIV/0!</v>
      </c>
      <c r="N52" s="1316"/>
      <c r="O52" s="1300" t="e">
        <f t="shared" si="4"/>
        <v>#DIV/0!</v>
      </c>
      <c r="P52" s="1115" t="e">
        <f>IF(M52="","",IF(OR(AND(O52&gt;-40%,O52&lt;40%),X52&lt;5100),"","Kommntera förändringen"))</f>
        <v>#DIV/0!</v>
      </c>
      <c r="Q52" s="1290" t="s">
        <v>1210</v>
      </c>
      <c r="R52" s="3039"/>
      <c r="S52" s="3003"/>
      <c r="T52" s="3003"/>
      <c r="U52" s="3003"/>
      <c r="V52" s="3003"/>
      <c r="W52" s="2974"/>
      <c r="X52" s="1291">
        <f>((X44+D44-F44-(Motpart!D19+Motpart!E19+Motpart!F19+Motpart!J19)*0.06))+X48</f>
        <v>0</v>
      </c>
    </row>
    <row r="53" spans="1:24" ht="12.75">
      <c r="A53" s="1274" t="s">
        <v>663</v>
      </c>
      <c r="B53" s="1271" t="s">
        <v>137</v>
      </c>
      <c r="C53" s="1550">
        <f>(C44-SUM(C45:C52)-D44)*-1</f>
        <v>0</v>
      </c>
      <c r="D53" s="1245"/>
      <c r="E53" s="1551">
        <f>(E44-SUM(E45:E51)-F44-SUM(Motpart!D19+Motpart!E19+Motpart!F19+Motpart!J19)*0.06)*-1</f>
        <v>0</v>
      </c>
      <c r="F53" s="1245"/>
      <c r="G53" s="1552">
        <f>(G44-SUM(G45:G51))*-1</f>
        <v>0</v>
      </c>
      <c r="H53" s="167"/>
      <c r="I53" s="3008"/>
      <c r="J53" s="2466"/>
      <c r="K53" s="2466"/>
      <c r="L53" s="2474"/>
      <c r="M53" s="1295" t="e">
        <f>(Motpart!G19+Motpart!K19)*1000/J44</f>
        <v>#DIV/0!</v>
      </c>
      <c r="N53" s="1316"/>
      <c r="O53" s="1300" t="e">
        <f t="shared" si="4"/>
        <v>#DIV/0!</v>
      </c>
      <c r="P53" s="1115" t="e">
        <f>IF(M53="","",IF(OR(AND(O53&gt;-50%,O53&lt;100%),X53&lt;1458),"","Kommentera förändringen"))</f>
        <v>#DIV/0!</v>
      </c>
      <c r="Q53" s="1290" t="s">
        <v>1211</v>
      </c>
      <c r="R53" s="3039"/>
      <c r="S53" s="3003"/>
      <c r="T53" s="3003"/>
      <c r="U53" s="3003"/>
      <c r="V53" s="3003"/>
      <c r="W53" s="2974"/>
      <c r="X53" s="1295">
        <f>Motpart!G19+Motpart!K19</f>
        <v>0</v>
      </c>
    </row>
    <row r="54" spans="1:24" ht="12.75">
      <c r="A54" s="1274" t="s">
        <v>664</v>
      </c>
      <c r="B54" s="1271"/>
      <c r="C54" s="1245"/>
      <c r="D54" s="1245"/>
      <c r="E54" s="1245"/>
      <c r="F54" s="1245"/>
      <c r="G54" s="1247"/>
      <c r="H54" s="165"/>
      <c r="I54" s="3008"/>
      <c r="J54" s="2466"/>
      <c r="K54" s="2466"/>
      <c r="L54" s="2474"/>
      <c r="M54" s="1310" t="e">
        <f>F44*1000/J44</f>
        <v>#DIV/0!</v>
      </c>
      <c r="N54" s="1316"/>
      <c r="O54" s="1300" t="e">
        <f t="shared" si="4"/>
        <v>#DIV/0!</v>
      </c>
      <c r="P54" s="1115" t="e">
        <f>IF(M54="","",IF(OR(AND(O54&gt;-50%,O54&lt;100%),X54&lt;1446),"","Kommentera förändringen"))</f>
        <v>#DIV/0!</v>
      </c>
      <c r="Q54" s="1290" t="s">
        <v>1212</v>
      </c>
      <c r="R54" s="3039"/>
      <c r="S54" s="3003"/>
      <c r="T54" s="3003"/>
      <c r="U54" s="3003"/>
      <c r="V54" s="3003"/>
      <c r="W54" s="2974"/>
      <c r="X54" s="1310">
        <f>F44</f>
        <v>0</v>
      </c>
    </row>
    <row r="55" spans="1:24" ht="12.75">
      <c r="A55" s="1274" t="s">
        <v>665</v>
      </c>
      <c r="B55" s="1276"/>
      <c r="C55" s="1245"/>
      <c r="D55" s="1245"/>
      <c r="E55" s="1245"/>
      <c r="F55" s="1245"/>
      <c r="G55" s="1247"/>
      <c r="H55" s="163"/>
      <c r="I55" s="3008"/>
      <c r="J55" s="2466"/>
      <c r="K55" s="2466"/>
      <c r="L55" s="2474"/>
      <c r="M55" s="1310" t="e">
        <f>Motpart!H19*1000/J44</f>
        <v>#DIV/0!</v>
      </c>
      <c r="N55" s="1292"/>
      <c r="O55" s="1300" t="e">
        <f t="shared" si="4"/>
        <v>#DIV/0!</v>
      </c>
      <c r="P55" s="1115" t="e">
        <f>IF(M55="","",IF(OR(AND(O55&gt;-50%,O55&lt;100%),X55&lt;1458),"","Kommentera förändringen"))</f>
        <v>#DIV/0!</v>
      </c>
      <c r="Q55" s="1290" t="s">
        <v>1650</v>
      </c>
      <c r="R55" s="3039"/>
      <c r="S55" s="3003"/>
      <c r="T55" s="3003"/>
      <c r="U55" s="3003"/>
      <c r="V55" s="3003"/>
      <c r="W55" s="2974"/>
      <c r="X55" s="1310">
        <f>Motpart!H19</f>
        <v>0</v>
      </c>
    </row>
    <row r="56" spans="1:24" ht="12.75">
      <c r="A56" s="1256" t="s">
        <v>666</v>
      </c>
      <c r="B56" s="1271"/>
      <c r="C56" s="1234"/>
      <c r="D56" s="1234"/>
      <c r="E56" s="1234"/>
      <c r="F56" s="1234"/>
      <c r="G56" s="1244"/>
      <c r="H56" s="1556"/>
      <c r="I56" s="1557"/>
      <c r="J56" s="1844"/>
      <c r="K56" s="1317"/>
      <c r="L56" s="1317"/>
      <c r="M56" s="1310" t="e">
        <f>(Motpart!D19+Motpart!E19+Motpart!F19+Motpart!J19-(Motpart!D19+Motpart!E19+Motpart!F19+Motpart!J19)*0.06)*1000/J44</f>
        <v>#DIV/0!</v>
      </c>
      <c r="N56" s="1316"/>
      <c r="O56" s="1300" t="e">
        <f t="shared" si="4"/>
        <v>#DIV/0!</v>
      </c>
      <c r="P56" s="1115" t="e">
        <f>IF(M56="","",IF(OR(AND(O56&gt;-50%,O56&lt;100%),X56&lt;1458),"","Kommentera förändringen"))</f>
        <v>#DIV/0!</v>
      </c>
      <c r="Q56" s="1290" t="s">
        <v>1213</v>
      </c>
      <c r="R56" s="3040"/>
      <c r="S56" s="3004"/>
      <c r="T56" s="3004"/>
      <c r="U56" s="3004"/>
      <c r="V56" s="3004"/>
      <c r="W56" s="2976"/>
      <c r="X56" s="1310">
        <f>(Motpart!D19+Motpart!E19+Motpart!F19+Motpart!J19-(Motpart!D19+Motpart!E19+Motpart!F19+Motpart!J19)*0.06)</f>
        <v>0</v>
      </c>
    </row>
    <row r="57" spans="1:24" ht="13.5" thickBot="1">
      <c r="A57" s="1274"/>
      <c r="B57" s="1277"/>
      <c r="C57" s="2265" t="str">
        <f>IF(ABS(C53)&lt;100,"",IF(C44=0,"C44",IF(ABS(C53/C44)&gt;0.01,"C53")))</f>
        <v/>
      </c>
      <c r="D57" s="2265"/>
      <c r="E57" s="2265" t="str">
        <f>IF(ABS(E53)&lt;100,"",IF(E44=0,"E44",IF(ABS(E53/E44)&gt;0.01,"E53")))</f>
        <v/>
      </c>
      <c r="F57" s="2265"/>
      <c r="G57" s="2266" t="str">
        <f>IF(ABS(G53)&lt;100,"",IF(G44=0,"G44",IF(ABS(G53/G44)&gt;0.01,"G53")))</f>
        <v/>
      </c>
      <c r="H57" s="182"/>
      <c r="I57" s="1319"/>
      <c r="J57" s="1845"/>
      <c r="K57" s="1294"/>
      <c r="L57" s="1294"/>
      <c r="M57" s="1311"/>
      <c r="N57" s="1296"/>
      <c r="O57" s="1312"/>
      <c r="P57" s="1313" t="str">
        <f>IF(C57="C44","Bruttokostnad i Driften=0",IF(C57="C53","Eliminera differens kolumn C",IF(E57="E44","Bruttointäkt i Driften = 0",IF(E57="E53","Eliminera differens kolumn E",IF(G57="G44","Interna intäkter i Driften=0",IF(G57="G53","Eliminera differens kolumn G",""))))))</f>
        <v/>
      </c>
      <c r="Q57" s="1307" t="s">
        <v>1822</v>
      </c>
      <c r="R57" s="289"/>
      <c r="S57" s="289"/>
      <c r="X57" s="1311"/>
    </row>
    <row r="58" spans="1:24" ht="12.75">
      <c r="A58" s="1258" t="s">
        <v>456</v>
      </c>
      <c r="B58" s="1267" t="s">
        <v>643</v>
      </c>
      <c r="C58" s="90">
        <f>Drift!P56</f>
        <v>0</v>
      </c>
      <c r="D58" s="91">
        <f>SUM(Motpart!D20:L20)</f>
        <v>0</v>
      </c>
      <c r="E58" s="91">
        <f>Drift!W56</f>
        <v>0</v>
      </c>
      <c r="F58" s="91">
        <f>Motpart!Y20</f>
        <v>0</v>
      </c>
      <c r="G58" s="140">
        <f>Drift!V56</f>
        <v>0</v>
      </c>
      <c r="H58" s="163"/>
      <c r="I58" s="1737" t="s">
        <v>1139</v>
      </c>
      <c r="J58" s="1843"/>
      <c r="K58" s="1735"/>
      <c r="L58" s="1736"/>
      <c r="M58" s="1314" t="e">
        <f>SUM(M59:M61,M63:M65)</f>
        <v>#DIV/0!</v>
      </c>
      <c r="N58" s="1315"/>
      <c r="O58" s="1300" t="e">
        <f t="shared" si="4"/>
        <v>#DIV/0!</v>
      </c>
      <c r="P58" s="1115" t="e">
        <f>IF(M58="","",IF(OR(O58&lt;-40%,O58&gt;50%),"Kommentera förändringen",IF(OR(O58&lt;-20%,O58&gt;30%),"Kontrollera förändringen","")))</f>
        <v>#DIV/0!</v>
      </c>
      <c r="Q58" s="1290" t="s">
        <v>1146</v>
      </c>
      <c r="R58" s="98" t="s">
        <v>906</v>
      </c>
      <c r="S58" s="289"/>
      <c r="X58" s="1314">
        <f>SUM(X59:X61,X63:X65)</f>
        <v>0</v>
      </c>
    </row>
    <row r="59" spans="1:24" ht="12.75">
      <c r="A59" s="1253" t="s">
        <v>457</v>
      </c>
      <c r="B59" s="1268" t="s">
        <v>559</v>
      </c>
      <c r="C59" s="300"/>
      <c r="D59" s="1245"/>
      <c r="E59" s="272"/>
      <c r="F59" s="1237"/>
      <c r="G59" s="299"/>
      <c r="H59" s="167" t="s">
        <v>698</v>
      </c>
      <c r="I59" s="1729"/>
      <c r="J59" s="1730"/>
      <c r="K59" s="1733"/>
      <c r="L59" s="1734"/>
      <c r="M59" s="1310" t="e">
        <f>(C59-E59)*1000/$J$58</f>
        <v>#DIV/0!</v>
      </c>
      <c r="N59" s="1309"/>
      <c r="O59" s="1300" t="e">
        <f t="shared" si="4"/>
        <v>#DIV/0!</v>
      </c>
      <c r="P59" s="1115" t="e">
        <f>IF(M59="","",IF(OR(O59&lt;-50%,O59&gt;60%),"Kommentera förändringen",IF(OR(O59&lt;-30%,O59&gt;40%),"Kontrollera förändringen","")))</f>
        <v>#DIV/0!</v>
      </c>
      <c r="Q59" s="1290" t="s">
        <v>1147</v>
      </c>
      <c r="R59" s="3041"/>
      <c r="S59" s="3002"/>
      <c r="T59" s="3002"/>
      <c r="U59" s="3002"/>
      <c r="V59" s="3002"/>
      <c r="W59" s="2972"/>
      <c r="X59" s="1310">
        <f t="shared" ref="X59:X64" si="7">C59-E59</f>
        <v>0</v>
      </c>
    </row>
    <row r="60" spans="1:24" ht="12.75">
      <c r="A60" s="1253" t="s">
        <v>458</v>
      </c>
      <c r="B60" s="1268" t="s">
        <v>1098</v>
      </c>
      <c r="C60" s="300"/>
      <c r="D60" s="1245"/>
      <c r="E60" s="272"/>
      <c r="F60" s="1237"/>
      <c r="G60" s="299"/>
      <c r="H60" s="167" t="s">
        <v>699</v>
      </c>
      <c r="I60" s="1729"/>
      <c r="J60" s="1730"/>
      <c r="K60" s="1317"/>
      <c r="L60" s="1731"/>
      <c r="M60" s="1310" t="e">
        <f>(C60-E60)*1000/$J$58</f>
        <v>#DIV/0!</v>
      </c>
      <c r="N60" s="1316"/>
      <c r="O60" s="1300" t="e">
        <f t="shared" si="4"/>
        <v>#DIV/0!</v>
      </c>
      <c r="P60" s="1115" t="e">
        <f>IF(M49="","",IF(AND(OR(O60&lt;-70%,O60&gt;100%),X60&gt;250),"Kommentera förändringen",IF(AND(OR(O60&lt;-70%,O60&gt;100%),X60&gt;76),"Kontrollera förändringen","")))</f>
        <v>#DIV/0!</v>
      </c>
      <c r="Q60" s="1290" t="s">
        <v>1148</v>
      </c>
      <c r="R60" s="3039"/>
      <c r="S60" s="3003"/>
      <c r="T60" s="3003"/>
      <c r="U60" s="3003"/>
      <c r="V60" s="3003"/>
      <c r="W60" s="2974"/>
      <c r="X60" s="1310">
        <f t="shared" si="7"/>
        <v>0</v>
      </c>
    </row>
    <row r="61" spans="1:24" ht="12.75">
      <c r="A61" s="1253" t="s">
        <v>459</v>
      </c>
      <c r="B61" s="1268" t="s">
        <v>590</v>
      </c>
      <c r="C61" s="300"/>
      <c r="D61" s="1245"/>
      <c r="E61" s="272"/>
      <c r="F61" s="1237"/>
      <c r="G61" s="299"/>
      <c r="H61" s="165"/>
      <c r="I61" s="1729"/>
      <c r="J61" s="1442"/>
      <c r="K61" s="1284"/>
      <c r="L61" s="1732"/>
      <c r="M61" s="1310" t="e">
        <f>(C61-E61)*1000/$J$58</f>
        <v>#DIV/0!</v>
      </c>
      <c r="N61" s="1316"/>
      <c r="O61" s="1300" t="e">
        <f t="shared" si="4"/>
        <v>#DIV/0!</v>
      </c>
      <c r="P61" s="1115" t="e">
        <f>IF(M61="","",IF(OR(O61&lt;-80%,O61&gt;80%),"Kommentera förändringen",IF(OR(O61&lt;-40%,O61&gt;50%),"Kontrollera förändringen","")))</f>
        <v>#DIV/0!</v>
      </c>
      <c r="Q61" s="1290" t="s">
        <v>1149</v>
      </c>
      <c r="R61" s="3039"/>
      <c r="S61" s="3003"/>
      <c r="T61" s="3003"/>
      <c r="U61" s="3003"/>
      <c r="V61" s="3003"/>
      <c r="W61" s="2974"/>
      <c r="X61" s="1310">
        <f t="shared" si="7"/>
        <v>0</v>
      </c>
    </row>
    <row r="62" spans="1:24" ht="12.75">
      <c r="A62" s="1253" t="s">
        <v>269</v>
      </c>
      <c r="B62" s="1268" t="s">
        <v>557</v>
      </c>
      <c r="C62" s="300"/>
      <c r="D62" s="1245" t="str">
        <f>IF(C58=0,"",IF(OR(C62=0,C62=""),"Kommentera",""))</f>
        <v/>
      </c>
      <c r="E62" s="272"/>
      <c r="F62" s="1237"/>
      <c r="G62" s="299"/>
      <c r="H62" s="163" t="s">
        <v>700</v>
      </c>
      <c r="I62" s="1729"/>
      <c r="J62" s="1730"/>
      <c r="K62" s="1733"/>
      <c r="L62" s="1734"/>
      <c r="M62" s="1310" t="e">
        <f>(C62-E62)*1000/$J$58</f>
        <v>#DIV/0!</v>
      </c>
      <c r="N62" s="1316"/>
      <c r="O62" s="1300" t="e">
        <f t="shared" si="4"/>
        <v>#DIV/0!</v>
      </c>
      <c r="P62" s="1115" t="e">
        <f>IF(M62="","",IF(OR(O62&lt;-50%,O62&gt;50%),"Kommentera förändringen",IF(OR(O62&lt;-20%,O62&gt;30%),"Kontrollera förändringen","")))</f>
        <v>#DIV/0!</v>
      </c>
      <c r="Q62" s="1290" t="s">
        <v>1150</v>
      </c>
      <c r="R62" s="3039"/>
      <c r="S62" s="3003"/>
      <c r="T62" s="3003"/>
      <c r="U62" s="3003"/>
      <c r="V62" s="3003"/>
      <c r="W62" s="2974"/>
      <c r="X62" s="1310">
        <f t="shared" si="7"/>
        <v>0</v>
      </c>
    </row>
    <row r="63" spans="1:24" ht="12.75">
      <c r="A63" s="1253" t="s">
        <v>460</v>
      </c>
      <c r="B63" s="1269" t="s">
        <v>1004</v>
      </c>
      <c r="C63" s="300"/>
      <c r="D63" s="1245"/>
      <c r="E63" s="272"/>
      <c r="F63" s="1237"/>
      <c r="G63" s="299"/>
      <c r="H63" s="167" t="s">
        <v>701</v>
      </c>
      <c r="I63" s="1729"/>
      <c r="J63" s="1730"/>
      <c r="K63" s="1733"/>
      <c r="L63" s="1734"/>
      <c r="M63" s="1310" t="e">
        <f t="shared" ref="M63:M64" si="8">(C63-E63)*1000/$J$58</f>
        <v>#DIV/0!</v>
      </c>
      <c r="N63" s="1316"/>
      <c r="O63" s="1300" t="e">
        <f t="shared" si="4"/>
        <v>#DIV/0!</v>
      </c>
      <c r="P63" s="1115" t="e">
        <f>IF(M63="","",IF(AND(O63&gt;-50%,O63&lt;60%),"","Kommentera förändringen"))</f>
        <v>#DIV/0!</v>
      </c>
      <c r="Q63" s="1290" t="s">
        <v>1151</v>
      </c>
      <c r="R63" s="3039"/>
      <c r="S63" s="3003"/>
      <c r="T63" s="3003"/>
      <c r="U63" s="3003"/>
      <c r="V63" s="3003"/>
      <c r="W63" s="2974"/>
      <c r="X63" s="1310">
        <f t="shared" si="7"/>
        <v>0</v>
      </c>
    </row>
    <row r="64" spans="1:24" ht="12.75">
      <c r="A64" s="1253" t="s">
        <v>461</v>
      </c>
      <c r="B64" s="1270" t="s">
        <v>637</v>
      </c>
      <c r="C64" s="300"/>
      <c r="D64" s="1245" t="str">
        <f>IF(C58=0,"",IF(C64&lt;Drift!I56+Drift!J56+Drift!L56,"Kommentera",""))</f>
        <v/>
      </c>
      <c r="E64" s="272"/>
      <c r="F64" s="1237"/>
      <c r="G64" s="299"/>
      <c r="H64" s="167" t="s">
        <v>702</v>
      </c>
      <c r="I64" s="1729"/>
      <c r="J64" s="1730"/>
      <c r="K64" s="1733"/>
      <c r="L64" s="1734"/>
      <c r="M64" s="1310" t="e">
        <f t="shared" si="8"/>
        <v>#DIV/0!</v>
      </c>
      <c r="N64" s="1316"/>
      <c r="O64" s="1300" t="e">
        <f t="shared" si="4"/>
        <v>#DIV/0!</v>
      </c>
      <c r="P64" s="1115" t="e">
        <f>IF(M64="","",IF(OR(O64&lt;-50%,O64&gt;70%),"Kommentera förändringen",IF(OR(O64&lt;-30%,O64&gt;40%),"Kontrollera förändringen","")))</f>
        <v>#DIV/0!</v>
      </c>
      <c r="Q64" s="1290" t="s">
        <v>1152</v>
      </c>
      <c r="R64" s="3039"/>
      <c r="S64" s="3003"/>
      <c r="T64" s="3003"/>
      <c r="U64" s="3003"/>
      <c r="V64" s="3003"/>
      <c r="W64" s="2974"/>
      <c r="X64" s="1310">
        <f t="shared" si="7"/>
        <v>0</v>
      </c>
    </row>
    <row r="65" spans="1:24" ht="12.75">
      <c r="A65" s="1253" t="s">
        <v>462</v>
      </c>
      <c r="B65" s="1278" t="s">
        <v>508</v>
      </c>
      <c r="C65" s="300"/>
      <c r="D65" s="1245"/>
      <c r="E65" s="272"/>
      <c r="F65" s="1237"/>
      <c r="G65" s="299"/>
      <c r="H65" s="167" t="s">
        <v>703</v>
      </c>
      <c r="I65" s="3009" t="str">
        <f>IF(SUM(E65-G65+100)&lt;Motpart!AA20,"I Motparten är statsbidragen "&amp;""&amp;(Motpart!AA20)&amp;" tkr. Alla bidrag från staten o statliga myndigheter, inklusive de från Migrationsverket, ska ingå under Övrigt som extern intäkt. De externa intäkterna på Övrigt-raden är dock bara "&amp;""&amp;(ROUND(E65-G65,0))&amp;" tkr. ","")</f>
        <v/>
      </c>
      <c r="J65" s="2475"/>
      <c r="K65" s="2475"/>
      <c r="L65" s="2480"/>
      <c r="M65" s="1310" t="e">
        <f>(C65+C66-G65)*1000/$J$58</f>
        <v>#DIV/0!</v>
      </c>
      <c r="N65" s="1316"/>
      <c r="O65" s="1300" t="e">
        <f t="shared" si="4"/>
        <v>#DIV/0!</v>
      </c>
      <c r="P65" s="1115" t="e">
        <f>IF(SUM(E65-G65+100)&lt;Motpart!AA20,"Statsbidrag se kommentar till vänster",IF(M65="","",IF(OR(O65&lt;-100%,O65&gt;100%),"Kommentera förändringen",IF(OR(O65&lt;-50%,O65&gt;60%),"Kontrollera förändringen",""))))</f>
        <v>#DIV/0!</v>
      </c>
      <c r="Q65" s="1290" t="s">
        <v>1153</v>
      </c>
      <c r="R65" s="3039"/>
      <c r="S65" s="3003"/>
      <c r="T65" s="3003"/>
      <c r="U65" s="3003"/>
      <c r="V65" s="3003"/>
      <c r="W65" s="2974"/>
      <c r="X65" s="1310">
        <f>C65+C66-G65</f>
        <v>0</v>
      </c>
    </row>
    <row r="66" spans="1:24" ht="12.75">
      <c r="A66" s="1253" t="s">
        <v>463</v>
      </c>
      <c r="B66" s="1279" t="s">
        <v>519</v>
      </c>
      <c r="C66" s="300"/>
      <c r="D66" s="2712" t="str">
        <f>IF(OR(C66 &gt; SUM(Drift!N56+Drift!O56+100), C66 &lt; SUM(Drift!N56+Drift!O56-100)),"Fördelad gemensam verksamhet skiljer sig mot Driftfliken.","")</f>
        <v/>
      </c>
      <c r="E66" s="1245"/>
      <c r="F66" s="1245"/>
      <c r="G66" s="1247"/>
      <c r="H66" s="167"/>
      <c r="I66" s="3010"/>
      <c r="J66" s="2475"/>
      <c r="K66" s="2475"/>
      <c r="L66" s="2480"/>
      <c r="M66" s="1310" t="e">
        <f>(M58*J58/1000+D58-F58-(Motpart!D20+Motpart!E20+Motpart!F20+Motpart!J20)*0.06)*1000/J58+M62</f>
        <v>#DIV/0!</v>
      </c>
      <c r="N66" s="1316"/>
      <c r="O66" s="1300" t="e">
        <f t="shared" si="4"/>
        <v>#DIV/0!</v>
      </c>
      <c r="P66" s="1115" t="e">
        <f>IF(M66="","",IF(AND(O66&gt;-20%,O66&lt;30%),"","Kommentera förändringen"))</f>
        <v>#DIV/0!</v>
      </c>
      <c r="Q66" s="1290" t="s">
        <v>1154</v>
      </c>
      <c r="R66" s="3039"/>
      <c r="S66" s="3003"/>
      <c r="T66" s="3003"/>
      <c r="U66" s="3003"/>
      <c r="V66" s="3003"/>
      <c r="W66" s="2974"/>
      <c r="X66" s="1310">
        <f>(X58+D58-F58-(Motpart!D20+Motpart!E20+Motpart!F20+Motpart!J20)*0.06)+X62</f>
        <v>0</v>
      </c>
    </row>
    <row r="67" spans="1:24" ht="12.75">
      <c r="A67" s="1253" t="s">
        <v>670</v>
      </c>
      <c r="B67" s="1271" t="s">
        <v>137</v>
      </c>
      <c r="C67" s="1550">
        <f>(C58-SUM(C59:C66)-D58)*-1</f>
        <v>0</v>
      </c>
      <c r="D67" s="1233"/>
      <c r="E67" s="1551">
        <f>(E58-SUM(E59:E65)-F58-SUM(Motpart!D20+Motpart!E20+Motpart!F20+Motpart!J20)*0.06)*-1</f>
        <v>0</v>
      </c>
      <c r="F67" s="1233"/>
      <c r="G67" s="1552">
        <f>(G58-SUM(G59:G65))*-1</f>
        <v>0</v>
      </c>
      <c r="H67" s="167"/>
      <c r="I67" s="3010"/>
      <c r="J67" s="2475"/>
      <c r="K67" s="2475"/>
      <c r="L67" s="2480"/>
      <c r="M67" s="1310" t="e">
        <f>(Motpart!G20+Motpart!K20)*1000/J58</f>
        <v>#DIV/0!</v>
      </c>
      <c r="N67" s="1316"/>
      <c r="O67" s="1300" t="e">
        <f t="shared" si="4"/>
        <v>#DIV/0!</v>
      </c>
      <c r="P67" s="1115" t="e">
        <f>IF(M67="","",IF(OR(AND(O67&gt;-50%,O67&lt;50%),X67&lt;598),"","Kommentera förändringen"))</f>
        <v>#DIV/0!</v>
      </c>
      <c r="Q67" s="1290" t="s">
        <v>1649</v>
      </c>
      <c r="R67" s="3039"/>
      <c r="S67" s="3003"/>
      <c r="T67" s="3003"/>
      <c r="U67" s="3003"/>
      <c r="V67" s="3003"/>
      <c r="W67" s="2974"/>
      <c r="X67" s="1310">
        <f>Motpart!G20+Motpart!K20</f>
        <v>0</v>
      </c>
    </row>
    <row r="68" spans="1:24" ht="12.75">
      <c r="A68" s="1272" t="s">
        <v>671</v>
      </c>
      <c r="B68" s="1271"/>
      <c r="C68" s="1245"/>
      <c r="D68" s="1234"/>
      <c r="E68" s="1245"/>
      <c r="F68" s="1245"/>
      <c r="G68" s="1247"/>
      <c r="H68" s="165"/>
      <c r="I68" s="3010"/>
      <c r="J68" s="2475"/>
      <c r="K68" s="2475"/>
      <c r="L68" s="2480"/>
      <c r="M68" s="1310" t="e">
        <f>F58*1000/J58</f>
        <v>#DIV/0!</v>
      </c>
      <c r="N68" s="1316"/>
      <c r="O68" s="1300" t="e">
        <f t="shared" si="4"/>
        <v>#DIV/0!</v>
      </c>
      <c r="P68" s="1115" t="e">
        <f>IF(M68="","",IF(OR(AND(O68&gt;-50%,O68&lt;50%),X68&lt;589),"","Kommentera förändringen"))</f>
        <v>#DIV/0!</v>
      </c>
      <c r="Q68" s="1290" t="s">
        <v>1648</v>
      </c>
      <c r="R68" s="3039"/>
      <c r="S68" s="3003"/>
      <c r="T68" s="3003"/>
      <c r="U68" s="3003"/>
      <c r="V68" s="3003"/>
      <c r="W68" s="2974"/>
      <c r="X68" s="1310">
        <f>F58</f>
        <v>0</v>
      </c>
    </row>
    <row r="69" spans="1:24" ht="12.75">
      <c r="A69" s="1272" t="s">
        <v>672</v>
      </c>
      <c r="B69" s="1276"/>
      <c r="C69" s="1245"/>
      <c r="D69" s="1234"/>
      <c r="E69" s="1245"/>
      <c r="F69" s="1245"/>
      <c r="G69" s="1247"/>
      <c r="H69" s="163"/>
      <c r="I69" s="3010"/>
      <c r="J69" s="2475"/>
      <c r="K69" s="2475"/>
      <c r="L69" s="2480"/>
      <c r="M69" s="1310" t="e">
        <f>Motpart!H20*1000/J58</f>
        <v>#DIV/0!</v>
      </c>
      <c r="N69" s="1316"/>
      <c r="O69" s="1300" t="e">
        <f t="shared" si="4"/>
        <v>#DIV/0!</v>
      </c>
      <c r="P69" s="1115" t="e">
        <f>IF(M69="","",IF(OR(AND(O69&gt;-50%,O69&lt;50%),X69&lt;860),"","Kommentera förändringen"))</f>
        <v>#DIV/0!</v>
      </c>
      <c r="Q69" s="1290" t="s">
        <v>1651</v>
      </c>
      <c r="R69" s="3039"/>
      <c r="S69" s="3003"/>
      <c r="T69" s="3003"/>
      <c r="U69" s="3003"/>
      <c r="V69" s="3003"/>
      <c r="W69" s="2974"/>
      <c r="X69" s="1310">
        <f>Motpart!H20</f>
        <v>0</v>
      </c>
    </row>
    <row r="70" spans="1:24" ht="12.75">
      <c r="A70" s="1272" t="s">
        <v>673</v>
      </c>
      <c r="B70" s="1271"/>
      <c r="C70" s="1234"/>
      <c r="D70" s="1234"/>
      <c r="E70" s="1234"/>
      <c r="F70" s="1234"/>
      <c r="G70" s="1244"/>
      <c r="H70" s="1556"/>
      <c r="I70" s="1557"/>
      <c r="J70" s="1844"/>
      <c r="K70" s="1317"/>
      <c r="L70" s="1317"/>
      <c r="M70" s="1310" t="e">
        <f>((Motpart!D20+Motpart!E20+Motpart!F20+Motpart!J20)-(Motpart!D20+Motpart!E20+Motpart!F20+Motpart!J20)*0.06)*1000/J58</f>
        <v>#DIV/0!</v>
      </c>
      <c r="N70" s="1316"/>
      <c r="O70" s="1300" t="e">
        <f t="shared" si="4"/>
        <v>#DIV/0!</v>
      </c>
      <c r="P70" s="1115" t="e">
        <f>IF(M70="","",IF(OR(AND(O70&gt;-50%,O70&lt;50%),X70&lt;559),"","Kommentera förändringen"))</f>
        <v>#DIV/0!</v>
      </c>
      <c r="Q70" s="1290" t="s">
        <v>1155</v>
      </c>
      <c r="R70" s="3040"/>
      <c r="S70" s="3004"/>
      <c r="T70" s="3004"/>
      <c r="U70" s="3004"/>
      <c r="V70" s="3004"/>
      <c r="W70" s="2976"/>
      <c r="X70" s="1310">
        <f>((Motpart!D20+Motpart!E20+Motpart!F20+Motpart!J20)-(Motpart!D20+Motpart!E20+Motpart!F20+Motpart!J20)*0.06)</f>
        <v>0</v>
      </c>
    </row>
    <row r="71" spans="1:24" ht="13.5" thickBot="1">
      <c r="A71" s="1280"/>
      <c r="B71" s="1281"/>
      <c r="C71" s="2261" t="str">
        <f>IF(ABS(C67)&lt;100,"",IF(C58=0,"C58",IF(ABS(C67/C58)&gt;0.01,"C67")))</f>
        <v/>
      </c>
      <c r="D71" s="2262"/>
      <c r="E71" s="2262" t="str">
        <f>IF(ABS(E67)&lt;100,"",IF(E58=0,"E58",IF(ABS(E67/E58)&gt;0.01,"E67")))</f>
        <v/>
      </c>
      <c r="F71" s="2264"/>
      <c r="G71" s="2263" t="str">
        <f>IF(ABS(G67)&lt;100,"",IF(G58=0,"G58",IF(ABS(G67/G58)&gt;0.01,"G67")))</f>
        <v/>
      </c>
      <c r="H71" s="166"/>
      <c r="I71" s="1304"/>
      <c r="J71" s="1845"/>
      <c r="K71" s="1294"/>
      <c r="L71" s="1294"/>
      <c r="M71" s="1311"/>
      <c r="N71" s="1296"/>
      <c r="O71" s="1306"/>
      <c r="P71" s="1313" t="str">
        <f>IF(C71="C58","Bruttokostnad i Driften=0",IF(C71="C67","Eliminera differens i kolumn C",IF(E71="E58","Bruttointäkt i Driften = 0",IF(E71="E67","Eliminera differens kolumn E",IF(G71="G58","Interna intäkter i Driften=0",IF(G71="G67","Eliminera differens kolumn G",""))))))</f>
        <v/>
      </c>
      <c r="Q71" s="1307" t="s">
        <v>562</v>
      </c>
      <c r="R71" s="289"/>
      <c r="S71" s="289"/>
      <c r="X71" s="1311"/>
    </row>
    <row r="72" spans="1:24" ht="12.75">
      <c r="A72" s="1258" t="s">
        <v>464</v>
      </c>
      <c r="B72" s="2808" t="s">
        <v>1819</v>
      </c>
      <c r="C72" s="90">
        <f>Drift!P57</f>
        <v>0</v>
      </c>
      <c r="D72" s="91">
        <f>SUM(Motpart!D21:L21)</f>
        <v>0</v>
      </c>
      <c r="E72" s="91">
        <f>Drift!W57</f>
        <v>0</v>
      </c>
      <c r="F72" s="91">
        <f>Motpart!Y21</f>
        <v>0</v>
      </c>
      <c r="G72" s="140">
        <f>Drift!V57</f>
        <v>0</v>
      </c>
      <c r="H72" s="163"/>
      <c r="I72" s="1751" t="s">
        <v>1139</v>
      </c>
      <c r="J72" s="1843"/>
      <c r="K72" s="1738"/>
      <c r="L72" s="1736"/>
      <c r="M72" s="1314" t="e">
        <f>SUM(M73:M75,M77:M79)</f>
        <v>#DIV/0!</v>
      </c>
      <c r="N72" s="1315"/>
      <c r="O72" s="1308" t="e">
        <f t="shared" si="4"/>
        <v>#DIV/0!</v>
      </c>
      <c r="P72" s="1115" t="e">
        <f>IF(M72="","",IF(OR(AND(O72&gt;-40%,O72&lt;50%),X72&lt;3130),"","Kommentera förändringen"))</f>
        <v>#DIV/0!</v>
      </c>
      <c r="Q72" s="1290" t="s">
        <v>1146</v>
      </c>
      <c r="R72" s="98" t="s">
        <v>1824</v>
      </c>
      <c r="S72" s="289"/>
      <c r="X72" s="1314">
        <f>SUM(X73:X75,X77:X79)</f>
        <v>0</v>
      </c>
    </row>
    <row r="73" spans="1:24" ht="12.75">
      <c r="A73" s="1253" t="s">
        <v>465</v>
      </c>
      <c r="B73" s="1268" t="s">
        <v>559</v>
      </c>
      <c r="C73" s="300"/>
      <c r="D73" s="1245"/>
      <c r="E73" s="272"/>
      <c r="F73" s="1237"/>
      <c r="G73" s="299"/>
      <c r="H73" s="181" t="s">
        <v>704</v>
      </c>
      <c r="I73" s="974"/>
      <c r="J73" s="1730"/>
      <c r="K73" s="1733"/>
      <c r="L73" s="1733"/>
      <c r="M73" s="1310" t="e">
        <f t="shared" ref="M73:M78" si="9">(C73-E73)*1000/$J$72</f>
        <v>#DIV/0!</v>
      </c>
      <c r="N73" s="1309"/>
      <c r="O73" s="1300" t="e">
        <f t="shared" si="4"/>
        <v>#DIV/0!</v>
      </c>
      <c r="P73" s="1115" t="e">
        <f>IF(M73="","",IF(OR(AND(O73&gt;-40%,O73&lt;50%),X73&lt;1527),"","Kommentera förändringen"))</f>
        <v>#DIV/0!</v>
      </c>
      <c r="Q73" s="1290" t="s">
        <v>1147</v>
      </c>
      <c r="R73" s="3041"/>
      <c r="S73" s="3002"/>
      <c r="T73" s="3002"/>
      <c r="U73" s="3002"/>
      <c r="V73" s="3002"/>
      <c r="W73" s="2972"/>
      <c r="X73" s="1310">
        <f t="shared" ref="X73:X78" si="10">C73-E73</f>
        <v>0</v>
      </c>
    </row>
    <row r="74" spans="1:24" ht="12.75">
      <c r="A74" s="1253" t="s">
        <v>466</v>
      </c>
      <c r="B74" s="1268" t="s">
        <v>1098</v>
      </c>
      <c r="C74" s="300"/>
      <c r="D74" s="1245"/>
      <c r="E74" s="272"/>
      <c r="F74" s="1237"/>
      <c r="G74" s="299"/>
      <c r="H74" s="180" t="s">
        <v>705</v>
      </c>
      <c r="I74" s="974"/>
      <c r="J74" s="1730"/>
      <c r="K74" s="1317"/>
      <c r="L74" s="1317"/>
      <c r="M74" s="1310" t="e">
        <f t="shared" si="9"/>
        <v>#DIV/0!</v>
      </c>
      <c r="N74" s="1316"/>
      <c r="O74" s="1300" t="e">
        <f t="shared" si="4"/>
        <v>#DIV/0!</v>
      </c>
      <c r="P74" s="1115" t="e">
        <f>IF(M74="","",IF(OR(AND(O74&gt;-50%,O74&lt;80%),X74&lt;114),"","Kommentera förändringen"))</f>
        <v>#DIV/0!</v>
      </c>
      <c r="Q74" s="1290" t="s">
        <v>1148</v>
      </c>
      <c r="R74" s="3039"/>
      <c r="S74" s="3003"/>
      <c r="T74" s="3003"/>
      <c r="U74" s="3003"/>
      <c r="V74" s="3003"/>
      <c r="W74" s="2974"/>
      <c r="X74" s="1310">
        <f t="shared" si="10"/>
        <v>0</v>
      </c>
    </row>
    <row r="75" spans="1:24" ht="12.75">
      <c r="A75" s="1253" t="s">
        <v>467</v>
      </c>
      <c r="B75" s="1268" t="s">
        <v>590</v>
      </c>
      <c r="C75" s="300"/>
      <c r="D75" s="1245"/>
      <c r="E75" s="272"/>
      <c r="F75" s="1237"/>
      <c r="G75" s="299"/>
      <c r="H75" s="1750"/>
      <c r="I75" s="974"/>
      <c r="J75" s="1442"/>
      <c r="K75" s="1284"/>
      <c r="L75" s="1284"/>
      <c r="M75" s="1310" t="e">
        <f t="shared" si="9"/>
        <v>#DIV/0!</v>
      </c>
      <c r="N75" s="1316"/>
      <c r="O75" s="1300" t="e">
        <f t="shared" si="4"/>
        <v>#DIV/0!</v>
      </c>
      <c r="P75" s="1115" t="e">
        <f>IF(M75="","",IF(OR(AND(O75&gt;-50%,O75&lt;60%),X75&lt;56),"","Kommentera förändringen"))</f>
        <v>#DIV/0!</v>
      </c>
      <c r="Q75" s="1290" t="s">
        <v>1149</v>
      </c>
      <c r="R75" s="3039"/>
      <c r="S75" s="3003"/>
      <c r="T75" s="3003"/>
      <c r="U75" s="3003"/>
      <c r="V75" s="3003"/>
      <c r="W75" s="2974"/>
      <c r="X75" s="1310">
        <f t="shared" si="10"/>
        <v>0</v>
      </c>
    </row>
    <row r="76" spans="1:24" ht="12.75">
      <c r="A76" s="1253" t="s">
        <v>468</v>
      </c>
      <c r="B76" s="1268" t="s">
        <v>557</v>
      </c>
      <c r="C76" s="300"/>
      <c r="D76" s="1245" t="str">
        <f>IF(C72=0,"",IF(OR(C76=0,C76=""),"Kommentera",""))</f>
        <v/>
      </c>
      <c r="E76" s="272"/>
      <c r="F76" s="1237"/>
      <c r="G76" s="299"/>
      <c r="H76" s="1750" t="s">
        <v>706</v>
      </c>
      <c r="I76" s="974"/>
      <c r="J76" s="1730"/>
      <c r="K76" s="1733"/>
      <c r="L76" s="1733"/>
      <c r="M76" s="1310" t="e">
        <f>(C76-E76)*1000/$J$72</f>
        <v>#DIV/0!</v>
      </c>
      <c r="N76" s="1316"/>
      <c r="O76" s="1300" t="e">
        <f t="shared" si="4"/>
        <v>#DIV/0!</v>
      </c>
      <c r="P76" s="1115" t="e">
        <f>IF(M76="","",IF(AND(ABS(O76)&gt;50%,X76&gt;700),"Kommentera förändringen",IF(OR(ABS(O76)&gt;50%,X76&gt;276),"Kontrollera förändringen","")))</f>
        <v>#DIV/0!</v>
      </c>
      <c r="Q76" s="1290" t="s">
        <v>1150</v>
      </c>
      <c r="R76" s="3039"/>
      <c r="S76" s="3003"/>
      <c r="T76" s="3003"/>
      <c r="U76" s="3003"/>
      <c r="V76" s="3003"/>
      <c r="W76" s="2974"/>
      <c r="X76" s="1310">
        <f>C76-E76</f>
        <v>0</v>
      </c>
    </row>
    <row r="77" spans="1:24" ht="12.75">
      <c r="A77" s="1253" t="s">
        <v>469</v>
      </c>
      <c r="B77" s="1269" t="s">
        <v>1004</v>
      </c>
      <c r="C77" s="300"/>
      <c r="D77" s="1245"/>
      <c r="E77" s="272"/>
      <c r="F77" s="1237"/>
      <c r="G77" s="299"/>
      <c r="H77" s="1750" t="s">
        <v>707</v>
      </c>
      <c r="I77" s="974"/>
      <c r="J77" s="1730"/>
      <c r="K77" s="1733"/>
      <c r="L77" s="1733"/>
      <c r="M77" s="1310" t="e">
        <f t="shared" si="9"/>
        <v>#DIV/0!</v>
      </c>
      <c r="N77" s="1316"/>
      <c r="O77" s="1300" t="e">
        <f t="shared" si="4"/>
        <v>#DIV/0!</v>
      </c>
      <c r="P77" s="1115" t="e">
        <f>IF(M77="","",IF(OR(AND(O77&gt;-60%,O77&lt;100%),X77&lt;64),"","Kommentera förändringen"))</f>
        <v>#DIV/0!</v>
      </c>
      <c r="Q77" s="1290" t="s">
        <v>1151</v>
      </c>
      <c r="R77" s="3039"/>
      <c r="S77" s="3003"/>
      <c r="T77" s="3003"/>
      <c r="U77" s="3003"/>
      <c r="V77" s="3003"/>
      <c r="W77" s="2974"/>
      <c r="X77" s="1310">
        <f t="shared" si="10"/>
        <v>0</v>
      </c>
    </row>
    <row r="78" spans="1:24" ht="12.75">
      <c r="A78" s="1253" t="s">
        <v>470</v>
      </c>
      <c r="B78" s="1270" t="s">
        <v>637</v>
      </c>
      <c r="C78" s="300"/>
      <c r="D78" s="1245" t="str">
        <f>IF(C72=0,"",IF(C78&lt;Drift!I57+Drift!J57+Drift!L57,"Kommentera",""))</f>
        <v/>
      </c>
      <c r="E78" s="272"/>
      <c r="F78" s="1237"/>
      <c r="G78" s="299"/>
      <c r="H78" s="1750" t="s">
        <v>708</v>
      </c>
      <c r="I78" s="974"/>
      <c r="J78" s="1730"/>
      <c r="K78" s="1733"/>
      <c r="L78" s="1733"/>
      <c r="M78" s="1310" t="e">
        <f t="shared" si="9"/>
        <v>#DIV/0!</v>
      </c>
      <c r="N78" s="1292"/>
      <c r="O78" s="1300" t="e">
        <f t="shared" si="4"/>
        <v>#DIV/0!</v>
      </c>
      <c r="P78" s="1115" t="e">
        <f>IF(M78="","",IF(OR(AND(O78&gt;-60%,O78&lt;100%),X78&lt;491),"","Kommentera förändringen"))</f>
        <v>#DIV/0!</v>
      </c>
      <c r="Q78" s="1290" t="s">
        <v>1152</v>
      </c>
      <c r="R78" s="3039"/>
      <c r="S78" s="3003"/>
      <c r="T78" s="3003"/>
      <c r="U78" s="3003"/>
      <c r="V78" s="3003"/>
      <c r="W78" s="2974"/>
      <c r="X78" s="1310">
        <f t="shared" si="10"/>
        <v>0</v>
      </c>
    </row>
    <row r="79" spans="1:24" ht="12.75">
      <c r="A79" s="1253" t="s">
        <v>471</v>
      </c>
      <c r="B79" s="1268" t="s">
        <v>508</v>
      </c>
      <c r="C79" s="300"/>
      <c r="D79" s="1245"/>
      <c r="E79" s="272"/>
      <c r="F79" s="1237"/>
      <c r="G79" s="299"/>
      <c r="H79" s="181" t="s">
        <v>709</v>
      </c>
      <c r="I79" s="3011" t="str">
        <f>IF(SUM(E79-G79+100)&lt;Motpart!AA21,"I Motparten är statsbidragen "&amp;""&amp;(Motpart!AA21)&amp;" tkr. Alla bidrag från staten o statliga myndigheter, inklusive de från Migrationsverket, ska ingå under Övrigt som extern intäkt. De externa intäkterna på Övrigt-raden är dock bara "&amp;""&amp;(ROUND(E79-G79,0))&amp;" tkr. ","")</f>
        <v/>
      </c>
      <c r="J79" s="2466"/>
      <c r="K79" s="2466"/>
      <c r="L79" s="2474"/>
      <c r="M79" s="1291" t="e">
        <f>(C79+C80-G79)*1000/$J$72</f>
        <v>#DIV/0!</v>
      </c>
      <c r="N79" s="1309"/>
      <c r="O79" s="1300" t="e">
        <f t="shared" si="4"/>
        <v>#DIV/0!</v>
      </c>
      <c r="P79" s="1115" t="e">
        <f>IF(SUM(E79-G79+100)&lt;Motpart!AA21,"Statsbidrag se kommentar till vänster",IF(M79="","",IF(OR(AND(O79&gt;-60%,O79&lt;100%),X79&lt;886),"","Kommentera förändringen")))</f>
        <v>#DIV/0!</v>
      </c>
      <c r="Q79" s="1290" t="s">
        <v>1153</v>
      </c>
      <c r="R79" s="3039"/>
      <c r="S79" s="3003"/>
      <c r="T79" s="3003"/>
      <c r="U79" s="3003"/>
      <c r="V79" s="3003"/>
      <c r="W79" s="2974"/>
      <c r="X79" s="1310">
        <f>C79+C80-G79</f>
        <v>0</v>
      </c>
    </row>
    <row r="80" spans="1:24" ht="12.75">
      <c r="A80" s="1253" t="s">
        <v>472</v>
      </c>
      <c r="B80" s="1282" t="s">
        <v>519</v>
      </c>
      <c r="C80" s="300"/>
      <c r="D80" s="2712" t="str">
        <f>IF(OR(C80 &gt; SUM(Drift!N57+Drift!O57+100), C80 &lt; SUM(Drift!N57+Drift!O57-100)),"Fördelad gemensam verksamhet skiljer sig mot Driftfliken.","")</f>
        <v/>
      </c>
      <c r="E80" s="1245"/>
      <c r="F80" s="1245"/>
      <c r="G80" s="1247"/>
      <c r="H80" s="180"/>
      <c r="I80" s="3012"/>
      <c r="J80" s="2466"/>
      <c r="K80" s="2466"/>
      <c r="L80" s="2474"/>
      <c r="M80" s="1291" t="e">
        <f>((M72*J72/1000+D72-F72-(Motpart!D21+Motpart!E21+Motpart!F21+Motpart!J21)*0.06))/J72*1000+M76</f>
        <v>#DIV/0!</v>
      </c>
      <c r="N80" s="1316"/>
      <c r="O80" s="1300" t="e">
        <f t="shared" si="4"/>
        <v>#DIV/0!</v>
      </c>
      <c r="P80" s="1115" t="e">
        <f>IF(M80="","",IF(OR(AND(O80&gt;-40%,O80&lt;50%),X80&lt;3190),"","Kommntera förändringen"))</f>
        <v>#DIV/0!</v>
      </c>
      <c r="Q80" s="1290" t="s">
        <v>1154</v>
      </c>
      <c r="R80" s="3039"/>
      <c r="S80" s="3003"/>
      <c r="T80" s="3003"/>
      <c r="U80" s="3003"/>
      <c r="V80" s="3003"/>
      <c r="W80" s="2974"/>
      <c r="X80" s="1295">
        <f>((X72+D72-F72-(Motpart!D21+Motpart!E21+Motpart!F21+Motpart!J21)*0.06))+X76</f>
        <v>0</v>
      </c>
    </row>
    <row r="81" spans="1:24" ht="12.75">
      <c r="A81" s="1272" t="s">
        <v>674</v>
      </c>
      <c r="B81" s="1271" t="s">
        <v>137</v>
      </c>
      <c r="C81" s="1550">
        <f>(C72-SUM(C73:C80)-D72)*-1</f>
        <v>0</v>
      </c>
      <c r="D81" s="1233"/>
      <c r="E81" s="1551">
        <f>(E72-SUM(E73:E79)-F72-SUM(Motpart!D21+Motpart!E21+Motpart!F21+Motpart!J21)*0.06)*-1</f>
        <v>0</v>
      </c>
      <c r="F81" s="1233"/>
      <c r="G81" s="1552">
        <f>(G72-SUM(G73:G79))*-1</f>
        <v>0</v>
      </c>
      <c r="H81" s="165"/>
      <c r="I81" s="3012"/>
      <c r="J81" s="2466"/>
      <c r="K81" s="2466"/>
      <c r="L81" s="2474"/>
      <c r="M81" s="1310" t="e">
        <f>(Motpart!G21+Motpart!K21)*1000/J72</f>
        <v>#DIV/0!</v>
      </c>
      <c r="N81" s="1316"/>
      <c r="O81" s="1300" t="e">
        <f t="shared" ref="O81:O101" si="11">IF(OR(M81="",N81=""),"",IF(AND(M81=0,N81=0),0,IF(N81=0,1,M81/N81-1)))</f>
        <v>#DIV/0!</v>
      </c>
      <c r="P81" s="1115" t="e">
        <f>IF(M81="","",IF(OR(AND(O81&gt;-50%,O81&lt;100%),X81&lt;1484),"","Kommentera förändringen"))</f>
        <v>#DIV/0!</v>
      </c>
      <c r="Q81" s="1290" t="s">
        <v>1649</v>
      </c>
      <c r="R81" s="3039"/>
      <c r="S81" s="3003"/>
      <c r="T81" s="3003"/>
      <c r="U81" s="3003"/>
      <c r="V81" s="3003"/>
      <c r="W81" s="2974"/>
      <c r="X81" s="1310">
        <f>Motpart!G21+Motpart!K21</f>
        <v>0</v>
      </c>
    </row>
    <row r="82" spans="1:24" ht="12.75">
      <c r="A82" s="1272" t="s">
        <v>675</v>
      </c>
      <c r="B82" s="1271"/>
      <c r="C82" s="1245"/>
      <c r="D82" s="1234"/>
      <c r="E82" s="1245"/>
      <c r="F82" s="1245"/>
      <c r="G82" s="1247"/>
      <c r="H82" s="163"/>
      <c r="I82" s="3012"/>
      <c r="J82" s="2466"/>
      <c r="K82" s="2466"/>
      <c r="L82" s="2474"/>
      <c r="M82" s="1310" t="e">
        <f>F72*1000/J72</f>
        <v>#DIV/0!</v>
      </c>
      <c r="N82" s="1292"/>
      <c r="O82" s="1300" t="e">
        <f t="shared" si="11"/>
        <v>#DIV/0!</v>
      </c>
      <c r="P82" s="1115" t="e">
        <f>IF(M82="","",IF(OR(AND(O82&gt;-50%,O82&lt;100%),X82&lt;1737),"","Kommentera förändringen"))</f>
        <v>#DIV/0!</v>
      </c>
      <c r="Q82" s="1290" t="s">
        <v>1648</v>
      </c>
      <c r="R82" s="3039"/>
      <c r="S82" s="3003"/>
      <c r="T82" s="3003"/>
      <c r="U82" s="3003"/>
      <c r="V82" s="3003"/>
      <c r="W82" s="2974"/>
      <c r="X82" s="1310">
        <f>F72</f>
        <v>0</v>
      </c>
    </row>
    <row r="83" spans="1:24" ht="12.75">
      <c r="A83" s="1272" t="s">
        <v>676</v>
      </c>
      <c r="B83" s="1276"/>
      <c r="C83" s="1245"/>
      <c r="D83" s="1234"/>
      <c r="E83" s="1245"/>
      <c r="F83" s="1245"/>
      <c r="G83" s="1247"/>
      <c r="H83" s="167"/>
      <c r="I83" s="3012"/>
      <c r="J83" s="2466"/>
      <c r="K83" s="2466"/>
      <c r="L83" s="2474"/>
      <c r="M83" s="1291" t="e">
        <f>Motpart!H21*1000/J72</f>
        <v>#DIV/0!</v>
      </c>
      <c r="N83" s="1292"/>
      <c r="O83" s="1300" t="e">
        <f t="shared" si="11"/>
        <v>#DIV/0!</v>
      </c>
      <c r="P83" s="1115" t="e">
        <f>IF(M83="","",IF(OR(AND(O83&gt;-50%,O83&lt;100%),X83&lt;1484),"","Kommentera förändringen"))</f>
        <v>#DIV/0!</v>
      </c>
      <c r="Q83" s="1290" t="s">
        <v>1651</v>
      </c>
      <c r="R83" s="3039"/>
      <c r="S83" s="3003"/>
      <c r="T83" s="3003"/>
      <c r="U83" s="3003"/>
      <c r="V83" s="3003"/>
      <c r="W83" s="2974"/>
      <c r="X83" s="1291">
        <f>Motpart!H21</f>
        <v>0</v>
      </c>
    </row>
    <row r="84" spans="1:24" ht="12.75">
      <c r="A84" s="1253" t="s">
        <v>677</v>
      </c>
      <c r="B84" s="1271"/>
      <c r="C84" s="1234"/>
      <c r="D84" s="1234"/>
      <c r="E84" s="1234"/>
      <c r="F84" s="1234"/>
      <c r="G84" s="1244"/>
      <c r="H84" s="1556"/>
      <c r="I84" s="1557"/>
      <c r="J84" s="1844"/>
      <c r="K84" s="1317"/>
      <c r="L84" s="1317"/>
      <c r="M84" s="1291" t="e">
        <f>((Motpart!D21+Motpart!E21+Motpart!F21+Motpart!J21)-(Motpart!D21+Motpart!E21+Motpart!F21+Motpart!J21)*0.06)*1000/J72</f>
        <v>#DIV/0!</v>
      </c>
      <c r="N84" s="1316"/>
      <c r="O84" s="1300" t="e">
        <f t="shared" si="11"/>
        <v>#DIV/0!</v>
      </c>
      <c r="P84" s="1555" t="e">
        <f>IF(M84="","",IF(OR(AND(O84&gt;-50%,O84&lt;100%),X84&lt;1359),"","Kommentera förändringen"))</f>
        <v>#DIV/0!</v>
      </c>
      <c r="Q84" s="1290" t="s">
        <v>1156</v>
      </c>
      <c r="R84" s="3040"/>
      <c r="S84" s="3004"/>
      <c r="T84" s="3004"/>
      <c r="U84" s="3004"/>
      <c r="V84" s="3004"/>
      <c r="W84" s="2976"/>
      <c r="X84" s="1291">
        <f>((Motpart!D21+Motpart!E21+Motpart!F21+Motpart!J21)-(Motpart!D21+Motpart!E21+Motpart!F21+Motpart!J21)*0.06)</f>
        <v>0</v>
      </c>
    </row>
    <row r="85" spans="1:24" ht="13.5" thickBot="1">
      <c r="A85" s="1274"/>
      <c r="B85" s="1281"/>
      <c r="C85" s="2261" t="str">
        <f>IF(ABS(C81)&lt;100,"",IF(C72=0,"C72",IF(ABS(C81/C72)&gt;0.01,"C81")))</f>
        <v/>
      </c>
      <c r="D85" s="2262"/>
      <c r="E85" s="2262" t="str">
        <f>IF(ABS(E81)&lt;100,"",IF(E72=0,"E72",IF(ABS(E81/E72)&gt;0.01,"E81")))</f>
        <v/>
      </c>
      <c r="F85" s="2262"/>
      <c r="G85" s="2263" t="str">
        <f>IF(ABS(G81)&lt;100,"",IF(G72=0,"G72",IF(ABS(G81/G72)&gt;0.01,"G81")))</f>
        <v/>
      </c>
      <c r="H85" s="166"/>
      <c r="I85" s="1304"/>
      <c r="J85" s="1845"/>
      <c r="K85" s="1294"/>
      <c r="L85" s="1317"/>
      <c r="M85" s="1295"/>
      <c r="N85" s="1296"/>
      <c r="O85" s="1306" t="str">
        <f t="shared" si="11"/>
        <v/>
      </c>
      <c r="P85" s="1313" t="str">
        <f>IF(C85="C72","Bruttokostnad i Driften=0",IF(C85="C81","Eliminera differens kolumn C",IF(E85="E72","Bruttointäkt i Driften = 0",IF(E85="E81","Eliminera differens kolumn E",IF(G85="G72","Interna intäkter i Driften=0",IF(G85="G81","Eliminera differens kolumn G",""))))))</f>
        <v/>
      </c>
      <c r="Q85" s="1307" t="s">
        <v>1825</v>
      </c>
      <c r="R85" s="289"/>
      <c r="S85" s="289"/>
      <c r="X85" s="1295"/>
    </row>
    <row r="86" spans="1:24" ht="12.75" customHeight="1">
      <c r="A86" s="1258" t="s">
        <v>473</v>
      </c>
      <c r="B86" s="1267" t="s">
        <v>646</v>
      </c>
      <c r="C86" s="179">
        <f>Drift!P60</f>
        <v>0</v>
      </c>
      <c r="D86" s="91">
        <f>SUM(Motpart!D22:L22)</f>
        <v>0</v>
      </c>
      <c r="E86" s="178">
        <f>Drift!W60</f>
        <v>0</v>
      </c>
      <c r="F86" s="91">
        <f>Motpart!Y22</f>
        <v>0</v>
      </c>
      <c r="G86" s="141">
        <f>Drift!V60</f>
        <v>0</v>
      </c>
      <c r="H86" s="168"/>
      <c r="I86" s="1320" t="s">
        <v>638</v>
      </c>
      <c r="J86" s="1843"/>
      <c r="K86" s="1321"/>
      <c r="L86" s="1321"/>
      <c r="M86" s="1314" t="e">
        <f>SUM(M87:M91)</f>
        <v>#DIV/0!</v>
      </c>
      <c r="N86" s="1315"/>
      <c r="O86" s="1308" t="e">
        <f t="shared" si="11"/>
        <v>#DIV/0!</v>
      </c>
      <c r="P86" s="1115" t="e">
        <f>IF(M86="","",IF(OR(AND(O86&gt;-300%,O86&lt;500%)),"","Kommentera förändringen"))</f>
        <v>#DIV/0!</v>
      </c>
      <c r="Q86" s="1290" t="s">
        <v>1157</v>
      </c>
      <c r="R86" s="98" t="s">
        <v>100</v>
      </c>
      <c r="X86" s="1314">
        <f>SUM(X87:X91)</f>
        <v>0</v>
      </c>
    </row>
    <row r="87" spans="1:24" ht="12.75" customHeight="1">
      <c r="A87" s="1253" t="s">
        <v>474</v>
      </c>
      <c r="B87" s="1268" t="s">
        <v>559</v>
      </c>
      <c r="C87" s="300"/>
      <c r="D87" s="1245"/>
      <c r="E87" s="272"/>
      <c r="F87" s="1237"/>
      <c r="G87" s="299"/>
      <c r="H87" s="167"/>
      <c r="I87" s="1322"/>
      <c r="J87" s="1846"/>
      <c r="K87" s="1317"/>
      <c r="L87" s="1317"/>
      <c r="M87" s="1310" t="e">
        <f>(C87-E87)*1000/$J$86</f>
        <v>#DIV/0!</v>
      </c>
      <c r="N87" s="1292"/>
      <c r="O87" s="1300" t="e">
        <f t="shared" si="11"/>
        <v>#DIV/0!</v>
      </c>
      <c r="P87" s="1115" t="e">
        <f>IF(M87="","",IF(OR(AND(O87&gt;-300%,O87&lt;500%)),"","Kommentera förändringen"))</f>
        <v>#DIV/0!</v>
      </c>
      <c r="Q87" s="1290" t="s">
        <v>1158</v>
      </c>
      <c r="R87" s="3038"/>
      <c r="S87" s="3002"/>
      <c r="T87" s="3002"/>
      <c r="U87" s="3002"/>
      <c r="V87" s="3002"/>
      <c r="W87" s="2972"/>
      <c r="X87" s="1310">
        <f>C87-E87</f>
        <v>0</v>
      </c>
    </row>
    <row r="88" spans="1:24" ht="12.75" customHeight="1">
      <c r="A88" s="1253" t="s">
        <v>475</v>
      </c>
      <c r="B88" s="1268" t="s">
        <v>1098</v>
      </c>
      <c r="C88" s="300"/>
      <c r="D88" s="1245"/>
      <c r="E88" s="272"/>
      <c r="F88" s="1237"/>
      <c r="G88" s="299"/>
      <c r="H88" s="167"/>
      <c r="I88" s="1322"/>
      <c r="J88" s="1846"/>
      <c r="K88" s="1317"/>
      <c r="L88" s="1317"/>
      <c r="M88" s="1310" t="e">
        <f>(C88-E88)*1000/$J$86</f>
        <v>#DIV/0!</v>
      </c>
      <c r="N88" s="1309"/>
      <c r="O88" s="1300" t="e">
        <f t="shared" si="11"/>
        <v>#DIV/0!</v>
      </c>
      <c r="P88" s="1115" t="e">
        <f>IF(M88="","",IF(OR(AND(O88&gt;-100%,O88&lt;500%)),"","Kommentera förändringen"))</f>
        <v>#DIV/0!</v>
      </c>
      <c r="Q88" s="1290" t="s">
        <v>1159</v>
      </c>
      <c r="R88" s="3039"/>
      <c r="S88" s="3003"/>
      <c r="T88" s="3003"/>
      <c r="U88" s="3003"/>
      <c r="V88" s="3003"/>
      <c r="W88" s="2974"/>
      <c r="X88" s="1310">
        <f>C88-E88</f>
        <v>0</v>
      </c>
    </row>
    <row r="89" spans="1:24" ht="15.75" customHeight="1">
      <c r="A89" s="1253" t="s">
        <v>476</v>
      </c>
      <c r="B89" s="1278" t="s">
        <v>1004</v>
      </c>
      <c r="C89" s="300"/>
      <c r="D89" s="1245"/>
      <c r="E89" s="272"/>
      <c r="F89" s="1237"/>
      <c r="G89" s="299"/>
      <c r="H89" s="167"/>
      <c r="I89" s="1323"/>
      <c r="J89" s="1847"/>
      <c r="K89" s="1324"/>
      <c r="L89" s="1324"/>
      <c r="M89" s="1310" t="e">
        <f>(C89-E89)*1000/$J$86</f>
        <v>#DIV/0!</v>
      </c>
      <c r="N89" s="1316"/>
      <c r="O89" s="1300" t="e">
        <f t="shared" si="11"/>
        <v>#DIV/0!</v>
      </c>
      <c r="P89" s="1115" t="e">
        <f>IF(M89="","",IF(OR(AND(O89&gt;-100%,O89&lt;200%)),"","Kommentera förändringen"))</f>
        <v>#DIV/0!</v>
      </c>
      <c r="Q89" s="1290" t="s">
        <v>1160</v>
      </c>
      <c r="R89" s="3039"/>
      <c r="S89" s="3003"/>
      <c r="T89" s="3003"/>
      <c r="U89" s="3003"/>
      <c r="V89" s="3003"/>
      <c r="W89" s="2974"/>
      <c r="X89" s="1310">
        <f>C89-E89</f>
        <v>0</v>
      </c>
    </row>
    <row r="90" spans="1:24" ht="12.75" customHeight="1">
      <c r="A90" s="1253" t="s">
        <v>477</v>
      </c>
      <c r="B90" s="1270" t="s">
        <v>637</v>
      </c>
      <c r="C90" s="300"/>
      <c r="D90" s="1245" t="str">
        <f>IF(C86=0,"",IF(C90&lt;Drift!I60+Drift!J60+Drift!L60,"Kommentera",""))</f>
        <v/>
      </c>
      <c r="E90" s="272"/>
      <c r="F90" s="1237"/>
      <c r="G90" s="299"/>
      <c r="H90" s="167"/>
      <c r="I90" s="3013" t="str">
        <f>IF(SUM(E91-G91+100)&lt;Motpart!AA22,"I Motparten är statsbidragen "&amp;""&amp;(Motpart!AA22)&amp;" tkr. Alla bidrag från staten o statliga myndigheter, inklusive de från Migrationsverket, ska ingå under Övrigt som extern intäkt. De externa intäkterna på Övrigt-raden är dock bara "&amp;""&amp;(ROUND(E91-G91,0))&amp;" tkr. ","")</f>
        <v/>
      </c>
      <c r="J90" s="2453"/>
      <c r="K90" s="2453"/>
      <c r="L90" s="2454"/>
      <c r="M90" s="1310" t="e">
        <f>(C90-E90)*1000/$J$86</f>
        <v>#DIV/0!</v>
      </c>
      <c r="N90" s="1292"/>
      <c r="O90" s="1300" t="e">
        <f t="shared" si="11"/>
        <v>#DIV/0!</v>
      </c>
      <c r="P90" s="1115" t="e">
        <f>IF(M90="","",IF(OR(AND(O90&gt;-100%,O90&lt;500%)),"","Kommentera förändringen"))</f>
        <v>#DIV/0!</v>
      </c>
      <c r="Q90" s="1290" t="s">
        <v>1161</v>
      </c>
      <c r="R90" s="3039"/>
      <c r="S90" s="3003"/>
      <c r="T90" s="3003"/>
      <c r="U90" s="3003"/>
      <c r="V90" s="3003"/>
      <c r="W90" s="2974"/>
      <c r="X90" s="1310">
        <f>C90-E90</f>
        <v>0</v>
      </c>
    </row>
    <row r="91" spans="1:24" ht="12.75" customHeight="1">
      <c r="A91" s="1253" t="s">
        <v>478</v>
      </c>
      <c r="B91" s="1268" t="s">
        <v>508</v>
      </c>
      <c r="C91" s="300"/>
      <c r="D91" s="1245"/>
      <c r="E91" s="272"/>
      <c r="F91" s="1237"/>
      <c r="G91" s="299"/>
      <c r="H91" s="167"/>
      <c r="I91" s="3012"/>
      <c r="J91" s="2453"/>
      <c r="K91" s="2453"/>
      <c r="L91" s="2454"/>
      <c r="M91" s="1310" t="e">
        <f>(C91+C92-G91)*1000/J86</f>
        <v>#DIV/0!</v>
      </c>
      <c r="N91" s="1292"/>
      <c r="O91" s="1300" t="e">
        <f t="shared" si="11"/>
        <v>#DIV/0!</v>
      </c>
      <c r="P91" s="1115" t="e">
        <f>IF(SUM(E91-G91+100)&lt;Motpart!AA22,"Statsbidrag se kommentar till vänster",IF(M91="","",IF(OR(AND(O91&gt;-200%,O91&lt;500%)),"","Kommentera förändringen")))</f>
        <v>#DIV/0!</v>
      </c>
      <c r="Q91" s="1290" t="s">
        <v>1162</v>
      </c>
      <c r="R91" s="3039"/>
      <c r="S91" s="3003"/>
      <c r="T91" s="3003"/>
      <c r="U91" s="3003"/>
      <c r="V91" s="3003"/>
      <c r="W91" s="2974"/>
      <c r="X91" s="1310">
        <f>C91+C92-G91</f>
        <v>0</v>
      </c>
    </row>
    <row r="92" spans="1:24" ht="12.75" customHeight="1">
      <c r="A92" s="1253" t="s">
        <v>479</v>
      </c>
      <c r="B92" s="1282" t="s">
        <v>558</v>
      </c>
      <c r="C92" s="300"/>
      <c r="D92" s="2712" t="str">
        <f>IF(OR(C92 &gt; SUM(Drift!N60+Drift!O60+100), C92 &lt; SUM(Drift!N60+Drift!O60-100)),"Fördelad gemensam verksamhet skiljer sig mot Driftfliken.","")</f>
        <v/>
      </c>
      <c r="E92" s="1245"/>
      <c r="F92" s="1245"/>
      <c r="G92" s="1247"/>
      <c r="H92" s="167"/>
      <c r="I92" s="3012"/>
      <c r="J92" s="2453"/>
      <c r="K92" s="2453"/>
      <c r="L92" s="2454"/>
      <c r="M92" s="1325"/>
      <c r="N92" s="1309"/>
      <c r="O92" s="1300" t="str">
        <f t="shared" si="11"/>
        <v/>
      </c>
      <c r="P92" s="1115"/>
      <c r="Q92" s="1326"/>
      <c r="R92" s="3039"/>
      <c r="S92" s="3003"/>
      <c r="T92" s="3003"/>
      <c r="U92" s="3003"/>
      <c r="V92" s="3003"/>
      <c r="W92" s="2974"/>
      <c r="X92" s="1325"/>
    </row>
    <row r="93" spans="1:24" ht="12.75" customHeight="1">
      <c r="A93" s="1253"/>
      <c r="B93" s="1282" t="s">
        <v>137</v>
      </c>
      <c r="C93" s="1550">
        <f>(C86-SUM(C87:C92)-D86)*-1</f>
        <v>0</v>
      </c>
      <c r="D93" s="1249"/>
      <c r="E93" s="1551">
        <f>(E86-SUM(E87:E91)-F86-SUM(Motpart!D22+Motpart!E22+Motpart!F22+Motpart!J22)*0.06)*-1</f>
        <v>0</v>
      </c>
      <c r="F93" s="1249"/>
      <c r="G93" s="1552">
        <f>(G86-SUM(G87:G91))*-1</f>
        <v>0</v>
      </c>
      <c r="H93" s="165"/>
      <c r="I93" s="3012"/>
      <c r="J93" s="2453"/>
      <c r="K93" s="2453"/>
      <c r="L93" s="2454"/>
      <c r="M93" s="1325"/>
      <c r="N93" s="1316"/>
      <c r="O93" s="1300" t="str">
        <f t="shared" si="11"/>
        <v/>
      </c>
      <c r="P93" s="1115" t="str">
        <f>IF(C94="C86","Bruttokostnad i Driften=0",IF(C94="C93","Eliminera differens kolumn C",IF(E94="E86","Bruttointäkt i Driften = 0",IF(E94="E93","Eliminera differens kolumn E",IF(G94="G86","Interna intäkter i Driften=0",IF(G94="G93","Eliminera differens kolumn G",""))))))</f>
        <v/>
      </c>
      <c r="Q93" s="1290" t="s">
        <v>563</v>
      </c>
      <c r="R93" s="3040"/>
      <c r="S93" s="3004"/>
      <c r="T93" s="3004"/>
      <c r="U93" s="3004"/>
      <c r="V93" s="3004"/>
      <c r="W93" s="2976"/>
      <c r="X93" s="1325"/>
    </row>
    <row r="94" spans="1:24" ht="16.5" customHeight="1" thickBot="1">
      <c r="A94" s="1274"/>
      <c r="B94" s="1275"/>
      <c r="C94" s="2261" t="str">
        <f>IF(ABS(C93)&lt;100,"",IF(C86=0,"C86",IF(ABS(C93/C86)&gt;0.01,"C93")))</f>
        <v/>
      </c>
      <c r="D94" s="2262"/>
      <c r="E94" s="2262" t="str">
        <f>IF(ABS(E93)&lt;100,"",IF(E86=0,"E86",IF(ABS(E93/E86)&gt;0.01,"E93")))</f>
        <v/>
      </c>
      <c r="F94" s="2262"/>
      <c r="G94" s="2263" t="str">
        <f>IF(ABS(G93)&lt;100,"",IF(G86=0,"G86",IF(ABS(G93/G86)&gt;0.01,"G93")))</f>
        <v/>
      </c>
      <c r="H94" s="182"/>
      <c r="I94" s="3014"/>
      <c r="J94" s="2476"/>
      <c r="K94" s="2476"/>
      <c r="L94" s="2477"/>
      <c r="M94" s="1327"/>
      <c r="N94" s="1296"/>
      <c r="O94" s="1306" t="str">
        <f t="shared" si="11"/>
        <v/>
      </c>
      <c r="P94" s="1313"/>
      <c r="Q94" s="1307"/>
      <c r="X94" s="1327"/>
    </row>
    <row r="95" spans="1:24" ht="12.75" customHeight="1">
      <c r="A95" s="1258" t="s">
        <v>480</v>
      </c>
      <c r="B95" s="1267" t="s">
        <v>647</v>
      </c>
      <c r="C95" s="90">
        <f>Drift!P61</f>
        <v>0</v>
      </c>
      <c r="D95" s="1250">
        <f>SUM(Motpart!D23:L23)</f>
        <v>0</v>
      </c>
      <c r="E95" s="178">
        <f>Drift!W61</f>
        <v>0</v>
      </c>
      <c r="F95" s="91">
        <f>Motpart!Y23</f>
        <v>0</v>
      </c>
      <c r="G95" s="141">
        <f>Drift!V61</f>
        <v>0</v>
      </c>
      <c r="H95" s="168"/>
      <c r="I95" s="1320" t="s">
        <v>638</v>
      </c>
      <c r="J95" s="1843"/>
      <c r="K95" s="1321"/>
      <c r="L95" s="1321"/>
      <c r="M95" s="1314" t="e">
        <f>SUM(M96:M100)</f>
        <v>#DIV/0!</v>
      </c>
      <c r="N95" s="1309"/>
      <c r="O95" s="1308" t="e">
        <f t="shared" si="11"/>
        <v>#DIV/0!</v>
      </c>
      <c r="P95" s="1115" t="e">
        <f>IF(M95="","",IF(OR(AND(O95&gt;-500%,O95&lt;500%)),"","Kommentera förändringen"))</f>
        <v>#DIV/0!</v>
      </c>
      <c r="Q95" s="1290" t="s">
        <v>1157</v>
      </c>
      <c r="R95" s="98" t="s">
        <v>101</v>
      </c>
      <c r="X95" s="1314">
        <f>SUM(X96:X100)</f>
        <v>0</v>
      </c>
    </row>
    <row r="96" spans="1:24" ht="12.75" customHeight="1">
      <c r="A96" s="1253" t="s">
        <v>481</v>
      </c>
      <c r="B96" s="1268" t="s">
        <v>559</v>
      </c>
      <c r="C96" s="300"/>
      <c r="D96" s="1245"/>
      <c r="E96" s="272"/>
      <c r="F96" s="1237"/>
      <c r="G96" s="299"/>
      <c r="H96" s="167"/>
      <c r="I96" s="1322"/>
      <c r="J96" s="1846"/>
      <c r="K96" s="1317"/>
      <c r="L96" s="1317"/>
      <c r="M96" s="1310" t="e">
        <f>(C96-E96)*1000/$J$95</f>
        <v>#DIV/0!</v>
      </c>
      <c r="N96" s="1316"/>
      <c r="O96" s="1300" t="e">
        <f t="shared" si="11"/>
        <v>#DIV/0!</v>
      </c>
      <c r="P96" s="1115" t="e">
        <f>IF(M96="","",IF(OR(AND(O96&gt;-300%,O96&lt;500%)),"","Kommentera förändringen"))</f>
        <v>#DIV/0!</v>
      </c>
      <c r="Q96" s="1290" t="s">
        <v>1158</v>
      </c>
      <c r="R96" s="3038"/>
      <c r="S96" s="3002"/>
      <c r="T96" s="3002"/>
      <c r="U96" s="3002"/>
      <c r="V96" s="3002"/>
      <c r="W96" s="2972"/>
      <c r="X96" s="1310">
        <f>C96-E96</f>
        <v>0</v>
      </c>
    </row>
    <row r="97" spans="1:24" ht="12.75" customHeight="1">
      <c r="A97" s="1253" t="s">
        <v>482</v>
      </c>
      <c r="B97" s="1268" t="s">
        <v>1098</v>
      </c>
      <c r="C97" s="300"/>
      <c r="D97" s="1245"/>
      <c r="E97" s="272"/>
      <c r="F97" s="1237"/>
      <c r="G97" s="299"/>
      <c r="H97" s="165"/>
      <c r="I97" s="1322"/>
      <c r="J97" s="1846"/>
      <c r="K97" s="1317"/>
      <c r="L97" s="1317"/>
      <c r="M97" s="1310" t="e">
        <f>(C97-E97)*1000/$J$95</f>
        <v>#DIV/0!</v>
      </c>
      <c r="N97" s="1292"/>
      <c r="O97" s="1300" t="e">
        <f t="shared" si="11"/>
        <v>#DIV/0!</v>
      </c>
      <c r="P97" s="1115" t="e">
        <f>IF(M97="","",IF(OR(AND(O97&gt;-100%,O97&lt;500%)),"","Kommentera förändringen"))</f>
        <v>#DIV/0!</v>
      </c>
      <c r="Q97" s="1290" t="s">
        <v>1159</v>
      </c>
      <c r="R97" s="3039"/>
      <c r="S97" s="3003"/>
      <c r="T97" s="3003"/>
      <c r="U97" s="3003"/>
      <c r="V97" s="3003"/>
      <c r="W97" s="2974"/>
      <c r="X97" s="1310">
        <f>C97-E97</f>
        <v>0</v>
      </c>
    </row>
    <row r="98" spans="1:24" ht="14.25" customHeight="1">
      <c r="A98" s="1253" t="s">
        <v>483</v>
      </c>
      <c r="B98" s="1269" t="s">
        <v>1004</v>
      </c>
      <c r="C98" s="300"/>
      <c r="D98" s="1245"/>
      <c r="E98" s="272"/>
      <c r="F98" s="1237"/>
      <c r="G98" s="299"/>
      <c r="H98" s="163"/>
      <c r="I98" s="1323"/>
      <c r="J98" s="1847"/>
      <c r="K98" s="1324"/>
      <c r="L98" s="1324"/>
      <c r="M98" s="1310" t="e">
        <f>(C98-E98)*1000/$J$95</f>
        <v>#DIV/0!</v>
      </c>
      <c r="N98" s="1309"/>
      <c r="O98" s="1300" t="e">
        <f t="shared" si="11"/>
        <v>#DIV/0!</v>
      </c>
      <c r="P98" s="1115" t="e">
        <f>IF(M98="","",IF(OR(AND(O98&gt;-100%,O98&lt;200%)),"","Kommentera förändringen"))</f>
        <v>#DIV/0!</v>
      </c>
      <c r="Q98" s="1290" t="s">
        <v>1160</v>
      </c>
      <c r="R98" s="3039"/>
      <c r="S98" s="3003"/>
      <c r="T98" s="3003"/>
      <c r="U98" s="3003"/>
      <c r="V98" s="3003"/>
      <c r="W98" s="2974"/>
      <c r="X98" s="1310">
        <f>C98-E98</f>
        <v>0</v>
      </c>
    </row>
    <row r="99" spans="1:24" ht="15" customHeight="1">
      <c r="A99" s="1253" t="s">
        <v>484</v>
      </c>
      <c r="B99" s="1270" t="s">
        <v>637</v>
      </c>
      <c r="C99" s="300"/>
      <c r="D99" s="2768" t="str">
        <f>IF(C95=0,"",IF(C99&lt;Drift!I61+Drift!J61+Drift!L61,"Kommentera",""))</f>
        <v/>
      </c>
      <c r="E99" s="272"/>
      <c r="F99" s="1237"/>
      <c r="G99" s="299"/>
      <c r="H99" s="167"/>
      <c r="I99" s="3015" t="str">
        <f>IF(SUM(E100-G100+100)&lt;Motpart!AA23,"I Motparten är statsbidragen "&amp;""&amp;(Motpart!AA23)&amp;" tkr. Alla bidrag från staten o statliga myndigheter, inklusive de från Migrationsverket, ska ingå under Övrigt som extern intäkt. De externa intäkterna på Övrigt-raden är dock bara "&amp;""&amp;(ROUND(E100-G100,0))&amp;" tkr. ","")</f>
        <v/>
      </c>
      <c r="J99" s="2478"/>
      <c r="K99" s="2478"/>
      <c r="L99" s="2479"/>
      <c r="M99" s="1310" t="e">
        <f>(C99-E99)*1000/$J$95</f>
        <v>#DIV/0!</v>
      </c>
      <c r="N99" s="1316"/>
      <c r="O99" s="1300" t="e">
        <f t="shared" si="11"/>
        <v>#DIV/0!</v>
      </c>
      <c r="P99" s="1115" t="e">
        <f>IF(M99="","",IF(OR(AND(O99&gt;-100%,O99&lt;500%)),"","Kommentera förändringen"))</f>
        <v>#DIV/0!</v>
      </c>
      <c r="Q99" s="1290" t="s">
        <v>1161</v>
      </c>
      <c r="R99" s="3039"/>
      <c r="S99" s="3003"/>
      <c r="T99" s="3003"/>
      <c r="U99" s="3003"/>
      <c r="V99" s="3003"/>
      <c r="W99" s="2974"/>
      <c r="X99" s="1310">
        <f>C99-E99</f>
        <v>0</v>
      </c>
    </row>
    <row r="100" spans="1:24" ht="12.75" customHeight="1">
      <c r="A100" s="1253" t="s">
        <v>485</v>
      </c>
      <c r="B100" s="1268" t="s">
        <v>508</v>
      </c>
      <c r="C100" s="300"/>
      <c r="D100" s="1245"/>
      <c r="E100" s="272"/>
      <c r="F100" s="1237"/>
      <c r="G100" s="299"/>
      <c r="H100" s="165"/>
      <c r="I100" s="3008"/>
      <c r="J100" s="2478"/>
      <c r="K100" s="2478"/>
      <c r="L100" s="2479"/>
      <c r="M100" s="1310" t="e">
        <f>(C100+C101-G100)*1000/J95</f>
        <v>#DIV/0!</v>
      </c>
      <c r="N100" s="1292"/>
      <c r="O100" s="1300" t="e">
        <f t="shared" si="11"/>
        <v>#DIV/0!</v>
      </c>
      <c r="P100" s="1115" t="e">
        <f>IF(SUM(E100-G100+100)&lt;Motpart!AA23,"Statsbidrag se kommentar till vänster",IF(M100="","",IF(OR(AND(O100&gt;-100%,O100&lt;500%)),"","Kommentera förändringen")))</f>
        <v>#DIV/0!</v>
      </c>
      <c r="Q100" s="1290" t="s">
        <v>1162</v>
      </c>
      <c r="R100" s="3039"/>
      <c r="S100" s="3003"/>
      <c r="T100" s="3003"/>
      <c r="U100" s="3003"/>
      <c r="V100" s="3003"/>
      <c r="W100" s="2974"/>
      <c r="X100" s="1310">
        <f>C100+C101-G100</f>
        <v>0</v>
      </c>
    </row>
    <row r="101" spans="1:24" ht="19.5" customHeight="1">
      <c r="A101" s="1253" t="s">
        <v>486</v>
      </c>
      <c r="B101" s="1268" t="s">
        <v>558</v>
      </c>
      <c r="C101" s="300"/>
      <c r="D101" s="2712" t="str">
        <f>IF(OR(C101 &gt; SUM(Drift!N61+Drift!O61+100), C101 &lt; SUM(Drift!N61+Drift!O61-100)),"Fördelad gemensam verksamhet skiljer sig mot Driftfliken.","")</f>
        <v/>
      </c>
      <c r="E101" s="1245"/>
      <c r="F101" s="1245"/>
      <c r="G101" s="1247"/>
      <c r="H101" s="165"/>
      <c r="I101" s="3008"/>
      <c r="J101" s="2478"/>
      <c r="K101" s="2478"/>
      <c r="L101" s="2479"/>
      <c r="M101" s="1325" t="e">
        <f>(((M95*J95/1000)+D95-F95+((M86*J86/1000)+D86-F86)))/(J86)*1000</f>
        <v>#DIV/0!</v>
      </c>
      <c r="N101" s="1292"/>
      <c r="O101" s="1300" t="e">
        <f t="shared" si="11"/>
        <v>#DIV/0!</v>
      </c>
      <c r="P101" s="1115"/>
      <c r="Q101" s="1290" t="s">
        <v>1163</v>
      </c>
      <c r="R101" s="3040"/>
      <c r="S101" s="3004"/>
      <c r="T101" s="3004"/>
      <c r="U101" s="3004"/>
      <c r="V101" s="3004"/>
      <c r="W101" s="2976"/>
      <c r="X101" s="2346">
        <f>X95+D95-F95+X86+D86-F86</f>
        <v>0</v>
      </c>
    </row>
    <row r="102" spans="1:24" ht="15" customHeight="1" thickBot="1">
      <c r="A102" s="2243"/>
      <c r="B102" s="2244" t="s">
        <v>137</v>
      </c>
      <c r="C102" s="2245">
        <f>(C95-SUM(C96:C101)-D95)*-1</f>
        <v>0</v>
      </c>
      <c r="D102" s="1233"/>
      <c r="E102" s="2246">
        <f>(E95-SUM(E96:E100)-F95-SUM(Motpart!D23+Motpart!E23+Motpart!F23+Motpart!J23)*0.06)*-1</f>
        <v>0</v>
      </c>
      <c r="F102" s="1233"/>
      <c r="G102" s="2247">
        <f>(G95-SUM(G96:G100))*-1</f>
        <v>0</v>
      </c>
      <c r="H102" s="1646"/>
      <c r="I102" s="3008"/>
      <c r="J102" s="2453"/>
      <c r="K102" s="2453"/>
      <c r="L102" s="2454"/>
      <c r="M102" s="2248"/>
      <c r="N102" s="2249"/>
      <c r="O102" s="1306"/>
      <c r="P102" s="1555" t="str">
        <f>IF(C103="C95","Bruttokostnad i Driften=0",IF(C103="C102","Eliminera differens i kolumn C",IF(E103="E95","Bruttointäkt i Driften = 0",IF(E103="E102","Eliminera differens kolumn E",IF(G103="G95","Interna intäkter i Driften=0",IF(G103="G102","Eliminera differens kolumn G",""))))))</f>
        <v/>
      </c>
      <c r="Q102" s="1290" t="s">
        <v>564</v>
      </c>
      <c r="R102" s="1629"/>
      <c r="S102" s="1629"/>
      <c r="T102" s="1629"/>
      <c r="U102" s="1629"/>
      <c r="V102" s="1629"/>
      <c r="W102" s="1629"/>
      <c r="X102" s="1327"/>
    </row>
    <row r="103" spans="1:24" ht="12.75" customHeight="1" thickBot="1">
      <c r="A103" s="2250"/>
      <c r="B103" s="2251"/>
      <c r="C103" s="2257" t="str">
        <f>IF(ABS(C102)&lt;100,"",IF(C95=0,"C95",IF(ABS(C102/C95)&gt;0.01,"C102")))</f>
        <v/>
      </c>
      <c r="D103" s="2258"/>
      <c r="E103" s="2259" t="str">
        <f>IF(ABS(E102)&lt;100,"",IF(E95=0,"E95",IF(ABS(E102/E95)&gt;0.01,"E102")))</f>
        <v/>
      </c>
      <c r="F103" s="2258"/>
      <c r="G103" s="2260" t="str">
        <f>IF(ABS(G102)&lt;100,"",IF(G95=0,"G95",IF(ABS(G102/G95)&gt;0.01,"G102")))</f>
        <v/>
      </c>
      <c r="H103" s="2252"/>
      <c r="I103" s="2455"/>
      <c r="J103" s="2455"/>
      <c r="K103" s="2455"/>
      <c r="L103" s="2456"/>
      <c r="M103" s="2253"/>
      <c r="N103" s="2254"/>
      <c r="O103" s="2254"/>
      <c r="P103" s="2255"/>
      <c r="Q103" s="2256"/>
      <c r="R103" s="2242"/>
      <c r="S103" s="1629"/>
      <c r="T103" s="1629"/>
      <c r="U103" s="1629"/>
      <c r="V103" s="1629"/>
      <c r="W103" s="1629"/>
      <c r="X103" s="1576"/>
    </row>
    <row r="104" spans="1:24" ht="13.5" thickTop="1">
      <c r="A104" s="156"/>
      <c r="B104" s="290"/>
      <c r="C104" s="291"/>
      <c r="D104" s="291"/>
      <c r="E104" s="291"/>
      <c r="F104" s="291"/>
      <c r="G104" s="291"/>
      <c r="H104" s="292"/>
      <c r="I104" s="291"/>
      <c r="J104" s="291"/>
      <c r="K104" s="291"/>
      <c r="L104" s="243"/>
      <c r="M104" s="293"/>
      <c r="N104" s="293"/>
      <c r="O104" s="293"/>
      <c r="P104" s="294"/>
      <c r="Q104" s="295"/>
      <c r="X104" s="293"/>
    </row>
  </sheetData>
  <customSheetViews>
    <customSheetView guid="{97D6DB71-3F4C-4C5F-8C5B-51E3EBF78932}" showPageBreaks="1" showGridLines="0" hiddenRows="1">
      <pane ySplit="7" topLeftCell="A8" activePane="bottomLeft" state="frozen"/>
      <selection pane="bottomLeft" activeCell="E93" sqref="E93"/>
      <pageMargins left="0.70866141732283472" right="0.70866141732283472" top="0.74803149606299213" bottom="0.74803149606299213" header="0.31496062992125984" footer="0.31496062992125984"/>
      <pageSetup paperSize="9" scale="96" orientation="landscape" r:id="rId1"/>
    </customSheetView>
    <customSheetView guid="{99FBDEB7-DD08-4F57-81F4-3C180403E153}" showGridLines="0" hiddenRows="1">
      <pane ySplit="7" topLeftCell="A9" activePane="bottomLeft" state="frozen"/>
      <selection pane="bottomLeft" activeCell="H2" sqref="H2"/>
      <pageMargins left="0.70866141732283472" right="0.70866141732283472" top="0.74803149606299213" bottom="0.74803149606299213" header="0.31496062992125984" footer="0.31496062992125984"/>
      <pageSetup paperSize="9" scale="96" orientation="landscape" r:id="rId2"/>
    </customSheetView>
    <customSheetView guid="{27C9E95B-0E2B-454F-B637-1CECC9579A10}" showGridLines="0" hiddenRows="1" hiddenColumns="1" showRuler="0">
      <pane ySplit="7" topLeftCell="A8" activePane="bottomLeft" state="frozen"/>
      <selection pane="bottomLeft" activeCell="G72" sqref="G72"/>
      <pageMargins left="0.70866141732283472" right="0.70866141732283472" top="0.74803149606299213" bottom="0.74803149606299213" header="0.31496062992125984" footer="0.31496062992125984"/>
      <pageSetup paperSize="9" scale="96" orientation="landscape" r:id="rId3"/>
      <headerFooter alignWithMargins="0"/>
    </customSheetView>
  </customSheetViews>
  <mergeCells count="22">
    <mergeCell ref="R73:W84"/>
    <mergeCell ref="R87:W93"/>
    <mergeCell ref="R96:W101"/>
    <mergeCell ref="R9:W14"/>
    <mergeCell ref="R17:W22"/>
    <mergeCell ref="R25:W29"/>
    <mergeCell ref="IV6:IV7"/>
    <mergeCell ref="M4:N6"/>
    <mergeCell ref="Q4:Q7"/>
    <mergeCell ref="R45:W56"/>
    <mergeCell ref="R59:W70"/>
    <mergeCell ref="R32:W42"/>
    <mergeCell ref="D5:D7"/>
    <mergeCell ref="F5:F7"/>
    <mergeCell ref="G5:G7"/>
    <mergeCell ref="I4:L5"/>
    <mergeCell ref="I38:I42"/>
    <mergeCell ref="I51:I55"/>
    <mergeCell ref="I65:I69"/>
    <mergeCell ref="I79:I83"/>
    <mergeCell ref="I90:I94"/>
    <mergeCell ref="I99:I102"/>
  </mergeCells>
  <phoneticPr fontId="95" type="noConversion"/>
  <conditionalFormatting sqref="G32:G38 G45:G51 G59:G65 G73:G79 G87:G91 G96:G100">
    <cfRule type="expression" dxfId="77" priority="82" stopIfTrue="1">
      <formula>G32&gt;E32</formula>
    </cfRule>
  </conditionalFormatting>
  <conditionalFormatting sqref="G11 G19 G27 G32:G38 G45:G51 G59:G65">
    <cfRule type="expression" dxfId="76" priority="81" stopIfTrue="1">
      <formula>G11&gt;E11</formula>
    </cfRule>
  </conditionalFormatting>
  <conditionalFormatting sqref="G46:G51">
    <cfRule type="expression" dxfId="75" priority="70" stopIfTrue="1">
      <formula>G46&gt;E46</formula>
    </cfRule>
  </conditionalFormatting>
  <conditionalFormatting sqref="E53">
    <cfRule type="expression" dxfId="74" priority="39" stopIfTrue="1">
      <formula>ABS(E53/E43)&gt;0.03</formula>
    </cfRule>
  </conditionalFormatting>
  <conditionalFormatting sqref="G27">
    <cfRule type="expression" dxfId="73" priority="11" stopIfTrue="1">
      <formula>G27&gt;G24</formula>
    </cfRule>
    <cfRule type="expression" dxfId="72" priority="45" stopIfTrue="1">
      <formula>G27&gt;E27</formula>
    </cfRule>
  </conditionalFormatting>
  <conditionalFormatting sqref="G19">
    <cfRule type="expression" dxfId="71" priority="19" stopIfTrue="1">
      <formula>G19&gt;G16</formula>
    </cfRule>
    <cfRule type="expression" dxfId="70" priority="44" stopIfTrue="1">
      <formula>G19&gt;E19</formula>
    </cfRule>
  </conditionalFormatting>
  <conditionalFormatting sqref="C40">
    <cfRule type="expression" dxfId="69" priority="42" stopIfTrue="1">
      <formula>ABS(C40/C31)&gt;0.03</formula>
    </cfRule>
  </conditionalFormatting>
  <conditionalFormatting sqref="E40">
    <cfRule type="expression" dxfId="68" priority="41" stopIfTrue="1">
      <formula>ABS(E40/E31)&gt;0.03</formula>
    </cfRule>
  </conditionalFormatting>
  <conditionalFormatting sqref="G40">
    <cfRule type="expression" dxfId="67" priority="40" stopIfTrue="1">
      <formula>ABS(G40/G31)&gt;0.03</formula>
    </cfRule>
  </conditionalFormatting>
  <conditionalFormatting sqref="G53">
    <cfRule type="expression" dxfId="66" priority="38" stopIfTrue="1">
      <formula>ABS(G53/G43)&gt;0.03</formula>
    </cfRule>
  </conditionalFormatting>
  <conditionalFormatting sqref="C53">
    <cfRule type="expression" dxfId="65" priority="37" stopIfTrue="1">
      <formula>ABS(C53/C44)&gt;0.03</formula>
    </cfRule>
  </conditionalFormatting>
  <conditionalFormatting sqref="C67">
    <cfRule type="expression" dxfId="64" priority="36" stopIfTrue="1">
      <formula>ABS(C67/C57)&gt;0.03</formula>
    </cfRule>
  </conditionalFormatting>
  <conditionalFormatting sqref="E67">
    <cfRule type="expression" dxfId="63" priority="35" stopIfTrue="1">
      <formula>ABS(E67/E57)&gt;0.03</formula>
    </cfRule>
  </conditionalFormatting>
  <conditionalFormatting sqref="G67">
    <cfRule type="expression" dxfId="62" priority="34" stopIfTrue="1">
      <formula>ABS(G67/G57)&gt;0.03</formula>
    </cfRule>
  </conditionalFormatting>
  <conditionalFormatting sqref="C81">
    <cfRule type="expression" dxfId="61" priority="33" stopIfTrue="1">
      <formula>ABS(C81/C71)&gt;0.03</formula>
    </cfRule>
  </conditionalFormatting>
  <conditionalFormatting sqref="E81">
    <cfRule type="expression" dxfId="60" priority="32" stopIfTrue="1">
      <formula>ABS(E81/E71)&gt;0.03</formula>
    </cfRule>
  </conditionalFormatting>
  <conditionalFormatting sqref="G81">
    <cfRule type="expression" dxfId="59" priority="31" stopIfTrue="1">
      <formula>ABS(G81/G71)&gt;0.03</formula>
    </cfRule>
  </conditionalFormatting>
  <conditionalFormatting sqref="C93">
    <cfRule type="expression" dxfId="58" priority="30" stopIfTrue="1">
      <formula>ABS(C93/C85)&gt;0.03</formula>
    </cfRule>
  </conditionalFormatting>
  <conditionalFormatting sqref="E93">
    <cfRule type="expression" dxfId="57" priority="29" stopIfTrue="1">
      <formula>ABS(E93/E85)&gt;0.03</formula>
    </cfRule>
  </conditionalFormatting>
  <conditionalFormatting sqref="G93">
    <cfRule type="expression" dxfId="56" priority="28" stopIfTrue="1">
      <formula>ABS(G93/G85)&gt;0.03</formula>
    </cfRule>
  </conditionalFormatting>
  <conditionalFormatting sqref="C102:C103">
    <cfRule type="expression" dxfId="55" priority="27" stopIfTrue="1">
      <formula>ABS(C102/C94)&gt;0.03</formula>
    </cfRule>
  </conditionalFormatting>
  <conditionalFormatting sqref="E102:E103">
    <cfRule type="expression" dxfId="54" priority="26" stopIfTrue="1">
      <formula>ABS(E102/E94)&gt;0.03</formula>
    </cfRule>
  </conditionalFormatting>
  <conditionalFormatting sqref="G102:G103">
    <cfRule type="expression" dxfId="53" priority="25" stopIfTrue="1">
      <formula>ABS(G102/G94)&gt;0.03</formula>
    </cfRule>
  </conditionalFormatting>
  <conditionalFormatting sqref="C11 E11 E13 G11 G19 E21 E19 C19 C27 E27 G27 C32:C39 E32:E38 G32:G38 C45:C52 E45:E51 G45:G51 C59:C66 E59:E65 G59:G65 C73:C80 E73:E79 G73:G79 C87:C92 E87:E91 G87:G91 C96:C101 E96:E100 G96:G100">
    <cfRule type="cellIs" dxfId="52" priority="23" stopIfTrue="1" operator="lessThan">
      <formula>-500</formula>
    </cfRule>
  </conditionalFormatting>
  <conditionalFormatting sqref="C19">
    <cfRule type="expression" dxfId="51" priority="21" stopIfTrue="1">
      <formula>C19&gt;C16</formula>
    </cfRule>
  </conditionalFormatting>
  <conditionalFormatting sqref="E19">
    <cfRule type="expression" dxfId="50" priority="20" stopIfTrue="1">
      <formula>E19&gt;E16</formula>
    </cfRule>
  </conditionalFormatting>
  <conditionalFormatting sqref="C11">
    <cfRule type="expression" dxfId="49" priority="18" stopIfTrue="1">
      <formula>C11&gt;C8</formula>
    </cfRule>
  </conditionalFormatting>
  <conditionalFormatting sqref="E11">
    <cfRule type="expression" dxfId="48" priority="17" stopIfTrue="1">
      <formula>E11&gt;E8</formula>
    </cfRule>
  </conditionalFormatting>
  <conditionalFormatting sqref="G11">
    <cfRule type="expression" dxfId="47" priority="16" stopIfTrue="1">
      <formula>G11&gt;G8</formula>
    </cfRule>
  </conditionalFormatting>
  <conditionalFormatting sqref="E13">
    <cfRule type="expression" dxfId="46" priority="15" stopIfTrue="1">
      <formula>E13&gt;E12</formula>
    </cfRule>
  </conditionalFormatting>
  <conditionalFormatting sqref="E21">
    <cfRule type="expression" dxfId="45" priority="14" stopIfTrue="1">
      <formula>E21&gt;E20</formula>
    </cfRule>
  </conditionalFormatting>
  <conditionalFormatting sqref="C27">
    <cfRule type="expression" dxfId="44" priority="13" stopIfTrue="1">
      <formula>C27&gt;C24</formula>
    </cfRule>
  </conditionalFormatting>
  <conditionalFormatting sqref="E27">
    <cfRule type="expression" dxfId="43" priority="12" stopIfTrue="1">
      <formula>E27&gt;E24</formula>
    </cfRule>
  </conditionalFormatting>
  <dataValidations count="2">
    <dataValidation type="decimal" operator="lessThan" allowBlank="1" showInputMessage="1" showErrorMessage="1" error="Beloppen ska vara i 1000 tal kronor" sqref="C65489:C65490 G65517:K65517 L65533 C65480:C65482 C65464:C65465 E65464:F65465 E65472:F65473 C65472:C65473 E65480:F65482 E65489:F65490" xr:uid="{00000000-0002-0000-0800-000000000000}">
      <formula1>99999999</formula1>
    </dataValidation>
    <dataValidation type="decimal" operator="lessThan" allowBlank="1" showInputMessage="1" showErrorMessage="1" error="Beloppet ska vara i 1000 tal kronor" sqref="C11 G96:G100 E96:E100 E11 G87:G91 E87:E91 C87:C92 G73:G79 E73:E79 C73:C80 G59:G65 E59:E65 C59:C66 G45:G51 E45:E51 C45:C52 G32:G38 E32:E38 C32:C39 G27 E27 C27 C19 E21 E19 G19 G11 E13 C96:C101" xr:uid="{00000000-0002-0000-0800-000001000000}">
      <formula1>99999999</formula1>
    </dataValidation>
  </dataValidations>
  <pageMargins left="0.47" right="0.47" top="0.74803149606299213" bottom="0.74803149606299213" header="0.31" footer="0.31496062992125984"/>
  <pageSetup paperSize="9" scale="96" orientation="landscape" r:id="rId4"/>
  <legacyDrawing r:id="rId5"/>
  <extLst>
    <ext xmlns:x14="http://schemas.microsoft.com/office/spreadsheetml/2009/9/main" uri="{78C0D931-6437-407d-A8EE-F0AAD7539E65}">
      <x14:conditionalFormattings>
        <x14:conditionalFormatting xmlns:xm="http://schemas.microsoft.com/office/excel/2006/main">
          <x14:cfRule type="expression" priority="7" id="{28489C6D-3605-44EB-AF30-2D3BD554AD4E}">
            <xm:f>SUM(E51-G51+100)&lt;Motpart!AA19</xm:f>
            <x14:dxf>
              <font>
                <b val="0"/>
                <i val="0"/>
                <color auto="1"/>
              </font>
              <fill>
                <patternFill>
                  <bgColor theme="9" tint="0.59996337778862885"/>
                </patternFill>
              </fill>
            </x14:dxf>
          </x14:cfRule>
          <xm:sqref>I51:I55</xm:sqref>
        </x14:conditionalFormatting>
        <x14:conditionalFormatting xmlns:xm="http://schemas.microsoft.com/office/excel/2006/main">
          <x14:cfRule type="expression" priority="6" id="{468A7900-2D84-423B-9B3F-94D8EAA45899}">
            <xm:f>SUM(E65-G65+100)&lt;Motpart!AA20</xm:f>
            <x14:dxf>
              <font>
                <b val="0"/>
                <i val="0"/>
                <color auto="1"/>
              </font>
              <fill>
                <patternFill>
                  <bgColor theme="9" tint="0.59996337778862885"/>
                </patternFill>
              </fill>
            </x14:dxf>
          </x14:cfRule>
          <xm:sqref>I65:I69</xm:sqref>
        </x14:conditionalFormatting>
        <x14:conditionalFormatting xmlns:xm="http://schemas.microsoft.com/office/excel/2006/main">
          <x14:cfRule type="expression" priority="5" id="{4F84AA19-49AA-46E8-9ADE-79F22FCE6F07}">
            <xm:f>SUM(E79-G79+100)&lt;Motpart!AA21</xm:f>
            <x14:dxf>
              <font>
                <b val="0"/>
                <i val="0"/>
                <color auto="1"/>
              </font>
              <fill>
                <patternFill>
                  <bgColor theme="9" tint="0.59996337778862885"/>
                </patternFill>
              </fill>
            </x14:dxf>
          </x14:cfRule>
          <xm:sqref>I79:I83</xm:sqref>
        </x14:conditionalFormatting>
        <x14:conditionalFormatting xmlns:xm="http://schemas.microsoft.com/office/excel/2006/main">
          <x14:cfRule type="expression" priority="4" id="{FE6AF082-1113-4046-BE7C-F09FCD0440EC}">
            <xm:f>SUM(E91-G91+100)&lt;Motpart!AA22</xm:f>
            <x14:dxf>
              <font>
                <b val="0"/>
                <i val="0"/>
                <color auto="1"/>
              </font>
              <fill>
                <patternFill>
                  <bgColor theme="9" tint="0.59996337778862885"/>
                </patternFill>
              </fill>
            </x14:dxf>
          </x14:cfRule>
          <xm:sqref>I90:I94</xm:sqref>
        </x14:conditionalFormatting>
        <x14:conditionalFormatting xmlns:xm="http://schemas.microsoft.com/office/excel/2006/main">
          <x14:cfRule type="expression" priority="2" id="{AA617564-E5DF-4D7E-8EA7-BE3A8CD251A2}">
            <xm:f>SUM(E100-G100+100)&lt;Motpart!AA23</xm:f>
            <x14:dxf>
              <font>
                <color auto="1"/>
              </font>
              <fill>
                <patternFill>
                  <bgColor theme="9" tint="0.59996337778862885"/>
                </patternFill>
              </fill>
            </x14:dxf>
          </x14:cfRule>
          <xm:sqref>I99:I101</xm:sqref>
        </x14:conditionalFormatting>
        <x14:conditionalFormatting xmlns:xm="http://schemas.microsoft.com/office/excel/2006/main">
          <x14:cfRule type="expression" priority="1" id="{917F4404-C110-4D85-A7BD-AEA4F7FA6FA8}">
            <xm:f>SUM(E38-G38+100)&lt;Motpart!AA18</xm:f>
            <x14:dxf>
              <fill>
                <patternFill>
                  <bgColor theme="9" tint="0.59996337778862885"/>
                </patternFill>
              </fill>
            </x14:dxf>
          </x14:cfRule>
          <xm:sqref>I38:I42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113</vt:i4>
      </vt:variant>
    </vt:vector>
  </HeadingPairs>
  <TitlesOfParts>
    <vt:vector size="127" baseType="lpstr">
      <vt:lpstr>Information</vt:lpstr>
      <vt:lpstr>RR</vt:lpstr>
      <vt:lpstr>BR</vt:lpstr>
      <vt:lpstr>Verks int o kostn</vt:lpstr>
      <vt:lpstr>Skatter, bidrag o fin poster</vt:lpstr>
      <vt:lpstr>Investeringar</vt:lpstr>
      <vt:lpstr>Drift</vt:lpstr>
      <vt:lpstr>Motpart</vt:lpstr>
      <vt:lpstr>Pedagogisk verksamhet</vt:lpstr>
      <vt:lpstr>Äldre o personer funktionsn</vt:lpstr>
      <vt:lpstr>IFO</vt:lpstr>
      <vt:lpstr>Kontrollblad</vt:lpstr>
      <vt:lpstr>Nyckeltal</vt:lpstr>
      <vt:lpstr>Felkontroll</vt:lpstr>
      <vt:lpstr>'Skatter, bidrag o fin poster'!_GoBack</vt:lpstr>
      <vt:lpstr>Affärsverksamhet</vt:lpstr>
      <vt:lpstr>Balanskravsutredningen</vt:lpstr>
      <vt:lpstr>Barn_o_ungdomsvård</vt:lpstr>
      <vt:lpstr>Barnomsorg</vt:lpstr>
      <vt:lpstr>Bidrag_o_transfer.</vt:lpstr>
      <vt:lpstr>Block_1</vt:lpstr>
      <vt:lpstr>Block_2</vt:lpstr>
      <vt:lpstr>Block_3</vt:lpstr>
      <vt:lpstr>Block_6</vt:lpstr>
      <vt:lpstr>BR</vt:lpstr>
      <vt:lpstr>Drift</vt:lpstr>
      <vt:lpstr>EKchef</vt:lpstr>
      <vt:lpstr>Ekcheftel</vt:lpstr>
      <vt:lpstr>Epost1RS</vt:lpstr>
      <vt:lpstr>Epost2RS</vt:lpstr>
      <vt:lpstr>Epostaldre</vt:lpstr>
      <vt:lpstr>EpostAO</vt:lpstr>
      <vt:lpstr>EpostEkchef</vt:lpstr>
      <vt:lpstr>Epostforskola</vt:lpstr>
      <vt:lpstr>Epostgrund</vt:lpstr>
      <vt:lpstr>Epostgymn</vt:lpstr>
      <vt:lpstr>Eposthandik</vt:lpstr>
      <vt:lpstr>Epostifo</vt:lpstr>
      <vt:lpstr>EpostPV</vt:lpstr>
      <vt:lpstr>epostpvchef</vt:lpstr>
      <vt:lpstr>epostvochef</vt:lpstr>
      <vt:lpstr>Epostvux</vt:lpstr>
      <vt:lpstr>Extraordinära_RR</vt:lpstr>
      <vt:lpstr>Familjerätt</vt:lpstr>
      <vt:lpstr>Fritidshem</vt:lpstr>
      <vt:lpstr>Funktionsnedsättning</vt:lpstr>
      <vt:lpstr>Förskola</vt:lpstr>
      <vt:lpstr>Förskoleklass</vt:lpstr>
      <vt:lpstr>Förändring_anläggningstillgångar</vt:lpstr>
      <vt:lpstr>Grundskola</vt:lpstr>
      <vt:lpstr>Grundsärskola</vt:lpstr>
      <vt:lpstr>Grundvux</vt:lpstr>
      <vt:lpstr>Gymnasieskola</vt:lpstr>
      <vt:lpstr>Gymnasiesärskola</vt:lpstr>
      <vt:lpstr>Gymnvux</vt:lpstr>
      <vt:lpstr>inv7_15</vt:lpstr>
      <vt:lpstr>invanare</vt:lpstr>
      <vt:lpstr>Investeringar</vt:lpstr>
      <vt:lpstr>Invånare</vt:lpstr>
      <vt:lpstr>Jämförelsestörande_RR</vt:lpstr>
      <vt:lpstr>Kontaktpers1RS</vt:lpstr>
      <vt:lpstr>Kontaktpers2RS</vt:lpstr>
      <vt:lpstr>Kontaktpersaldre</vt:lpstr>
      <vt:lpstr>KontaktpersAO</vt:lpstr>
      <vt:lpstr>Kontaktpersforskola</vt:lpstr>
      <vt:lpstr>Kontaktpersgrund</vt:lpstr>
      <vt:lpstr>Kontaktpersgymn</vt:lpstr>
      <vt:lpstr>Kontaktpershandik</vt:lpstr>
      <vt:lpstr>Kontaktpersifo</vt:lpstr>
      <vt:lpstr>KontaktpersPV</vt:lpstr>
      <vt:lpstr>Kontaktpersvux</vt:lpstr>
      <vt:lpstr>Kontakttel1RS</vt:lpstr>
      <vt:lpstr>Kontakttel2RS</vt:lpstr>
      <vt:lpstr>Kontakttelaldre</vt:lpstr>
      <vt:lpstr>KontakttelAO</vt:lpstr>
      <vt:lpstr>Kontakttelforskola</vt:lpstr>
      <vt:lpstr>Kontakttelgrund</vt:lpstr>
      <vt:lpstr>Kontakttelgymn</vt:lpstr>
      <vt:lpstr>Kontakttelhandik</vt:lpstr>
      <vt:lpstr>Kontakttelifo</vt:lpstr>
      <vt:lpstr>Kontakttelpv</vt:lpstr>
      <vt:lpstr>Kontakttelpvchef</vt:lpstr>
      <vt:lpstr>Kontakttelvux</vt:lpstr>
      <vt:lpstr>Kontakttevochef</vt:lpstr>
      <vt:lpstr>Kontrollblad_1</vt:lpstr>
      <vt:lpstr>Kontrollblad_10</vt:lpstr>
      <vt:lpstr>Kontrollblad_11</vt:lpstr>
      <vt:lpstr>Kontrollblad_12</vt:lpstr>
      <vt:lpstr>Kontrollblad_13</vt:lpstr>
      <vt:lpstr>Kontrollblad_14</vt:lpstr>
      <vt:lpstr>Kontrollblad_15</vt:lpstr>
      <vt:lpstr>Kontrollblad_16</vt:lpstr>
      <vt:lpstr>Kontrollblad_17</vt:lpstr>
      <vt:lpstr>Kontrollblad_18</vt:lpstr>
      <vt:lpstr>Kontrollblad_19</vt:lpstr>
      <vt:lpstr>Kontrollblad_2</vt:lpstr>
      <vt:lpstr>Kontrollblad_3</vt:lpstr>
      <vt:lpstr>Kontrollblad_4</vt:lpstr>
      <vt:lpstr>Kontrollblad_5</vt:lpstr>
      <vt:lpstr>Kontrollblad_6</vt:lpstr>
      <vt:lpstr>Kontrollblad_7</vt:lpstr>
      <vt:lpstr>Kontrollblad_8</vt:lpstr>
      <vt:lpstr>Kontrollblad_9</vt:lpstr>
      <vt:lpstr>Köp_huvudvht</vt:lpstr>
      <vt:lpstr>LSS</vt:lpstr>
      <vt:lpstr>Pvchef</vt:lpstr>
      <vt:lpstr>Skatter_bidrag_finpost</vt:lpstr>
      <vt:lpstr>Spec_intäkter</vt:lpstr>
      <vt:lpstr>Spec_VoO</vt:lpstr>
      <vt:lpstr>Tillägg_1_Invest</vt:lpstr>
      <vt:lpstr>Tillägg_2_Invest</vt:lpstr>
      <vt:lpstr>Utbildning</vt:lpstr>
      <vt:lpstr>Drift!Utskriftsområde</vt:lpstr>
      <vt:lpstr>Information!Utskriftsområde</vt:lpstr>
      <vt:lpstr>Investeringar!Utskriftsområde</vt:lpstr>
      <vt:lpstr>Motpart!Utskriftsområde</vt:lpstr>
      <vt:lpstr>RR!Utskriftsområde</vt:lpstr>
      <vt:lpstr>'Äldre o personer funktionsn'!Utskriftsområde</vt:lpstr>
      <vt:lpstr>Drift!Utskriftsrubriker</vt:lpstr>
      <vt:lpstr>Motpart!Utskriftsrubriker</vt:lpstr>
      <vt:lpstr>Vht_int</vt:lpstr>
      <vt:lpstr>Vht_kostn</vt:lpstr>
      <vt:lpstr>VOchef</vt:lpstr>
      <vt:lpstr>Vuxna_missb.</vt:lpstr>
      <vt:lpstr>ÄF_inkl_IFO</vt:lpstr>
      <vt:lpstr>Äldre</vt:lpstr>
      <vt:lpstr>Övr._o_ek.bistånd</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Wizell</dc:creator>
  <cp:lastModifiedBy>Jakupi Edona D/INS/OFS-Ö</cp:lastModifiedBy>
  <cp:lastPrinted>2017-01-24T13:58:32Z</cp:lastPrinted>
  <dcterms:created xsi:type="dcterms:W3CDTF">2008-10-17T09:37:32Z</dcterms:created>
  <dcterms:modified xsi:type="dcterms:W3CDTF">2024-02-20T14:57:33Z</dcterms:modified>
</cp:coreProperties>
</file>