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INS\RS Region\Aktuell\2 Designa och planera\"/>
    </mc:Choice>
  </mc:AlternateContent>
  <xr:revisionPtr revIDLastSave="0" documentId="13_ncr:1_{A5472F98-7349-41F0-8E1F-4376DB55F36A}" xr6:coauthVersionLast="47" xr6:coauthVersionMax="47" xr10:uidLastSave="{00000000-0000-0000-0000-000000000000}"/>
  <bookViews>
    <workbookView xWindow="28680" yWindow="-120" windowWidth="29040" windowHeight="15720" tabRatio="799" xr2:uid="{00000000-000D-0000-FFFF-FFFF00000000}"/>
  </bookViews>
  <sheets>
    <sheet name="Information" sheetId="1" r:id="rId1"/>
    <sheet name="1. Nettokostnader" sheetId="3" r:id="rId2"/>
    <sheet name="2. Drift.  intäkter" sheetId="4" r:id="rId3"/>
    <sheet name="3. Drift. kostnader" sheetId="5" r:id="rId4"/>
    <sheet name="4. Kapitaltj m.m." sheetId="6" r:id="rId5"/>
    <sheet name="5. Investeringar" sheetId="7" r:id="rId6"/>
    <sheet name="6. Spec intäkter" sheetId="8" r:id="rId7"/>
    <sheet name="7. Spec kostnader" sheetId="9" r:id="rId8"/>
    <sheet name="8. Motp förs." sheetId="10" r:id="rId9"/>
    <sheet name="9a. Motp köp" sheetId="11" r:id="rId10"/>
    <sheet name="9b. Motp bidrag" sheetId="12" r:id="rId11"/>
    <sheet name="10. Motp förs div" sheetId="15" r:id="rId12"/>
    <sheet name="Felkontroll" sheetId="16" state="hidden" r:id="rId13"/>
  </sheets>
  <definedNames>
    <definedName name="kom_1_jamf">'1. Nettokostnader'!$N$77</definedName>
    <definedName name="kom_1_minusbelopp">'1. Nettokostnader'!$N$8</definedName>
    <definedName name="kom_1_ovr">'1. Nettokostnader'!$N$38</definedName>
    <definedName name="kom_1_prim">'1. Nettokostnader'!$N$12</definedName>
    <definedName name="kom_1_psyk">'1. Nettokostnader'!$N$28</definedName>
    <definedName name="kom_1_reg">'1. Nettokostnader'!$N$52</definedName>
    <definedName name="kom_1_som">'1. Nettokostnader'!$N$23</definedName>
    <definedName name="kom_1_tand">'1. Nettokostnader'!$N$33</definedName>
    <definedName name="kom_1_övr">'1. Nettokostnader'!$N$38</definedName>
    <definedName name="kom_10">'10. Motp förs div'!$B$27</definedName>
    <definedName name="kom_10_minusbelopp">'10. Motp förs div'!$M$6</definedName>
    <definedName name="kom_2_hos">'2. Drift.  intäkter'!$O$12</definedName>
    <definedName name="kom_2_jamf">'2. Drift.  intäkter'!$O$38</definedName>
    <definedName name="kom_2_minusbelopp">'2. Drift.  intäkter'!$O$7</definedName>
    <definedName name="kom_2_reg">'2. Drift.  intäkter'!$O$24</definedName>
    <definedName name="kom_3_hos">'3. Drift. kostnader'!$V$13</definedName>
    <definedName name="kom_3_jamf">'3. Drift. kostnader'!$V$39</definedName>
    <definedName name="kom_3_minusbelopp">'3. Drift. kostnader'!$V$7</definedName>
    <definedName name="kom_3_reg">'3. Drift. kostnader'!$V$25</definedName>
    <definedName name="kom_4">'4. Kapitaltj m.m.'!$B$43</definedName>
    <definedName name="kom_5">'5. Investeringar'!$B$46</definedName>
    <definedName name="kom_6">'6. Spec intäkter'!$B$40</definedName>
    <definedName name="kom_6_minusbelopp">'6. Spec intäkter'!$I$6</definedName>
    <definedName name="kom_7">'7. Spec kostnader'!$B$57</definedName>
    <definedName name="kom_7_minusbelopp">'7. Spec kostnader'!$K$6</definedName>
    <definedName name="kom_8">'8. Motp förs.'!$B$57</definedName>
    <definedName name="kom_8_minusbelopp">'8. Motp förs.'!$M$6</definedName>
    <definedName name="kom_9a">'9a. Motp köp'!$B$57</definedName>
    <definedName name="kom_9a_minusbelopp">'9a. Motp köp'!$M$6</definedName>
    <definedName name="kom_9b">'9b. Motp bidrag'!$B$31</definedName>
    <definedName name="kom_9b_minusbelopp">'9b. Motp bidrag'!$M$6</definedName>
    <definedName name="pa">'2. Drift.  intäkter'!$C$1</definedName>
    <definedName name="rngEkChefEpost">Information!$C$17</definedName>
    <definedName name="rngEkChefNamn">Information!$C$15</definedName>
    <definedName name="rngKom_1">'1. Nettokostnader'!#REF!</definedName>
    <definedName name="rngKom_10">'10. Motp förs div'!$B$27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köp'!$B$57</definedName>
    <definedName name="rngKom_9b">'9b. Motp bidrag'!$B$31</definedName>
    <definedName name="rngKontaktEpost">Information!$C$13</definedName>
    <definedName name="rngKontaktNamn">Information!$C$9</definedName>
    <definedName name="rngKontaktTel">Information!$C$11</definedName>
    <definedName name="rngLandsting">Information!$D$7</definedName>
    <definedName name="rngLandstingsNamn">Information!$A$7</definedName>
    <definedName name="rngSpec091">'1. Nettokostnader'!$B$20</definedName>
    <definedName name="rngSpec092">'1. Nettokostnader'!$B$21</definedName>
    <definedName name="rngSpec491">'1. Nettokostnader'!$B$45</definedName>
    <definedName name="rngSpec492">'1. Nettokostnader'!#REF!</definedName>
    <definedName name="rngSpec591">'1. Nettokostnader'!$B$56</definedName>
    <definedName name="rngSpec592">'1. Nettokostnader'!$B$57</definedName>
    <definedName name="rngSpec691">'1. Nettokostnader'!$B$62</definedName>
    <definedName name="rngSpec692">'1. Nettokostnader'!$B$63</definedName>
    <definedName name="rngSpec891">'1. Nettokostnader'!$B$74</definedName>
    <definedName name="rngSpec892">'1. Nettokostnader'!$B$75</definedName>
    <definedName name="rngSpecÖvrB_060">'6. Spec intäkter'!$B$32</definedName>
    <definedName name="rngSpecÖvrB_061">'6. Spec intäkter'!$B$33</definedName>
    <definedName name="_xlnm.Print_Area" localSheetId="1">'1. Nettokostnader'!$A$1:$Q$89</definedName>
    <definedName name="_xlnm.Print_Area" localSheetId="11">'10. Motp förs div'!$A$1:$M$34</definedName>
    <definedName name="_xlnm.Print_Area" localSheetId="2">'2. Drift.  intäkter'!$A$1:$P$51</definedName>
    <definedName name="_xlnm.Print_Area" localSheetId="3">'3. Drift. kostnader'!$A$1:$W$53</definedName>
    <definedName name="_xlnm.Print_Area" localSheetId="4">'4. Kapitaltj m.m.'!$A$1:$J$48</definedName>
    <definedName name="_xlnm.Print_Area" localSheetId="5">'5. Investeringar'!$A$1:$L$50</definedName>
    <definedName name="_xlnm.Print_Area" localSheetId="6">'6. Spec intäkter'!$A$1:$H$45</definedName>
    <definedName name="_xlnm.Print_Area" localSheetId="7">'7. Spec kostnader'!$A$1:$J$62</definedName>
    <definedName name="_xlnm.Print_Area" localSheetId="8">'8. Motp förs.'!$A$1:$M$62</definedName>
    <definedName name="_xlnm.Print_Area" localSheetId="9">'9a. Motp köp'!$A$1:$M$63</definedName>
    <definedName name="_xlnm.Print_Area" localSheetId="10">'9b. Motp bidrag'!$A$1:$M$38</definedName>
    <definedName name="_xlnm.Print_Area" localSheetId="0">Information!$A$1:$I$35</definedName>
    <definedName name="_xlnm.Print_Titles" localSheetId="3">'3. Drift. kostnader'!$A:$B</definedName>
    <definedName name="År">2024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1" l="1"/>
  <c r="M29" i="11"/>
  <c r="M24" i="11"/>
  <c r="M19" i="11"/>
  <c r="M10" i="11"/>
  <c r="M34" i="10"/>
  <c r="M29" i="10"/>
  <c r="M24" i="10"/>
  <c r="M19" i="10"/>
  <c r="M10" i="10"/>
  <c r="I33" i="9"/>
  <c r="I9" i="9"/>
  <c r="I11" i="9"/>
  <c r="M12" i="15"/>
  <c r="M11" i="15"/>
  <c r="M10" i="15"/>
  <c r="M23" i="12"/>
  <c r="M22" i="12"/>
  <c r="M21" i="12"/>
  <c r="M20" i="12"/>
  <c r="M19" i="12"/>
  <c r="M18" i="12"/>
  <c r="M17" i="12"/>
  <c r="M15" i="12"/>
  <c r="M14" i="12"/>
  <c r="M13" i="12"/>
  <c r="M12" i="12"/>
  <c r="M11" i="12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3" i="11"/>
  <c r="M32" i="11"/>
  <c r="M31" i="11"/>
  <c r="M30" i="11"/>
  <c r="M28" i="11"/>
  <c r="M27" i="11"/>
  <c r="M26" i="11"/>
  <c r="M25" i="11"/>
  <c r="M23" i="11"/>
  <c r="M22" i="11"/>
  <c r="M21" i="11"/>
  <c r="M20" i="11"/>
  <c r="M18" i="11"/>
  <c r="M17" i="11"/>
  <c r="M16" i="11"/>
  <c r="M15" i="11"/>
  <c r="M14" i="11"/>
  <c r="M13" i="11"/>
  <c r="M12" i="11"/>
  <c r="M11" i="11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3" i="10"/>
  <c r="M32" i="10"/>
  <c r="M31" i="10"/>
  <c r="M30" i="10"/>
  <c r="M28" i="10"/>
  <c r="M27" i="10"/>
  <c r="M26" i="10"/>
  <c r="M25" i="10"/>
  <c r="M23" i="10"/>
  <c r="M22" i="10"/>
  <c r="M21" i="10"/>
  <c r="M20" i="10"/>
  <c r="M18" i="10"/>
  <c r="M17" i="10"/>
  <c r="M16" i="10"/>
  <c r="M15" i="10"/>
  <c r="M14" i="10"/>
  <c r="M13" i="10"/>
  <c r="M12" i="10"/>
  <c r="M11" i="10"/>
  <c r="I53" i="9"/>
  <c r="I51" i="9"/>
  <c r="I26" i="9"/>
  <c r="I19" i="9"/>
  <c r="H36" i="8"/>
  <c r="H34" i="8"/>
  <c r="H24" i="8"/>
  <c r="H23" i="8"/>
  <c r="H20" i="8"/>
  <c r="H18" i="8"/>
  <c r="H8" i="8"/>
  <c r="J28" i="7"/>
  <c r="K6" i="9"/>
  <c r="I7" i="7"/>
  <c r="M6" i="15"/>
  <c r="M6" i="12"/>
  <c r="M6" i="11"/>
  <c r="M6" i="10"/>
  <c r="I6" i="8"/>
  <c r="G6" i="6"/>
  <c r="H16" i="8" l="1"/>
  <c r="J9" i="7" l="1"/>
  <c r="C8" i="3"/>
  <c r="I27" i="7"/>
  <c r="C54" i="5" l="1"/>
  <c r="C51" i="4"/>
  <c r="J27" i="7"/>
  <c r="J26" i="7"/>
  <c r="J25" i="7"/>
  <c r="J22" i="7"/>
  <c r="J21" i="7"/>
  <c r="J20" i="7"/>
  <c r="J18" i="7"/>
  <c r="J17" i="7"/>
  <c r="J16" i="7"/>
  <c r="J15" i="7"/>
  <c r="J14" i="7"/>
  <c r="J13" i="7"/>
  <c r="J12" i="7"/>
  <c r="J11" i="7"/>
  <c r="J10" i="7"/>
  <c r="J36" i="7"/>
  <c r="C53" i="5"/>
  <c r="C50" i="4"/>
  <c r="A6" i="15" l="1"/>
  <c r="A6" i="9"/>
  <c r="A6" i="8"/>
  <c r="D38" i="7"/>
  <c r="G36" i="7"/>
  <c r="F7" i="8"/>
  <c r="M10" i="3"/>
  <c r="M66" i="3" l="1"/>
  <c r="I42" i="9" l="1"/>
  <c r="C41" i="11" l="1"/>
  <c r="C39" i="11"/>
  <c r="C36" i="11"/>
  <c r="C35" i="11"/>
  <c r="C31" i="11"/>
  <c r="C32" i="11"/>
  <c r="C33" i="11"/>
  <c r="C30" i="11"/>
  <c r="C26" i="11"/>
  <c r="C27" i="11"/>
  <c r="C25" i="11"/>
  <c r="C21" i="11"/>
  <c r="C22" i="11"/>
  <c r="C20" i="11"/>
  <c r="C18" i="11"/>
  <c r="C12" i="11"/>
  <c r="C13" i="11"/>
  <c r="C14" i="11"/>
  <c r="C15" i="11"/>
  <c r="C16" i="11"/>
  <c r="C11" i="11"/>
  <c r="C41" i="10"/>
  <c r="C39" i="10"/>
  <c r="C36" i="10"/>
  <c r="C35" i="10"/>
  <c r="C31" i="10"/>
  <c r="C32" i="10"/>
  <c r="C33" i="10"/>
  <c r="C30" i="10"/>
  <c r="C26" i="10"/>
  <c r="C27" i="10"/>
  <c r="C25" i="10"/>
  <c r="C21" i="10"/>
  <c r="C22" i="10"/>
  <c r="C20" i="10"/>
  <c r="C18" i="10"/>
  <c r="C12" i="10"/>
  <c r="C13" i="10"/>
  <c r="C14" i="10"/>
  <c r="C15" i="10"/>
  <c r="C16" i="10"/>
  <c r="C11" i="10"/>
  <c r="R36" i="5"/>
  <c r="R35" i="5"/>
  <c r="R33" i="5"/>
  <c r="R30" i="5"/>
  <c r="R29" i="5"/>
  <c r="R25" i="5"/>
  <c r="R23" i="5"/>
  <c r="R22" i="5"/>
  <c r="R21" i="5"/>
  <c r="R20" i="5"/>
  <c r="R19" i="5"/>
  <c r="R17" i="5"/>
  <c r="R15" i="5"/>
  <c r="R14" i="5"/>
  <c r="I21" i="9"/>
  <c r="I52" i="9" l="1"/>
  <c r="I50" i="9"/>
  <c r="I49" i="9"/>
  <c r="I48" i="9"/>
  <c r="I47" i="9"/>
  <c r="I46" i="9"/>
  <c r="I45" i="9"/>
  <c r="I44" i="9"/>
  <c r="I43" i="9"/>
  <c r="I40" i="9"/>
  <c r="I39" i="9"/>
  <c r="I38" i="9"/>
  <c r="I36" i="9"/>
  <c r="I35" i="9"/>
  <c r="I34" i="9"/>
  <c r="I32" i="9"/>
  <c r="I31" i="9"/>
  <c r="I30" i="9"/>
  <c r="I28" i="9"/>
  <c r="I27" i="9"/>
  <c r="I16" i="9"/>
  <c r="I15" i="9"/>
  <c r="I14" i="9"/>
  <c r="I13" i="9"/>
  <c r="I12" i="9"/>
  <c r="I10" i="9"/>
  <c r="H35" i="8"/>
  <c r="H31" i="8"/>
  <c r="H30" i="8"/>
  <c r="H29" i="8"/>
  <c r="H28" i="8"/>
  <c r="H27" i="8"/>
  <c r="H26" i="8"/>
  <c r="H25" i="8"/>
  <c r="H22" i="8"/>
  <c r="H21" i="8"/>
  <c r="H19" i="8"/>
  <c r="H17" i="8"/>
  <c r="H15" i="8"/>
  <c r="H14" i="8"/>
  <c r="H13" i="8"/>
  <c r="H12" i="8"/>
  <c r="H11" i="8"/>
  <c r="H10" i="8"/>
  <c r="H9" i="8"/>
  <c r="P39" i="4"/>
  <c r="P38" i="4"/>
  <c r="P37" i="4"/>
  <c r="P36" i="4"/>
  <c r="P34" i="4"/>
  <c r="P33" i="4"/>
  <c r="P32" i="4"/>
  <c r="P31" i="4"/>
  <c r="P30" i="4"/>
  <c r="P29" i="4"/>
  <c r="P28" i="4"/>
  <c r="P27" i="4"/>
  <c r="P26" i="4"/>
  <c r="P25" i="4"/>
  <c r="P24" i="4"/>
  <c r="P22" i="4"/>
  <c r="P21" i="4"/>
  <c r="P20" i="4"/>
  <c r="P19" i="4"/>
  <c r="P18" i="4"/>
  <c r="P17" i="4"/>
  <c r="P16" i="4"/>
  <c r="P15" i="4"/>
  <c r="P14" i="4"/>
  <c r="P13" i="4"/>
  <c r="O30" i="3"/>
  <c r="O25" i="3"/>
  <c r="O17" i="3" l="1"/>
  <c r="B37" i="6" l="1"/>
  <c r="B36" i="6"/>
  <c r="A1" i="1"/>
  <c r="J51" i="9" l="1"/>
  <c r="F83" i="3" l="1"/>
  <c r="C8" i="9" l="1"/>
  <c r="D42" i="7" l="1"/>
  <c r="J14" i="9" l="1"/>
  <c r="I49" i="5" l="1"/>
  <c r="F49" i="5"/>
  <c r="E49" i="5"/>
  <c r="C49" i="5"/>
  <c r="C42" i="7" l="1"/>
  <c r="C37" i="9" l="1"/>
  <c r="B23" i="15"/>
  <c r="B22" i="15"/>
  <c r="B21" i="15"/>
  <c r="B20" i="15"/>
  <c r="B19" i="15"/>
  <c r="B18" i="15"/>
  <c r="B17" i="15"/>
  <c r="B16" i="15"/>
  <c r="B26" i="12"/>
  <c r="B25" i="12"/>
  <c r="B27" i="12"/>
  <c r="B52" i="11"/>
  <c r="B51" i="11"/>
  <c r="B53" i="11"/>
  <c r="B53" i="10"/>
  <c r="B52" i="10"/>
  <c r="B51" i="10"/>
  <c r="F7" i="9"/>
  <c r="C7" i="9"/>
  <c r="C7" i="8"/>
  <c r="T7" i="5"/>
  <c r="S7" i="5"/>
  <c r="M7" i="4"/>
  <c r="L7" i="4"/>
  <c r="O6" i="3"/>
  <c r="O7" i="3"/>
  <c r="L8" i="3"/>
  <c r="K8" i="3"/>
  <c r="I8" i="3"/>
  <c r="H8" i="3"/>
  <c r="D8" i="3"/>
  <c r="C64" i="3" l="1"/>
  <c r="C68" i="3"/>
  <c r="L44" i="5" l="1"/>
  <c r="D49" i="5" s="1"/>
  <c r="E1" i="16" l="1"/>
  <c r="D1" i="16"/>
  <c r="A1" i="16"/>
  <c r="C1" i="16" l="1"/>
  <c r="C10" i="10"/>
  <c r="D10" i="10"/>
  <c r="C8" i="8"/>
  <c r="C24" i="8"/>
  <c r="E19" i="7"/>
  <c r="L10" i="3"/>
  <c r="L11" i="3"/>
  <c r="L12" i="3"/>
  <c r="L13" i="3"/>
  <c r="L14" i="3"/>
  <c r="L15" i="3"/>
  <c r="L16" i="3"/>
  <c r="L17" i="3"/>
  <c r="L18" i="3"/>
  <c r="L19" i="3"/>
  <c r="P12" i="3" l="1"/>
  <c r="L25" i="3" l="1"/>
  <c r="L30" i="3"/>
  <c r="C18" i="12"/>
  <c r="C17" i="10"/>
  <c r="F53" i="9"/>
  <c r="G53" i="9" s="1"/>
  <c r="T41" i="5"/>
  <c r="U41" i="5" s="1"/>
  <c r="Y41" i="5" s="1"/>
  <c r="U11" i="5"/>
  <c r="Y11" i="5" s="1"/>
  <c r="M40" i="4"/>
  <c r="N40" i="4" s="1"/>
  <c r="R40" i="4" s="1"/>
  <c r="P13" i="3"/>
  <c r="P14" i="3"/>
  <c r="P15" i="3"/>
  <c r="P16" i="3"/>
  <c r="P17" i="3"/>
  <c r="P18" i="3"/>
  <c r="P19" i="3"/>
  <c r="P23" i="3"/>
  <c r="P24" i="3"/>
  <c r="P25" i="3"/>
  <c r="P26" i="3"/>
  <c r="P28" i="3"/>
  <c r="P29" i="3"/>
  <c r="P30" i="3"/>
  <c r="P31" i="3"/>
  <c r="P33" i="3"/>
  <c r="P34" i="3"/>
  <c r="P35" i="3"/>
  <c r="P36" i="3"/>
  <c r="P38" i="3"/>
  <c r="P39" i="3"/>
  <c r="P40" i="3"/>
  <c r="P41" i="3"/>
  <c r="P42" i="3"/>
  <c r="P43" i="3"/>
  <c r="P44" i="3"/>
  <c r="E10" i="16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G47" i="9"/>
  <c r="G46" i="9"/>
  <c r="J31" i="4"/>
  <c r="L31" i="4" s="1"/>
  <c r="G36" i="9"/>
  <c r="G34" i="9"/>
  <c r="G35" i="9"/>
  <c r="O32" i="5"/>
  <c r="L32" i="5"/>
  <c r="S32" i="5" s="1"/>
  <c r="U12" i="5"/>
  <c r="Y12" i="5" s="1"/>
  <c r="U13" i="5"/>
  <c r="Y13" i="5" s="1"/>
  <c r="U14" i="5"/>
  <c r="Y14" i="5" s="1"/>
  <c r="W14" i="5" s="1"/>
  <c r="U15" i="5"/>
  <c r="Y15" i="5" s="1"/>
  <c r="W15" i="5" s="1"/>
  <c r="U16" i="5"/>
  <c r="Y16" i="5" s="1"/>
  <c r="W16" i="5" s="1"/>
  <c r="U17" i="5"/>
  <c r="Y17" i="5" s="1"/>
  <c r="W17" i="5" s="1"/>
  <c r="U18" i="5"/>
  <c r="Y18" i="5" s="1"/>
  <c r="U19" i="5"/>
  <c r="Y19" i="5" s="1"/>
  <c r="W19" i="5" s="1"/>
  <c r="U20" i="5"/>
  <c r="Y20" i="5" s="1"/>
  <c r="W20" i="5" s="1"/>
  <c r="U21" i="5"/>
  <c r="Y21" i="5" s="1"/>
  <c r="W21" i="5" s="1"/>
  <c r="U22" i="5"/>
  <c r="Y22" i="5" s="1"/>
  <c r="W22" i="5" s="1"/>
  <c r="U23" i="5"/>
  <c r="Y23" i="5" s="1"/>
  <c r="W23" i="5" s="1"/>
  <c r="U24" i="5"/>
  <c r="Y24" i="5" s="1"/>
  <c r="U25" i="5"/>
  <c r="Y25" i="5" s="1"/>
  <c r="W25" i="5" s="1"/>
  <c r="U26" i="5"/>
  <c r="Y26" i="5" s="1"/>
  <c r="W26" i="5" s="1"/>
  <c r="U27" i="5"/>
  <c r="Y27" i="5" s="1"/>
  <c r="W27" i="5" s="1"/>
  <c r="U28" i="5"/>
  <c r="Y28" i="5" s="1"/>
  <c r="W28" i="5" s="1"/>
  <c r="U29" i="5"/>
  <c r="Y29" i="5" s="1"/>
  <c r="W29" i="5" s="1"/>
  <c r="U30" i="5"/>
  <c r="Y30" i="5" s="1"/>
  <c r="W30" i="5" s="1"/>
  <c r="U31" i="5"/>
  <c r="Y31" i="5" s="1"/>
  <c r="W31" i="5" s="1"/>
  <c r="U32" i="5"/>
  <c r="Y32" i="5" s="1"/>
  <c r="W32" i="5" s="1"/>
  <c r="U33" i="5"/>
  <c r="Y33" i="5" s="1"/>
  <c r="W33" i="5" s="1"/>
  <c r="U34" i="5"/>
  <c r="Y34" i="5" s="1"/>
  <c r="W34" i="5" s="1"/>
  <c r="U35" i="5"/>
  <c r="Y35" i="5" s="1"/>
  <c r="W35" i="5" s="1"/>
  <c r="U36" i="5"/>
  <c r="Y36" i="5" s="1"/>
  <c r="U37" i="5"/>
  <c r="Y37" i="5" s="1"/>
  <c r="W37" i="5" s="1"/>
  <c r="U38" i="5"/>
  <c r="Y38" i="5" s="1"/>
  <c r="W38" i="5" s="1"/>
  <c r="U39" i="5"/>
  <c r="Y39" i="5" s="1"/>
  <c r="W39" i="5" s="1"/>
  <c r="U40" i="5"/>
  <c r="Y40" i="5" s="1"/>
  <c r="W40" i="5" s="1"/>
  <c r="L66" i="3"/>
  <c r="K66" i="3"/>
  <c r="K65" i="3"/>
  <c r="N31" i="4"/>
  <c r="R31" i="4" s="1"/>
  <c r="N32" i="4"/>
  <c r="R32" i="4" s="1"/>
  <c r="N33" i="4"/>
  <c r="R33" i="4" s="1"/>
  <c r="N34" i="4"/>
  <c r="R34" i="4" s="1"/>
  <c r="N35" i="4"/>
  <c r="R35" i="4" s="1"/>
  <c r="N36" i="4"/>
  <c r="N37" i="4"/>
  <c r="R37" i="4" s="1"/>
  <c r="N38" i="4"/>
  <c r="R38" i="4" s="1"/>
  <c r="N39" i="4"/>
  <c r="R39" i="4" s="1"/>
  <c r="N11" i="4"/>
  <c r="R11" i="4" s="1"/>
  <c r="N12" i="4"/>
  <c r="R12" i="4" s="1"/>
  <c r="P12" i="4" s="1"/>
  <c r="N13" i="4"/>
  <c r="R13" i="4" s="1"/>
  <c r="N14" i="4"/>
  <c r="R14" i="4" s="1"/>
  <c r="N15" i="4"/>
  <c r="R15" i="4" s="1"/>
  <c r="N16" i="4"/>
  <c r="R16" i="4" s="1"/>
  <c r="N17" i="4"/>
  <c r="R17" i="4" s="1"/>
  <c r="N18" i="4"/>
  <c r="R18" i="4" s="1"/>
  <c r="N19" i="4"/>
  <c r="R19" i="4" s="1"/>
  <c r="N20" i="4"/>
  <c r="R20" i="4" s="1"/>
  <c r="N21" i="4"/>
  <c r="R21" i="4" s="1"/>
  <c r="N22" i="4"/>
  <c r="R22" i="4" s="1"/>
  <c r="N23" i="4"/>
  <c r="R23" i="4" s="1"/>
  <c r="N24" i="4"/>
  <c r="R24" i="4" s="1"/>
  <c r="N25" i="4"/>
  <c r="R25" i="4" s="1"/>
  <c r="N26" i="4"/>
  <c r="R26" i="4" s="1"/>
  <c r="N27" i="4"/>
  <c r="R27" i="4" s="1"/>
  <c r="N28" i="4"/>
  <c r="R28" i="4" s="1"/>
  <c r="N29" i="4"/>
  <c r="R29" i="4" s="1"/>
  <c r="N30" i="4"/>
  <c r="R30" i="4" s="1"/>
  <c r="N10" i="4"/>
  <c r="R10" i="4" s="1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C7" i="6"/>
  <c r="G41" i="9"/>
  <c r="I41" i="9" s="1"/>
  <c r="C13" i="15"/>
  <c r="C23" i="15"/>
  <c r="E34" i="10"/>
  <c r="D34" i="10"/>
  <c r="G8" i="9"/>
  <c r="K36" i="5"/>
  <c r="G29" i="8"/>
  <c r="G16" i="8"/>
  <c r="G8" i="8"/>
  <c r="G9" i="8"/>
  <c r="C11" i="5"/>
  <c r="G48" i="9"/>
  <c r="G49" i="9"/>
  <c r="G50" i="9"/>
  <c r="R36" i="4"/>
  <c r="M45" i="3"/>
  <c r="M46" i="3"/>
  <c r="M47" i="3"/>
  <c r="M48" i="3"/>
  <c r="J39" i="4"/>
  <c r="D24" i="7"/>
  <c r="E24" i="7"/>
  <c r="F24" i="7"/>
  <c r="G24" i="7"/>
  <c r="H24" i="7"/>
  <c r="D35" i="4"/>
  <c r="E35" i="4"/>
  <c r="F35" i="4"/>
  <c r="G35" i="4"/>
  <c r="H35" i="4"/>
  <c r="I35" i="4"/>
  <c r="C35" i="4"/>
  <c r="D36" i="5"/>
  <c r="E36" i="5"/>
  <c r="C48" i="11" s="1"/>
  <c r="F36" i="5"/>
  <c r="C22" i="12" s="1"/>
  <c r="G36" i="5"/>
  <c r="H36" i="5"/>
  <c r="I36" i="5"/>
  <c r="J36" i="5"/>
  <c r="C36" i="5"/>
  <c r="D28" i="6"/>
  <c r="E28" i="6"/>
  <c r="F28" i="6"/>
  <c r="C28" i="6"/>
  <c r="L37" i="5"/>
  <c r="X37" i="5"/>
  <c r="L38" i="5"/>
  <c r="X38" i="5" s="1"/>
  <c r="L39" i="5"/>
  <c r="S39" i="5" s="1"/>
  <c r="J36" i="4"/>
  <c r="J37" i="4"/>
  <c r="L37" i="4" s="1"/>
  <c r="J38" i="4"/>
  <c r="L38" i="4" s="1"/>
  <c r="C23" i="12"/>
  <c r="C49" i="11"/>
  <c r="C49" i="10"/>
  <c r="O40" i="5"/>
  <c r="G19" i="7"/>
  <c r="H19" i="7"/>
  <c r="G8" i="7"/>
  <c r="H8" i="7"/>
  <c r="C47" i="10"/>
  <c r="C42" i="10"/>
  <c r="O23" i="5"/>
  <c r="L26" i="5"/>
  <c r="X26" i="5" s="1"/>
  <c r="L27" i="5"/>
  <c r="X27" i="5" s="1"/>
  <c r="L28" i="5"/>
  <c r="X28" i="5" s="1"/>
  <c r="L29" i="5"/>
  <c r="X29" i="5" s="1"/>
  <c r="L30" i="5"/>
  <c r="X30" i="5" s="1"/>
  <c r="L31" i="5"/>
  <c r="X31" i="5" s="1"/>
  <c r="L33" i="5"/>
  <c r="S33" i="5" s="1"/>
  <c r="L34" i="5"/>
  <c r="S34" i="5" s="1"/>
  <c r="L35" i="5"/>
  <c r="L25" i="5"/>
  <c r="X25" i="5" s="1"/>
  <c r="L13" i="5"/>
  <c r="L14" i="5"/>
  <c r="S14" i="5" s="1"/>
  <c r="L15" i="5"/>
  <c r="X15" i="5" s="1"/>
  <c r="L16" i="5"/>
  <c r="X16" i="5" s="1"/>
  <c r="L17" i="5"/>
  <c r="X17" i="5" s="1"/>
  <c r="L18" i="5"/>
  <c r="L19" i="5"/>
  <c r="X19" i="5" s="1"/>
  <c r="L20" i="5"/>
  <c r="L21" i="5"/>
  <c r="L22" i="5"/>
  <c r="L23" i="5"/>
  <c r="X23" i="5"/>
  <c r="L12" i="5"/>
  <c r="L40" i="5"/>
  <c r="D23" i="4"/>
  <c r="E23" i="4"/>
  <c r="F23" i="4"/>
  <c r="G23" i="4"/>
  <c r="H23" i="4"/>
  <c r="I23" i="4"/>
  <c r="C23" i="4"/>
  <c r="D10" i="4"/>
  <c r="E10" i="4"/>
  <c r="F10" i="4"/>
  <c r="G10" i="4"/>
  <c r="H10" i="4"/>
  <c r="I10" i="4"/>
  <c r="C10" i="4"/>
  <c r="O5" i="4" s="1"/>
  <c r="H49" i="3"/>
  <c r="K49" i="3" s="1"/>
  <c r="J34" i="4"/>
  <c r="J22" i="4"/>
  <c r="N23" i="5" s="1"/>
  <c r="O35" i="5"/>
  <c r="K11" i="5"/>
  <c r="K24" i="5"/>
  <c r="E11" i="3"/>
  <c r="E22" i="3"/>
  <c r="F22" i="3"/>
  <c r="L14" i="9"/>
  <c r="L13" i="9"/>
  <c r="L12" i="9"/>
  <c r="L78" i="3"/>
  <c r="M78" i="3" s="1"/>
  <c r="W78" i="3" s="1"/>
  <c r="K78" i="3"/>
  <c r="J24" i="4"/>
  <c r="L24" i="4" s="1"/>
  <c r="J25" i="4"/>
  <c r="L25" i="4" s="1"/>
  <c r="J26" i="4"/>
  <c r="L26" i="4" s="1"/>
  <c r="J27" i="4"/>
  <c r="J28" i="4"/>
  <c r="L28" i="4" s="1"/>
  <c r="J29" i="4"/>
  <c r="L29" i="4" s="1"/>
  <c r="J30" i="4"/>
  <c r="L30" i="4" s="1"/>
  <c r="J32" i="4"/>
  <c r="L32" i="4" s="1"/>
  <c r="J33" i="4"/>
  <c r="L33" i="4" s="1"/>
  <c r="J11" i="4"/>
  <c r="L11" i="4" s="1"/>
  <c r="J12" i="4"/>
  <c r="L12" i="4" s="1"/>
  <c r="J13" i="4"/>
  <c r="J14" i="4"/>
  <c r="L14" i="4" s="1"/>
  <c r="J15" i="4"/>
  <c r="N16" i="5" s="1"/>
  <c r="J16" i="4"/>
  <c r="N17" i="5" s="1"/>
  <c r="J17" i="4"/>
  <c r="L17" i="4" s="1"/>
  <c r="J18" i="4"/>
  <c r="L18" i="4" s="1"/>
  <c r="J19" i="4"/>
  <c r="L19" i="4" s="1"/>
  <c r="J20" i="4"/>
  <c r="L20" i="4" s="1"/>
  <c r="J21" i="4"/>
  <c r="N22" i="5" s="1"/>
  <c r="D11" i="5"/>
  <c r="E11" i="5"/>
  <c r="F11" i="5"/>
  <c r="G11" i="5"/>
  <c r="H11" i="5"/>
  <c r="I11" i="5"/>
  <c r="V5" i="5" s="1"/>
  <c r="J11" i="5"/>
  <c r="C24" i="5"/>
  <c r="D24" i="5"/>
  <c r="E24" i="5"/>
  <c r="F24" i="5"/>
  <c r="G24" i="5"/>
  <c r="H24" i="5"/>
  <c r="I24" i="5"/>
  <c r="J24" i="5"/>
  <c r="C11" i="3"/>
  <c r="C22" i="3"/>
  <c r="O14" i="5" s="1"/>
  <c r="C27" i="3"/>
  <c r="O16" i="5" s="1"/>
  <c r="C32" i="3"/>
  <c r="C37" i="3"/>
  <c r="C51" i="3"/>
  <c r="C58" i="3"/>
  <c r="K76" i="3"/>
  <c r="L73" i="3"/>
  <c r="M73" i="3" s="1"/>
  <c r="W73" i="3" s="1"/>
  <c r="O73" i="3" s="1"/>
  <c r="L72" i="3"/>
  <c r="M72" i="3" s="1"/>
  <c r="W72" i="3" s="1"/>
  <c r="L71" i="3"/>
  <c r="M71" i="3" s="1"/>
  <c r="W71" i="3" s="1"/>
  <c r="O71" i="3" s="1"/>
  <c r="K70" i="3"/>
  <c r="L67" i="3"/>
  <c r="M67" i="3" s="1"/>
  <c r="W67" i="3" s="1"/>
  <c r="O67" i="3" s="1"/>
  <c r="K61" i="3"/>
  <c r="L54" i="3"/>
  <c r="M54" i="3" s="1"/>
  <c r="W54" i="3" s="1"/>
  <c r="H16" i="3"/>
  <c r="K16" i="3" s="1"/>
  <c r="M16" i="3" s="1"/>
  <c r="W16" i="3" s="1"/>
  <c r="O16" i="3" s="1"/>
  <c r="H12" i="3"/>
  <c r="K12" i="3" s="1"/>
  <c r="M12" i="3" s="1"/>
  <c r="W12" i="3" s="1"/>
  <c r="O12" i="3" s="1"/>
  <c r="H13" i="3"/>
  <c r="K13" i="3" s="1"/>
  <c r="M13" i="3" s="1"/>
  <c r="W13" i="3" s="1"/>
  <c r="O13" i="3" s="1"/>
  <c r="H14" i="3"/>
  <c r="K14" i="3" s="1"/>
  <c r="H15" i="3"/>
  <c r="K15" i="3" s="1"/>
  <c r="M15" i="3" s="1"/>
  <c r="W15" i="3" s="1"/>
  <c r="O15" i="3" s="1"/>
  <c r="H17" i="3"/>
  <c r="K17" i="3" s="1"/>
  <c r="H18" i="3"/>
  <c r="K18" i="3" s="1"/>
  <c r="H19" i="3"/>
  <c r="K19" i="3" s="1"/>
  <c r="H23" i="3"/>
  <c r="H24" i="3"/>
  <c r="K24" i="3" s="1"/>
  <c r="H25" i="3"/>
  <c r="K25" i="3" s="1"/>
  <c r="M25" i="3" s="1"/>
  <c r="W25" i="3" s="1"/>
  <c r="H26" i="3"/>
  <c r="H28" i="3"/>
  <c r="K28" i="3" s="1"/>
  <c r="H29" i="3"/>
  <c r="K29" i="3" s="1"/>
  <c r="H30" i="3"/>
  <c r="K30" i="3" s="1"/>
  <c r="H31" i="3"/>
  <c r="H33" i="3"/>
  <c r="H34" i="3"/>
  <c r="K34" i="3" s="1"/>
  <c r="H35" i="3"/>
  <c r="K35" i="3" s="1"/>
  <c r="H36" i="3"/>
  <c r="H38" i="3"/>
  <c r="K38" i="3" s="1"/>
  <c r="H39" i="3"/>
  <c r="K39" i="3" s="1"/>
  <c r="H40" i="3"/>
  <c r="K40" i="3" s="1"/>
  <c r="H41" i="3"/>
  <c r="H42" i="3"/>
  <c r="K42" i="3" s="1"/>
  <c r="H43" i="3"/>
  <c r="K43" i="3" s="1"/>
  <c r="H44" i="3"/>
  <c r="L27" i="3"/>
  <c r="L42" i="3"/>
  <c r="M42" i="3" s="1"/>
  <c r="W42" i="3" s="1"/>
  <c r="O42" i="3" s="1"/>
  <c r="L28" i="3"/>
  <c r="M28" i="3" s="1"/>
  <c r="W28" i="3" s="1"/>
  <c r="O28" i="3" s="1"/>
  <c r="M14" i="3"/>
  <c r="W14" i="3" s="1"/>
  <c r="O14" i="3" s="1"/>
  <c r="D19" i="6"/>
  <c r="D40" i="6" s="1"/>
  <c r="C19" i="6"/>
  <c r="C40" i="6" s="1"/>
  <c r="E19" i="6"/>
  <c r="E33" i="6" s="1"/>
  <c r="F19" i="6"/>
  <c r="F40" i="6" s="1"/>
  <c r="D7" i="6"/>
  <c r="D33" i="6" s="1"/>
  <c r="E7" i="6"/>
  <c r="E39" i="6" s="1"/>
  <c r="F7" i="6"/>
  <c r="G35" i="8"/>
  <c r="G34" i="8"/>
  <c r="G31" i="8"/>
  <c r="G30" i="8"/>
  <c r="G28" i="8"/>
  <c r="G27" i="8"/>
  <c r="G26" i="8"/>
  <c r="G25" i="8"/>
  <c r="G24" i="8"/>
  <c r="G23" i="8"/>
  <c r="G22" i="8"/>
  <c r="G21" i="8"/>
  <c r="G20" i="8"/>
  <c r="G19" i="8"/>
  <c r="G18" i="8"/>
  <c r="G17" i="8"/>
  <c r="G14" i="8"/>
  <c r="G13" i="8"/>
  <c r="G12" i="8"/>
  <c r="G10" i="8"/>
  <c r="G15" i="8"/>
  <c r="G33" i="9"/>
  <c r="G38" i="9"/>
  <c r="G39" i="9"/>
  <c r="G40" i="9"/>
  <c r="G42" i="9"/>
  <c r="G43" i="9"/>
  <c r="G44" i="9"/>
  <c r="G45" i="9"/>
  <c r="G51" i="9"/>
  <c r="G52" i="9"/>
  <c r="G9" i="9"/>
  <c r="G10" i="9"/>
  <c r="G11" i="9"/>
  <c r="G12" i="9"/>
  <c r="G13" i="9"/>
  <c r="G14" i="9"/>
  <c r="G15" i="9"/>
  <c r="G16" i="9"/>
  <c r="G19" i="9"/>
  <c r="G20" i="9"/>
  <c r="I20" i="9" s="1"/>
  <c r="G21" i="9"/>
  <c r="G24" i="9"/>
  <c r="I24" i="9" s="1"/>
  <c r="G25" i="9"/>
  <c r="G26" i="9"/>
  <c r="G29" i="9"/>
  <c r="I29" i="9" s="1"/>
  <c r="G30" i="9"/>
  <c r="G31" i="9"/>
  <c r="G32" i="9"/>
  <c r="C40" i="10"/>
  <c r="C38" i="10"/>
  <c r="C37" i="10"/>
  <c r="C37" i="11"/>
  <c r="C12" i="15"/>
  <c r="P13" i="15"/>
  <c r="C12" i="12"/>
  <c r="C13" i="12"/>
  <c r="C14" i="12"/>
  <c r="C15" i="12"/>
  <c r="C11" i="12"/>
  <c r="D10" i="12"/>
  <c r="E10" i="12"/>
  <c r="F10" i="12"/>
  <c r="G10" i="12"/>
  <c r="H10" i="12"/>
  <c r="I10" i="12"/>
  <c r="J10" i="12"/>
  <c r="K10" i="12"/>
  <c r="L10" i="12"/>
  <c r="C17" i="12"/>
  <c r="C19" i="12"/>
  <c r="C20" i="12"/>
  <c r="D16" i="12"/>
  <c r="E16" i="12"/>
  <c r="E24" i="12" s="1"/>
  <c r="F16" i="12"/>
  <c r="G16" i="12"/>
  <c r="H16" i="12"/>
  <c r="I16" i="12"/>
  <c r="I24" i="12" s="1"/>
  <c r="J16" i="12"/>
  <c r="K16" i="12"/>
  <c r="L16" i="12"/>
  <c r="C21" i="12"/>
  <c r="C10" i="11"/>
  <c r="D10" i="11"/>
  <c r="E10" i="11"/>
  <c r="F10" i="11"/>
  <c r="G10" i="11"/>
  <c r="H10" i="11"/>
  <c r="I10" i="11"/>
  <c r="J10" i="11"/>
  <c r="K10" i="11"/>
  <c r="L10" i="11"/>
  <c r="C17" i="11"/>
  <c r="C19" i="11"/>
  <c r="D19" i="11"/>
  <c r="E19" i="11"/>
  <c r="F19" i="11"/>
  <c r="G19" i="11"/>
  <c r="H19" i="11"/>
  <c r="I19" i="11"/>
  <c r="J19" i="11"/>
  <c r="K19" i="11"/>
  <c r="L19" i="11"/>
  <c r="C23" i="11"/>
  <c r="C24" i="11"/>
  <c r="D24" i="11"/>
  <c r="E24" i="11"/>
  <c r="F24" i="11"/>
  <c r="G24" i="11"/>
  <c r="H24" i="11"/>
  <c r="I24" i="11"/>
  <c r="J24" i="11"/>
  <c r="K24" i="11"/>
  <c r="L24" i="11"/>
  <c r="C28" i="11"/>
  <c r="C29" i="11"/>
  <c r="D29" i="11"/>
  <c r="E29" i="11"/>
  <c r="F29" i="11"/>
  <c r="G29" i="11"/>
  <c r="H29" i="11"/>
  <c r="I29" i="11"/>
  <c r="J29" i="11"/>
  <c r="K29" i="11"/>
  <c r="L29" i="11"/>
  <c r="C34" i="11"/>
  <c r="D34" i="11"/>
  <c r="E34" i="11"/>
  <c r="F34" i="11"/>
  <c r="G34" i="11"/>
  <c r="H34" i="11"/>
  <c r="I34" i="11"/>
  <c r="J34" i="11"/>
  <c r="K34" i="11"/>
  <c r="L34" i="11"/>
  <c r="C38" i="11"/>
  <c r="C40" i="11"/>
  <c r="C42" i="11"/>
  <c r="C43" i="11"/>
  <c r="C44" i="11"/>
  <c r="C45" i="11"/>
  <c r="C46" i="11"/>
  <c r="C47" i="11"/>
  <c r="E10" i="10"/>
  <c r="F10" i="10"/>
  <c r="G10" i="10"/>
  <c r="H10" i="10"/>
  <c r="I10" i="10"/>
  <c r="J10" i="10"/>
  <c r="K10" i="10"/>
  <c r="L10" i="10"/>
  <c r="C19" i="10"/>
  <c r="D19" i="10"/>
  <c r="E19" i="10"/>
  <c r="F19" i="10"/>
  <c r="G19" i="10"/>
  <c r="H19" i="10"/>
  <c r="I19" i="10"/>
  <c r="J19" i="10"/>
  <c r="K19" i="10"/>
  <c r="L19" i="10"/>
  <c r="C23" i="10"/>
  <c r="C24" i="10"/>
  <c r="D24" i="10"/>
  <c r="E24" i="10"/>
  <c r="F24" i="10"/>
  <c r="G24" i="10"/>
  <c r="H24" i="10"/>
  <c r="I24" i="10"/>
  <c r="J24" i="10"/>
  <c r="K24" i="10"/>
  <c r="L24" i="10"/>
  <c r="C28" i="10"/>
  <c r="C29" i="10"/>
  <c r="D29" i="10"/>
  <c r="E29" i="10"/>
  <c r="F29" i="10"/>
  <c r="G29" i="10"/>
  <c r="H29" i="10"/>
  <c r="I29" i="10"/>
  <c r="J29" i="10"/>
  <c r="K29" i="10"/>
  <c r="L29" i="10"/>
  <c r="C34" i="10"/>
  <c r="F34" i="10"/>
  <c r="G34" i="10"/>
  <c r="H34" i="10"/>
  <c r="I34" i="10"/>
  <c r="J34" i="10"/>
  <c r="K34" i="10"/>
  <c r="L34" i="10"/>
  <c r="C43" i="10"/>
  <c r="C44" i="10"/>
  <c r="C45" i="10"/>
  <c r="C46" i="10"/>
  <c r="C18" i="9"/>
  <c r="G18" i="9"/>
  <c r="G37" i="9"/>
  <c r="G36" i="8"/>
  <c r="C8" i="7"/>
  <c r="D8" i="7"/>
  <c r="E8" i="7"/>
  <c r="F8" i="7"/>
  <c r="C19" i="7"/>
  <c r="D19" i="7"/>
  <c r="F19" i="7"/>
  <c r="O18" i="5"/>
  <c r="O13" i="5"/>
  <c r="O15" i="5"/>
  <c r="O17" i="5"/>
  <c r="O20" i="5"/>
  <c r="O21" i="5"/>
  <c r="O22" i="5"/>
  <c r="O26" i="5"/>
  <c r="O27" i="5"/>
  <c r="O28" i="5"/>
  <c r="O31" i="5"/>
  <c r="O34" i="5"/>
  <c r="D46" i="4"/>
  <c r="E46" i="4"/>
  <c r="F46" i="4"/>
  <c r="H46" i="4"/>
  <c r="F11" i="3"/>
  <c r="E27" i="3"/>
  <c r="F27" i="3"/>
  <c r="E32" i="3"/>
  <c r="F32" i="3"/>
  <c r="E37" i="3"/>
  <c r="F37" i="3"/>
  <c r="G11" i="8"/>
  <c r="L39" i="3"/>
  <c r="M39" i="3" s="1"/>
  <c r="W39" i="3" s="1"/>
  <c r="O39" i="3" s="1"/>
  <c r="L35" i="3"/>
  <c r="L61" i="3"/>
  <c r="M61" i="3" s="1"/>
  <c r="M18" i="3"/>
  <c r="W18" i="3" s="1"/>
  <c r="L36" i="3"/>
  <c r="L40" i="3"/>
  <c r="L52" i="3"/>
  <c r="M52" i="3" s="1"/>
  <c r="W52" i="3" s="1"/>
  <c r="K55" i="3"/>
  <c r="L60" i="3"/>
  <c r="M60" i="3" s="1"/>
  <c r="W60" i="3" s="1"/>
  <c r="O60" i="3" s="1"/>
  <c r="L64" i="3"/>
  <c r="M64" i="3" s="1"/>
  <c r="W64" i="3" s="1"/>
  <c r="L69" i="3"/>
  <c r="M69" i="3" s="1"/>
  <c r="W69" i="3" s="1"/>
  <c r="O69" i="3" s="1"/>
  <c r="K71" i="3"/>
  <c r="L80" i="3"/>
  <c r="M80" i="3" s="1"/>
  <c r="W80" i="3" s="1"/>
  <c r="L22" i="3"/>
  <c r="L26" i="3"/>
  <c r="L34" i="3"/>
  <c r="M34" i="3" s="1"/>
  <c r="W34" i="3" s="1"/>
  <c r="O34" i="3" s="1"/>
  <c r="L44" i="3"/>
  <c r="L24" i="3"/>
  <c r="L32" i="3"/>
  <c r="L38" i="3"/>
  <c r="M38" i="3" s="1"/>
  <c r="W38" i="3" s="1"/>
  <c r="O38" i="3" s="1"/>
  <c r="L58" i="3"/>
  <c r="M58" i="3" s="1"/>
  <c r="W58" i="3" s="1"/>
  <c r="L34" i="4"/>
  <c r="L49" i="3"/>
  <c r="M49" i="3" s="1"/>
  <c r="W49" i="3" s="1"/>
  <c r="L50" i="3"/>
  <c r="M50" i="3" s="1"/>
  <c r="W50" i="3" s="1"/>
  <c r="L29" i="3"/>
  <c r="L41" i="3"/>
  <c r="M41" i="3" s="1"/>
  <c r="W41" i="3" s="1"/>
  <c r="L59" i="3"/>
  <c r="M59" i="3" s="1"/>
  <c r="W59" i="3" s="1"/>
  <c r="O59" i="3" s="1"/>
  <c r="L65" i="3"/>
  <c r="M65" i="3" s="1"/>
  <c r="W65" i="3" s="1"/>
  <c r="L68" i="3"/>
  <c r="M68" i="3" s="1"/>
  <c r="W68" i="3" s="1"/>
  <c r="L76" i="3"/>
  <c r="M76" i="3" s="1"/>
  <c r="W76" i="3" s="1"/>
  <c r="K26" i="3"/>
  <c r="L23" i="3"/>
  <c r="L31" i="3"/>
  <c r="L33" i="3"/>
  <c r="M33" i="3" s="1"/>
  <c r="W33" i="3" s="1"/>
  <c r="O33" i="3" s="1"/>
  <c r="L37" i="3"/>
  <c r="L43" i="3"/>
  <c r="M43" i="3" s="1"/>
  <c r="W43" i="3" s="1"/>
  <c r="L53" i="3"/>
  <c r="M53" i="3" s="1"/>
  <c r="W53" i="3" s="1"/>
  <c r="L55" i="3"/>
  <c r="L70" i="3"/>
  <c r="M70" i="3" s="1"/>
  <c r="W70" i="3" s="1"/>
  <c r="O70" i="3" s="1"/>
  <c r="K41" i="3"/>
  <c r="K52" i="3"/>
  <c r="K72" i="3"/>
  <c r="K67" i="3"/>
  <c r="K59" i="3"/>
  <c r="K54" i="3"/>
  <c r="K31" i="3"/>
  <c r="L51" i="3"/>
  <c r="M51" i="3" s="1"/>
  <c r="W51" i="3" s="1"/>
  <c r="K53" i="3"/>
  <c r="K60" i="3"/>
  <c r="K69" i="3"/>
  <c r="K73" i="3"/>
  <c r="M19" i="3"/>
  <c r="W19" i="3" s="1"/>
  <c r="O19" i="3" s="1"/>
  <c r="F39" i="6"/>
  <c r="F24" i="12"/>
  <c r="E50" i="11"/>
  <c r="L22" i="4"/>
  <c r="S16" i="5"/>
  <c r="I50" i="11"/>
  <c r="D50" i="11"/>
  <c r="N33" i="5"/>
  <c r="S23" i="5"/>
  <c r="S29" i="5"/>
  <c r="N25" i="5"/>
  <c r="S22" i="5"/>
  <c r="N29" i="5"/>
  <c r="K64" i="3"/>
  <c r="O30" i="5"/>
  <c r="K33" i="3"/>
  <c r="K23" i="3"/>
  <c r="K68" i="3"/>
  <c r="S38" i="5"/>
  <c r="L36" i="4"/>
  <c r="S35" i="5"/>
  <c r="X34" i="5"/>
  <c r="X33" i="5"/>
  <c r="S26" i="5"/>
  <c r="S25" i="5"/>
  <c r="L27" i="4"/>
  <c r="L16" i="4"/>
  <c r="H28" i="7"/>
  <c r="F33" i="6"/>
  <c r="N37" i="5"/>
  <c r="S37" i="5"/>
  <c r="R16" i="5"/>
  <c r="H49" i="5" l="1"/>
  <c r="H50" i="5" s="1"/>
  <c r="X18" i="5"/>
  <c r="R18" i="5"/>
  <c r="X13" i="5"/>
  <c r="R13" i="5"/>
  <c r="C39" i="6"/>
  <c r="R12" i="5"/>
  <c r="E50" i="10"/>
  <c r="P11" i="4"/>
  <c r="C41" i="5"/>
  <c r="E9" i="9" s="1"/>
  <c r="S12" i="5"/>
  <c r="W12" i="5" s="1"/>
  <c r="F50" i="10"/>
  <c r="H24" i="12"/>
  <c r="E40" i="6"/>
  <c r="J23" i="4"/>
  <c r="G24" i="12"/>
  <c r="J24" i="12"/>
  <c r="J41" i="5"/>
  <c r="L42" i="5" s="1"/>
  <c r="I40" i="4"/>
  <c r="D82" i="3" s="1"/>
  <c r="F82" i="3" s="1"/>
  <c r="I41" i="5"/>
  <c r="E51" i="9" s="1"/>
  <c r="H40" i="4"/>
  <c r="E34" i="8" s="1"/>
  <c r="F28" i="7"/>
  <c r="F32" i="7" s="1"/>
  <c r="H50" i="10"/>
  <c r="L24" i="12"/>
  <c r="D24" i="12"/>
  <c r="H41" i="5"/>
  <c r="K50" i="11"/>
  <c r="K24" i="12"/>
  <c r="D39" i="6"/>
  <c r="F40" i="4"/>
  <c r="X21" i="5"/>
  <c r="E40" i="4"/>
  <c r="E20" i="8" s="1"/>
  <c r="G40" i="4"/>
  <c r="C11" i="15" s="1"/>
  <c r="J10" i="4"/>
  <c r="L10" i="4" s="1"/>
  <c r="X35" i="5"/>
  <c r="S17" i="5"/>
  <c r="X32" i="5"/>
  <c r="K41" i="5"/>
  <c r="L43" i="5" s="1"/>
  <c r="N35" i="5"/>
  <c r="S28" i="5"/>
  <c r="C10" i="12"/>
  <c r="C16" i="12"/>
  <c r="S18" i="5"/>
  <c r="W18" i="5" s="1"/>
  <c r="N14" i="5"/>
  <c r="P14" i="5" s="1"/>
  <c r="N38" i="5"/>
  <c r="D50" i="10"/>
  <c r="G41" i="5"/>
  <c r="K50" i="10"/>
  <c r="L39" i="4"/>
  <c r="D41" i="7"/>
  <c r="D40" i="7"/>
  <c r="D39" i="7"/>
  <c r="M40" i="3"/>
  <c r="W40" i="3" s="1"/>
  <c r="M35" i="3"/>
  <c r="W35" i="3" s="1"/>
  <c r="O35" i="3" s="1"/>
  <c r="M26" i="3"/>
  <c r="W26" i="3" s="1"/>
  <c r="O26" i="3" s="1"/>
  <c r="X14" i="5"/>
  <c r="L21" i="4"/>
  <c r="L15" i="4"/>
  <c r="C40" i="4"/>
  <c r="E8" i="8" s="1"/>
  <c r="P35" i="5"/>
  <c r="K51" i="3"/>
  <c r="N56" i="3"/>
  <c r="M23" i="3"/>
  <c r="W23" i="3" s="1"/>
  <c r="O23" i="3" s="1"/>
  <c r="M31" i="3"/>
  <c r="W31" i="3" s="1"/>
  <c r="M17" i="3"/>
  <c r="W17" i="3" s="1"/>
  <c r="N40" i="5"/>
  <c r="P40" i="5" s="1"/>
  <c r="D41" i="5"/>
  <c r="E11" i="9" s="1"/>
  <c r="X39" i="5"/>
  <c r="F41" i="5"/>
  <c r="E33" i="9" s="1"/>
  <c r="E41" i="5"/>
  <c r="C50" i="11" s="1"/>
  <c r="D51" i="11" s="1"/>
  <c r="D53" i="11" s="1"/>
  <c r="S36" i="5"/>
  <c r="C48" i="10"/>
  <c r="D40" i="4"/>
  <c r="E18" i="8" s="1"/>
  <c r="C22" i="15"/>
  <c r="X40" i="5"/>
  <c r="S40" i="5"/>
  <c r="E47" i="4"/>
  <c r="E24" i="8"/>
  <c r="N39" i="5"/>
  <c r="H47" i="4"/>
  <c r="A2" i="16"/>
  <c r="C2" i="16" s="1"/>
  <c r="P22" i="5"/>
  <c r="P23" i="5"/>
  <c r="O25" i="5"/>
  <c r="P25" i="5" s="1"/>
  <c r="X12" i="5"/>
  <c r="L36" i="5"/>
  <c r="A3" i="16"/>
  <c r="C3" i="16" s="1"/>
  <c r="P16" i="5"/>
  <c r="N13" i="5"/>
  <c r="P13" i="5" s="1"/>
  <c r="C53" i="9"/>
  <c r="I50" i="10"/>
  <c r="J50" i="11"/>
  <c r="N26" i="5"/>
  <c r="P26" i="5" s="1"/>
  <c r="N18" i="5"/>
  <c r="P18" i="5" s="1"/>
  <c r="S19" i="5"/>
  <c r="M55" i="3"/>
  <c r="W55" i="3" s="1"/>
  <c r="O55" i="3" s="1"/>
  <c r="M30" i="3"/>
  <c r="W30" i="3" s="1"/>
  <c r="L50" i="10"/>
  <c r="H50" i="11"/>
  <c r="L50" i="11"/>
  <c r="N20" i="5"/>
  <c r="P20" i="5" s="1"/>
  <c r="S27" i="5"/>
  <c r="S13" i="5"/>
  <c r="W13" i="5" s="1"/>
  <c r="S15" i="5"/>
  <c r="N21" i="5"/>
  <c r="P21" i="5" s="1"/>
  <c r="S21" i="5"/>
  <c r="M29" i="3"/>
  <c r="W29" i="3" s="1"/>
  <c r="O29" i="3" s="1"/>
  <c r="N19" i="5"/>
  <c r="M24" i="3"/>
  <c r="W24" i="3" s="1"/>
  <c r="O24" i="3" s="1"/>
  <c r="N28" i="5"/>
  <c r="P28" i="5" s="1"/>
  <c r="G28" i="7"/>
  <c r="C46" i="4"/>
  <c r="C36" i="8"/>
  <c r="G46" i="4"/>
  <c r="S20" i="5"/>
  <c r="X20" i="5"/>
  <c r="L24" i="5"/>
  <c r="X24" i="5" s="1"/>
  <c r="R24" i="5"/>
  <c r="S30" i="5"/>
  <c r="S24" i="5" s="1"/>
  <c r="S31" i="5"/>
  <c r="N34" i="5"/>
  <c r="P34" i="5" s="1"/>
  <c r="N15" i="5"/>
  <c r="P15" i="5" s="1"/>
  <c r="J35" i="4"/>
  <c r="L35" i="4" s="1"/>
  <c r="L13" i="4"/>
  <c r="N12" i="5"/>
  <c r="N31" i="5"/>
  <c r="P31" i="5" s="1"/>
  <c r="N32" i="5"/>
  <c r="P32" i="5" s="1"/>
  <c r="N27" i="5"/>
  <c r="P27" i="5" s="1"/>
  <c r="N30" i="5"/>
  <c r="P30" i="5" s="1"/>
  <c r="H27" i="3"/>
  <c r="K27" i="3" s="1"/>
  <c r="M27" i="3" s="1"/>
  <c r="W27" i="3" s="1"/>
  <c r="O19" i="5"/>
  <c r="N44" i="3"/>
  <c r="C10" i="3"/>
  <c r="L23" i="4"/>
  <c r="H37" i="3"/>
  <c r="K37" i="3" s="1"/>
  <c r="M37" i="3" s="1"/>
  <c r="W37" i="3" s="1"/>
  <c r="H22" i="3"/>
  <c r="K22" i="3" s="1"/>
  <c r="M22" i="3" s="1"/>
  <c r="W22" i="3" s="1"/>
  <c r="E10" i="3"/>
  <c r="N5" i="3" s="1"/>
  <c r="H11" i="3"/>
  <c r="K11" i="3" s="1"/>
  <c r="M11" i="3" s="1"/>
  <c r="W11" i="3" s="1"/>
  <c r="O33" i="5"/>
  <c r="P33" i="5" s="1"/>
  <c r="N73" i="3"/>
  <c r="K44" i="3"/>
  <c r="M44" i="3" s="1"/>
  <c r="W44" i="3" s="1"/>
  <c r="O44" i="3" s="1"/>
  <c r="C80" i="3"/>
  <c r="O41" i="5" s="1"/>
  <c r="W61" i="3"/>
  <c r="O61" i="3" s="1"/>
  <c r="W66" i="3"/>
  <c r="K58" i="3"/>
  <c r="N61" i="3"/>
  <c r="O12" i="5"/>
  <c r="N19" i="3"/>
  <c r="C50" i="5"/>
  <c r="D28" i="7"/>
  <c r="C33" i="6"/>
  <c r="C50" i="3"/>
  <c r="K50" i="3" s="1"/>
  <c r="H32" i="3"/>
  <c r="K32" i="3" s="1"/>
  <c r="M32" i="3" s="1"/>
  <c r="W32" i="3" s="1"/>
  <c r="P17" i="5"/>
  <c r="F10" i="3"/>
  <c r="F47" i="3" s="1"/>
  <c r="E26" i="9" s="1"/>
  <c r="O29" i="5"/>
  <c r="C10" i="15"/>
  <c r="G50" i="11"/>
  <c r="G50" i="10"/>
  <c r="F50" i="11"/>
  <c r="E28" i="7"/>
  <c r="E32" i="7" s="1"/>
  <c r="J50" i="10"/>
  <c r="K36" i="3"/>
  <c r="M36" i="3" s="1"/>
  <c r="W36" i="3" s="1"/>
  <c r="O36" i="3" s="1"/>
  <c r="X22" i="5"/>
  <c r="L11" i="5"/>
  <c r="I50" i="5" l="1"/>
  <c r="E47" i="3"/>
  <c r="E25" i="9" s="1"/>
  <c r="I25" i="9" s="1"/>
  <c r="S11" i="5"/>
  <c r="J41" i="4"/>
  <c r="D32" i="7"/>
  <c r="N50" i="5"/>
  <c r="A9" i="16" s="1"/>
  <c r="C9" i="16" s="1"/>
  <c r="C21" i="15"/>
  <c r="G47" i="4"/>
  <c r="C24" i="12"/>
  <c r="F25" i="12" s="1"/>
  <c r="F27" i="12" s="1"/>
  <c r="F50" i="5"/>
  <c r="R11" i="5"/>
  <c r="R41" i="5" s="1"/>
  <c r="P19" i="5"/>
  <c r="N11" i="5"/>
  <c r="D47" i="4"/>
  <c r="L47" i="4"/>
  <c r="C50" i="10"/>
  <c r="K51" i="10" s="1"/>
  <c r="K53" i="10" s="1"/>
  <c r="E51" i="11"/>
  <c r="E53" i="11" s="1"/>
  <c r="G51" i="11"/>
  <c r="G53" i="11" s="1"/>
  <c r="J51" i="11"/>
  <c r="J53" i="11" s="1"/>
  <c r="H51" i="11"/>
  <c r="H53" i="11" s="1"/>
  <c r="I51" i="11"/>
  <c r="I53" i="11" s="1"/>
  <c r="K51" i="11"/>
  <c r="K53" i="11" s="1"/>
  <c r="L51" i="11"/>
  <c r="L53" i="11" s="1"/>
  <c r="F51" i="11"/>
  <c r="F53" i="11" s="1"/>
  <c r="E19" i="9"/>
  <c r="E50" i="5"/>
  <c r="X36" i="5"/>
  <c r="D50" i="5"/>
  <c r="N36" i="5"/>
  <c r="J40" i="4"/>
  <c r="L40" i="4" s="1"/>
  <c r="C47" i="4"/>
  <c r="N24" i="5"/>
  <c r="P12" i="5"/>
  <c r="F47" i="4"/>
  <c r="E23" i="8"/>
  <c r="O11" i="5"/>
  <c r="K80" i="3"/>
  <c r="H10" i="3"/>
  <c r="K10" i="3" s="1"/>
  <c r="W10" i="3" s="1"/>
  <c r="C84" i="3"/>
  <c r="F84" i="3" s="1"/>
  <c r="P29" i="5"/>
  <c r="O24" i="5"/>
  <c r="L41" i="5"/>
  <c r="X11" i="5"/>
  <c r="C20" i="15"/>
  <c r="H51" i="10" l="1"/>
  <c r="H53" i="10" s="1"/>
  <c r="D51" i="10"/>
  <c r="D53" i="10" s="1"/>
  <c r="E25" i="12"/>
  <c r="E27" i="12" s="1"/>
  <c r="L51" i="10"/>
  <c r="L53" i="10" s="1"/>
  <c r="I51" i="10"/>
  <c r="I53" i="10" s="1"/>
  <c r="F51" i="10"/>
  <c r="F53" i="10" s="1"/>
  <c r="J51" i="10"/>
  <c r="J53" i="10" s="1"/>
  <c r="E51" i="10"/>
  <c r="E53" i="10" s="1"/>
  <c r="G51" i="10"/>
  <c r="G53" i="10" s="1"/>
  <c r="L25" i="12"/>
  <c r="L27" i="12" s="1"/>
  <c r="K25" i="12"/>
  <c r="K27" i="12" s="1"/>
  <c r="D25" i="12"/>
  <c r="D27" i="12" s="1"/>
  <c r="J25" i="12"/>
  <c r="J27" i="12" s="1"/>
  <c r="G25" i="12"/>
  <c r="G27" i="12" s="1"/>
  <c r="I25" i="12"/>
  <c r="I27" i="12" s="1"/>
  <c r="H25" i="12"/>
  <c r="H27" i="12" s="1"/>
  <c r="E78" i="3"/>
  <c r="A5" i="16" s="1"/>
  <c r="C5" i="16" s="1"/>
  <c r="A4" i="16"/>
  <c r="C4" i="16" s="1"/>
  <c r="P11" i="5"/>
  <c r="A7" i="16"/>
  <c r="C7" i="16" s="1"/>
  <c r="J42" i="4"/>
  <c r="L50" i="4" s="1"/>
  <c r="P24" i="5"/>
  <c r="L45" i="5"/>
  <c r="N53" i="5" s="1"/>
  <c r="X41" i="5"/>
  <c r="N41" i="5"/>
  <c r="P41" i="5" s="1"/>
  <c r="S41" i="5"/>
  <c r="W11" i="5" l="1"/>
  <c r="E36" i="8"/>
  <c r="J50" i="4"/>
  <c r="L49" i="5"/>
  <c r="N49" i="5" s="1"/>
  <c r="L53" i="5"/>
  <c r="A8" i="16" s="1"/>
  <c r="C8" i="16" s="1"/>
  <c r="E53" i="9"/>
  <c r="A6" i="16" l="1"/>
  <c r="C6" i="16" s="1"/>
  <c r="C24" i="7" l="1"/>
  <c r="C28" i="7" s="1"/>
  <c r="C36" i="7" l="1"/>
  <c r="A10" i="16"/>
  <c r="C1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SCB</author>
    <author>Henrik Mundt</author>
    <author>Leonardsson Monica NR/OEM-Ö</author>
    <author>scbkaah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1" shapeId="0" xr:uid="{00000000-0006-0000-0100-000002000000}">
      <text>
        <r>
          <rPr>
            <sz val="10"/>
            <color indexed="81"/>
            <rFont val="Verdana"/>
            <family val="2"/>
          </rPr>
          <t>Avser folkmängden den 31 december bokslutsåret. Uppgifterna hämtas från SCB:s befolkningsstatistik.</t>
        </r>
      </text>
    </comment>
    <comment ref="F8" authorId="1" shapeId="0" xr:uid="{00000000-0006-0000-0100-000003000000}">
      <text>
        <r>
          <rPr>
            <sz val="10"/>
            <color indexed="81"/>
            <rFont val="Verdana"/>
            <family val="2"/>
          </rPr>
          <t>Dra av läkemedelsrabatten. Beloppet ska netto-redovisas.</t>
        </r>
      </text>
    </comment>
    <comment ref="O8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O17" authorId="3" shapeId="0" xr:uid="{00000000-0006-0000-0100-000005000000}">
      <text>
        <r>
          <rPr>
            <sz val="10"/>
            <color indexed="81"/>
            <rFont val="Verdana"/>
            <family val="2"/>
          </rPr>
          <t>Kostnader för hemsjukvård bör inte öka. 
Detta eftersom ansvaret för hemsjukvården mer och mer förs över till kommunerna.</t>
        </r>
      </text>
    </comment>
    <comment ref="B19" authorId="3" shapeId="0" xr:uid="{00000000-0006-0000-0100-000006000000}">
      <text>
        <r>
          <rPr>
            <sz val="10"/>
            <color indexed="81"/>
            <rFont val="Verdana"/>
            <family val="2"/>
          </rPr>
          <t>Stora belopp på Övrig primärvård ska specificeras i kommentarsrutan till höger.</t>
        </r>
      </text>
    </comment>
    <comment ref="O25" authorId="3" shapeId="0" xr:uid="{00000000-0006-0000-0100-000007000000}">
      <text>
        <r>
          <rPr>
            <sz val="10"/>
            <color indexed="81"/>
            <rFont val="Verdana"/>
            <family val="2"/>
          </rPr>
          <t>Kostnader för hemsjukvård bör inte öka. 
Detta eftersom ansvaret för hemsjukvården mer och mer förs över till kommunerna.</t>
        </r>
      </text>
    </comment>
    <comment ref="O30" authorId="3" shapeId="0" xr:uid="{00000000-0006-0000-0100-000008000000}">
      <text>
        <r>
          <rPr>
            <sz val="10"/>
            <color indexed="81"/>
            <rFont val="Verdana"/>
            <family val="2"/>
          </rPr>
          <t>Kostnader för hemsjukvård bör inte öka. 
Detta eftersom ansvaret för hemsjukvården mer och mer förs över till kommunerna.</t>
        </r>
      </text>
    </comment>
    <comment ref="B44" authorId="3" shapeId="0" xr:uid="{00000000-0006-0000-0100-000009000000}">
      <text>
        <r>
          <rPr>
            <sz val="10"/>
            <color indexed="81"/>
            <rFont val="Verdana"/>
            <family val="2"/>
          </rPr>
          <t>Stora belopp på Övrigt ska specificeras i kommentarsrutan till höger.</t>
        </r>
      </text>
    </comment>
    <comment ref="B55" authorId="3" shapeId="0" xr:uid="{00000000-0006-0000-0100-00000A000000}">
      <text>
        <r>
          <rPr>
            <sz val="10"/>
            <color indexed="81"/>
            <rFont val="Verdana"/>
            <family val="2"/>
          </rPr>
          <t>Stora belopp på Övrig utbildningsverksamhet ska specificeras i kommentarsrutan till höger.</t>
        </r>
      </text>
    </comment>
    <comment ref="B61" authorId="3" shapeId="0" xr:uid="{00000000-0006-0000-0100-00000B000000}">
      <text>
        <r>
          <rPr>
            <sz val="10"/>
            <color indexed="81"/>
            <rFont val="Verdana"/>
            <family val="2"/>
          </rPr>
          <t>Stora belopp på Övrig kulturverksamhet ska specificeras i kommentarsrutan till höger.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3" authorId="3" shapeId="0" xr:uid="{00000000-0006-0000-0100-00000C000000}">
      <text>
        <r>
          <rPr>
            <sz val="10"/>
            <color indexed="81"/>
            <rFont val="Verdana"/>
            <family val="2"/>
          </rPr>
          <t>Stora belopp på Övrig allmän regional utveckling ska specificeras i kommentarsrutan till höger.</t>
        </r>
      </text>
    </comment>
    <comment ref="B78" authorId="4" shapeId="0" xr:uid="{00000000-0006-0000-0100-00000D000000}">
      <text>
        <r>
          <rPr>
            <sz val="10"/>
            <color indexed="81"/>
            <rFont val="Verdana"/>
            <family val="2"/>
          </rPr>
          <t xml:space="preserve">Jämförelsestörande poster redovisas enligt RKR:s rekommendation 3.1.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00000000-0006-0000-0A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regionkoncernen. Här ingår alltså även statligt ägda, kommunägda eller ägda av andra regioner.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00000000-0006-0000-0B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regionkoncernen. Här ingår alltså även statligt ägda, kommunägda eller ägda av andra regioner.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Mianette Dinerius</author>
    <author>Henrik Mundt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1" shapeId="0" xr:uid="{00000000-0006-0000-0200-000002000000}">
      <text>
        <r>
          <rPr>
            <sz val="10"/>
            <color indexed="81"/>
            <rFont val="Verdana"/>
            <family val="2"/>
          </rPr>
          <t>Interna intäkter som verksamheten erhållit från annan verksamhet i regionen. Motsvarande kostnad återfinns i kolumn ”Interndebiterade kostnader” i flik 3 där ev. över- eller underskott ska fördelas ut.</t>
        </r>
      </text>
    </comment>
    <comment ref="P6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Mianette Dinerius</author>
    <author>scbkaah</author>
    <author>Henrik Mundt</author>
    <author>Leonardsson Monica NR/OEM-Ö</author>
    <author>Siegrist Elisabeth DFO/OU-Ö</author>
  </authors>
  <commentList>
    <comment ref="H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1" shapeId="0" xr:uid="{00000000-0006-0000-0300-000002000000}">
      <text>
        <r>
          <rPr>
            <sz val="10"/>
            <color indexed="81"/>
            <rFont val="Verdana"/>
            <family val="2"/>
          </rPr>
          <t>Vid interndebitering ska eventuella över- eller underskott fördelas ut i denna kolumn.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R6" authorId="2" shapeId="0" xr:uid="{00000000-0006-0000-0300-000003000000}">
      <text>
        <r>
          <rPr>
            <sz val="10"/>
            <color indexed="81"/>
            <rFont val="Verdana"/>
            <family val="2"/>
          </rPr>
          <t xml:space="preserve">Bruttokostnad med avdrag för interna intäkter och försäljning till andra kommuner, regioner och kommunalförbund.
</t>
        </r>
        <r>
          <rPr>
            <b/>
            <sz val="10"/>
            <color indexed="81"/>
            <rFont val="Verdana"/>
            <family val="2"/>
          </rPr>
          <t xml:space="preserve">
</t>
        </r>
        <r>
          <rPr>
            <sz val="10"/>
            <color indexed="81"/>
            <rFont val="Verdana"/>
            <family val="2"/>
          </rPr>
          <t>Kostnadsbegreppet används bland annat i Kolada (Kommun- och landstingsdatabasen).</t>
        </r>
      </text>
    </comment>
    <comment ref="W6" authorId="3" shapeId="0" xr:uid="{00000000-0006-0000-0300-000004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X6" authorId="4" shapeId="0" xr:uid="{00000000-0006-0000-0300-000005000000}">
      <text>
        <r>
          <rPr>
            <sz val="10"/>
            <color indexed="81"/>
            <rFont val="Verdana"/>
            <family val="2"/>
          </rPr>
          <t xml:space="preserve">Bruttokostnad med avdrag för köp av verksamhet, lämnade bidrag samt avdrag för interna intäkter.
</t>
        </r>
      </text>
    </comment>
    <comment ref="L49" authorId="4" shapeId="0" xr:uid="{00000000-0006-0000-0300-000006000000}">
      <text>
        <r>
          <rPr>
            <sz val="10"/>
            <color indexed="81"/>
            <rFont val="Verdana"/>
            <family val="2"/>
          </rPr>
          <t xml:space="preserve">Ska stämma överens med cell L44, men med motsatt tecken.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9" authorId="5" shapeId="0" xr:uid="{00000000-0006-0000-0300-000007000000}">
      <text>
        <r>
          <rPr>
            <sz val="10"/>
            <color indexed="81"/>
            <rFont val="Tahoma"/>
            <family val="2"/>
          </rPr>
          <t>Det som kontrolleras är att de verksamhetsfördelade externa kostnader på excel-rad 41+ pensionsutbetalningarna som länkas till cel lL44 överensstämmer med de totala externa verksamhetskostnaderna i flik 7.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Olof Klingnéus</author>
  </authors>
  <commentList>
    <comment ref="E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1" shapeId="0" xr:uid="{00000000-0006-0000-0400-000002000000}">
      <text>
        <r>
          <rPr>
            <sz val="10"/>
            <color indexed="81"/>
            <rFont val="Verdana"/>
            <family val="2"/>
          </rPr>
          <t>Räkna bort ”interninterna” hyror så att dubbleringseffekt gällande interna lokalhyror undviks</t>
        </r>
        <r>
          <rPr>
            <b/>
            <sz val="10"/>
            <color indexed="81"/>
            <rFont val="Verdana"/>
            <family val="2"/>
          </rPr>
          <t>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scbelin</author>
    <author>Leonardsson Monica NR/OEM-Ö</author>
    <author>Hallbäck Ismael D/INS/ES-Ö</author>
    <author>Jakupi Edona D/INS/OFS-Ö</author>
    <author>Olof Klingnéus</author>
    <author>scbmole</author>
  </authors>
  <commentList>
    <comment ref="E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1" shapeId="0" xr:uid="{00000000-0006-0000-0500-000002000000}">
      <text>
        <r>
          <rPr>
            <sz val="10"/>
            <color indexed="81"/>
            <rFont val="Verdana"/>
            <family val="2"/>
          </rPr>
          <t>Här redovisas kontona 11x2 och 11x3, samt förändring av kontona 117,118 och 120 enligt L-bas 2013. 
Större investeringsprojekt ska kommenteras.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2" shapeId="0" xr:uid="{00000000-0006-0000-0500-000003000000}">
      <text>
        <r>
          <rPr>
            <sz val="10"/>
            <color indexed="81"/>
            <rFont val="Verdana"/>
            <family val="2"/>
          </rPr>
          <t>Däravkolumnerna (D+E+F) ska summeras till kolumn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2" shapeId="0" xr:uid="{00000000-0006-0000-0500-000005000000}">
      <text>
        <r>
          <rPr>
            <sz val="10"/>
            <color indexed="81"/>
            <rFont val="Verdana"/>
            <family val="2"/>
          </rPr>
          <t>Inköp av färdiga byggnader och mark specificeras på rad 29 och 30 nedan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7" authorId="3" shapeId="0" xr:uid="{84B95846-F916-4371-959C-4A40D84CA844}">
      <text>
        <r>
          <rPr>
            <sz val="9"/>
            <color indexed="81"/>
            <rFont val="Tahoma"/>
            <family val="2"/>
          </rPr>
          <t>Konto 1032 utgår</t>
        </r>
      </text>
    </comment>
    <comment ref="H7" authorId="3" shapeId="0" xr:uid="{726F6BCE-5B3C-4E7C-99C0-82579AB0D0E8}">
      <text>
        <r>
          <rPr>
            <sz val="9"/>
            <color indexed="81"/>
            <rFont val="Tahoma"/>
            <family val="2"/>
          </rPr>
          <t>Konto 1042 utgår</t>
        </r>
      </text>
    </comment>
    <comment ref="I27" authorId="4" shapeId="0" xr:uid="{BC3B0483-2002-4C2D-A987-B4D91280D8FA}">
      <text>
        <r>
          <rPr>
            <sz val="9"/>
            <color indexed="81"/>
            <rFont val="Tahoma"/>
            <family val="2"/>
          </rPr>
          <t xml:space="preserve">Investeringsutgifter i fastighetsförvaltningen överstiger 30% av de totala investeringsutgifterna. Investeringsutgifter som fastighetsförvaltningen har ska redovisas på den verksamhet investeringen avser.
</t>
        </r>
      </text>
    </comment>
    <comment ref="B28" authorId="5" shapeId="0" xr:uid="{00000000-0006-0000-0500-000006000000}">
      <text>
        <r>
          <rPr>
            <sz val="10"/>
            <color indexed="81"/>
            <rFont val="Verdana"/>
            <family val="2"/>
          </rPr>
          <t>Stäm av summorna i C och G mot er finansieringsanalys.</t>
        </r>
      </text>
    </comment>
    <comment ref="B29" authorId="6" shapeId="0" xr:uid="{00000000-0006-0000-0500-000007000000}">
      <text>
        <r>
          <rPr>
            <sz val="10"/>
            <color indexed="81"/>
            <rFont val="Verdana"/>
            <family val="2"/>
          </rPr>
          <t>Avser endast köp av "färdiga byggnader"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Henrik Mundt</author>
  </authors>
  <commentList>
    <comment ref="F4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B17" authorId="0" shapeId="0" xr:uid="{00000000-0006-0000-0600-000003000000}">
      <text>
        <r>
          <rPr>
            <sz val="10"/>
            <color indexed="81"/>
            <rFont val="Verdana"/>
            <family val="2"/>
          </rPr>
          <t>Här redovisas avgift för färdtjänst, sjukresor etc.</t>
        </r>
      </text>
    </comment>
    <comment ref="B31" authorId="0" shapeId="0" xr:uid="{00000000-0006-0000-0600-000004000000}">
      <text>
        <r>
          <rPr>
            <sz val="10"/>
            <color indexed="81"/>
            <rFont val="Verdana"/>
            <family val="2"/>
          </rPr>
          <t>Stora belopp på Övrigt ska specificeras i kommentarsutan.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Henrik Mundt</author>
    <author>Hallbäck Ismael D/INS/ES-Ö</author>
    <author>Olof Klingnéus</author>
    <author>Leonardsson Monica NR/OEM-Ö</author>
  </authors>
  <commentList>
    <comment ref="F4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I9" authorId="2" shapeId="0" xr:uid="{5337A8F4-673A-455C-9E12-8FB9D3B631CE}">
      <text>
        <r>
          <rPr>
            <b/>
            <sz val="9"/>
            <color indexed="81"/>
            <rFont val="Tahoma"/>
            <family val="2"/>
          </rPr>
          <t>Kontrollen avseende kontogrupp 40-41,43exkl43x1 görs utifrån en uppskattning om att 68,5% av det som redovisas på konto 491 avser löner.</t>
        </r>
      </text>
    </comment>
    <comment ref="B11" authorId="0" shapeId="0" xr:uid="{00000000-0006-0000-0700-000003000000}">
      <text>
        <r>
          <rPr>
            <sz val="10"/>
            <color indexed="81"/>
            <rFont val="Verdana"/>
            <family val="2"/>
          </rPr>
          <t>Stäm av mot redovisade uppgifter i Steg1.</t>
        </r>
      </text>
    </comment>
    <comment ref="E11" authorId="3" shapeId="0" xr:uid="{00000000-0006-0000-0700-000004000000}">
      <text>
        <r>
          <rPr>
            <sz val="10"/>
            <color indexed="81"/>
            <rFont val="Verdana"/>
            <family val="2"/>
          </rPr>
          <t>Kontrollen avser summan av övriga personalkostnader, dvs. summan av konto 44, 45, 46 och 43x1.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1" shapeId="0" xr:uid="{00000000-0006-0000-0700-000005000000}">
      <text>
        <r>
          <rPr>
            <sz val="9"/>
            <color indexed="81"/>
            <rFont val="Tahoma"/>
            <family val="2"/>
          </rPr>
          <t xml:space="preserve">Aktivering av eget arbete fylls i med minusbelopp.
</t>
        </r>
      </text>
    </comment>
    <comment ref="B25" authorId="0" shapeId="0" xr:uid="{00000000-0006-0000-0700-000006000000}">
      <text>
        <r>
          <rPr>
            <sz val="10"/>
            <color indexed="81"/>
            <rFont val="Verdana"/>
            <family val="2"/>
          </rPr>
          <t>Beloppet på denna rad ska överensstämma med motsvarande belopp i flik 1 (cell E10).</t>
        </r>
      </text>
    </comment>
    <comment ref="B26" authorId="0" shapeId="0" xr:uid="{00000000-0006-0000-0700-000007000000}">
      <text>
        <r>
          <rPr>
            <sz val="10"/>
            <color indexed="81"/>
            <rFont val="Verdana"/>
            <family val="2"/>
          </rPr>
          <t>Dra av läkemedelsrabatten. 
Beloppet ska nettoredovisas.
Beloppet på denna rad ska överensstämma med motsvarande belopp i flik 1, (cell F10).</t>
        </r>
      </text>
    </comment>
    <comment ref="B27" authorId="0" shapeId="0" xr:uid="{00000000-0006-0000-0700-000008000000}">
      <text>
        <r>
          <rPr>
            <sz val="10"/>
            <color indexed="81"/>
            <rFont val="Verdana"/>
            <family val="2"/>
          </rPr>
          <t>Här redovisas kostnader för läkemedel ordinerat enligt smittskyddslagen. Ev. riskdelning inkluderas i kontot, men bör kunna särskiljas.</t>
        </r>
      </text>
    </comment>
    <comment ref="B28" authorId="0" shapeId="0" xr:uid="{00000000-0006-0000-0700-000009000000}">
      <text>
        <r>
          <rPr>
            <sz val="10"/>
            <color indexed="81"/>
            <rFont val="Verdana"/>
            <family val="2"/>
          </rPr>
          <t>Här redovisas kostnader för den egna regionens subvention av läkemedel m.m. enligt regionens eget beslut.</t>
        </r>
      </text>
    </comment>
    <comment ref="B47" authorId="0" shapeId="0" xr:uid="{00000000-0006-0000-0700-00000A000000}">
      <text>
        <r>
          <rPr>
            <sz val="10"/>
            <color indexed="81"/>
            <rFont val="Verdana"/>
            <family val="2"/>
          </rPr>
          <t>Avser kostnader för infrianden av borgensåtagande då regionen blivit betalningsansvarig i låntagarens ställe.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00000000-0006-0000-0700-00000B000000}">
      <text>
        <r>
          <rPr>
            <sz val="10"/>
            <color indexed="81"/>
            <rFont val="Verdana"/>
            <family val="2"/>
          </rPr>
          <t xml:space="preserve">På detta konto redovisas endast avskrivningar. Nedskrivningar och återföring av nedskrivningar redovisas på konto 795 och 796.
</t>
        </r>
      </text>
    </comment>
    <comment ref="E51" authorId="4" shapeId="0" xr:uid="{00000000-0006-0000-0700-00000C000000}">
      <text>
        <r>
          <rPr>
            <sz val="10"/>
            <color indexed="81"/>
            <rFont val="Verdana"/>
            <family val="2"/>
          </rPr>
          <t>Avser konto 78-79.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1" shapeId="0" xr:uid="{00000000-0006-0000-0800-000002000000}">
      <text>
        <r>
          <rPr>
            <sz val="10"/>
            <color indexed="81"/>
            <rFont val="Verdana"/>
            <family val="2"/>
          </rPr>
          <t>De blåa raderna är länkade från flik 2, övriga rader måste du fylla i själv.</t>
        </r>
      </text>
    </comment>
    <comment ref="H7" authorId="1" shapeId="0" xr:uid="{00000000-0006-0000-0800-000003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regionkoncernen. Här ingår alltså även statligt ägda, kommunägda eller ägda av andra regioner.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1" shapeId="0" xr:uid="{00000000-0006-0000-0900-000002000000}">
      <text>
        <r>
          <rPr>
            <sz val="10"/>
            <color indexed="81"/>
            <rFont val="Verdana"/>
            <family val="2"/>
          </rPr>
          <t>De blåa raderna är länkade från flik 3, övriga rader måste du fylla i själv.</t>
        </r>
      </text>
    </comment>
    <comment ref="H7" authorId="1" shapeId="0" xr:uid="{00000000-0006-0000-0900-000003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regionkoncernen. Här ingår alltså även statligt ägda, kommunägda eller ägda av andra regioner.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<sst xmlns="http://schemas.openxmlformats.org/spreadsheetml/2006/main" count="1207" uniqueCount="591">
  <si>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</si>
  <si>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</si>
  <si>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</si>
  <si>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</si>
  <si>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</si>
  <si>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</si>
  <si>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</si>
  <si>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</si>
  <si>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</si>
  <si>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</si>
  <si>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</si>
  <si>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</si>
  <si>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</si>
  <si>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</si>
  <si>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</si>
  <si>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</si>
  <si>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</si>
  <si>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</si>
  <si>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</si>
  <si>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</si>
  <si>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</si>
  <si>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</si>
  <si>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</si>
  <si>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</si>
  <si>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</si>
  <si>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</si>
  <si>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</si>
  <si>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</si>
  <si>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</si>
  <si>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</si>
  <si>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</si>
  <si>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</si>
  <si>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</si>
  <si>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</si>
  <si>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</si>
  <si>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</si>
  <si>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</si>
  <si>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</si>
  <si>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</si>
  <si>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</si>
  <si>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</si>
  <si>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</si>
  <si>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</si>
  <si>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</si>
  <si>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</si>
  <si>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</si>
  <si>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</si>
  <si>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</si>
  <si>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</si>
  <si>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</si>
  <si>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</si>
  <si>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</si>
  <si>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</si>
  <si>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</si>
  <si>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</si>
  <si>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</si>
  <si>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</si>
  <si>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</si>
  <si>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</si>
  <si>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</si>
  <si>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</si>
  <si>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</si>
  <si>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</si>
  <si>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</si>
  <si>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</si>
  <si>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</si>
  <si>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</si>
  <si>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</si>
  <si>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</si>
  <si>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</si>
  <si>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</si>
  <si>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</si>
  <si>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</si>
  <si>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</si>
  <si>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</si>
  <si>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</si>
  <si>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</si>
  <si>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</si>
  <si>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</si>
  <si>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</si>
  <si>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</si>
  <si>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</si>
  <si>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</si>
  <si>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6-7</t>
  </si>
  <si>
    <t>Lokal- och fastighetskostnader</t>
  </si>
  <si>
    <t>60</t>
  </si>
  <si>
    <t>607</t>
  </si>
  <si>
    <t>63</t>
  </si>
  <si>
    <t>Transporter och frakter</t>
  </si>
  <si>
    <t>67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</si>
  <si>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</si>
  <si>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</si>
  <si>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</si>
  <si>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</si>
  <si>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</si>
  <si>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</si>
  <si>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</si>
  <si>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</si>
  <si>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</si>
  <si>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</si>
  <si>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</si>
  <si>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</si>
  <si>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</si>
  <si>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</si>
  <si>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</si>
  <si>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</si>
  <si>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</si>
  <si>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</si>
  <si>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</si>
  <si>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</si>
  <si>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</si>
  <si>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</si>
  <si>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</si>
  <si>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</si>
  <si>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</si>
  <si>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</si>
  <si>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</si>
  <si>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</si>
  <si>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</si>
  <si>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</si>
  <si>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</si>
  <si>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</si>
  <si>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</si>
  <si>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</si>
  <si>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</si>
  <si>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</si>
  <si>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</si>
  <si>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</si>
  <si>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</si>
  <si>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</si>
  <si>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</si>
  <si>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</si>
  <si>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</si>
  <si>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</si>
  <si>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</si>
  <si>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</si>
  <si>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</si>
  <si>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</si>
  <si>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</si>
  <si>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</si>
  <si>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</si>
  <si>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</si>
  <si>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</si>
  <si>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</si>
  <si>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</si>
  <si>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</si>
  <si>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</si>
  <si>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</si>
  <si>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</si>
  <si>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</si>
  <si>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</si>
  <si>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</si>
  <si>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</si>
  <si>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</si>
  <si>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</si>
  <si>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</si>
  <si>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</si>
  <si>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</si>
  <si>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</si>
  <si>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</si>
  <si>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</si>
  <si>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</si>
  <si>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</si>
  <si>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</si>
  <si>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</si>
  <si>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</si>
  <si>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</si>
  <si>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</si>
  <si>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</si>
  <si>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</si>
  <si>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</si>
  <si>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</si>
  <si>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</si>
  <si>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</si>
  <si>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</si>
  <si>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Netto-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</si>
  <si>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</si>
  <si>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</si>
  <si>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</si>
  <si>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</si>
  <si>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</si>
  <si>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</si>
  <si>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</si>
  <si>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</si>
  <si>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</si>
  <si>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</si>
  <si>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</si>
  <si>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</si>
  <si>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</si>
  <si>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</si>
  <si>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</si>
  <si>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</si>
  <si>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</si>
  <si>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</si>
  <si>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</si>
  <si>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</si>
  <si>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</si>
  <si>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</si>
  <si>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</si>
  <si>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</si>
  <si>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</si>
  <si>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</si>
  <si>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</si>
  <si>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</si>
  <si>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</si>
  <si>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</si>
  <si>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</si>
  <si>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</si>
  <si>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</si>
  <si>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</si>
  <si>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</si>
  <si>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</si>
  <si>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</si>
  <si>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</si>
  <si>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</si>
  <si>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</si>
  <si>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</si>
  <si>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</si>
  <si>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</si>
  <si>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</si>
  <si>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</si>
  <si>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</si>
  <si>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</si>
  <si>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</si>
  <si>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</si>
  <si>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</si>
  <si>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</si>
  <si>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</si>
  <si>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A</t>
  </si>
  <si>
    <t>020</t>
  </si>
  <si>
    <t>025</t>
  </si>
  <si>
    <t>060</t>
  </si>
  <si>
    <t>090</t>
  </si>
  <si>
    <t>0-4</t>
  </si>
  <si>
    <t>5-8</t>
  </si>
  <si>
    <t>Int_010</t>
  </si>
  <si>
    <t>Int_020</t>
  </si>
  <si>
    <t>B</t>
  </si>
  <si>
    <t>C</t>
  </si>
  <si>
    <t>D</t>
  </si>
  <si>
    <t>E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</si>
  <si>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</si>
  <si>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</si>
  <si>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</si>
  <si>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</si>
  <si>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</si>
  <si>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</si>
  <si>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</si>
  <si>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 xml:space="preserve">B </t>
  </si>
  <si>
    <t>F</t>
  </si>
  <si>
    <t>G</t>
  </si>
  <si>
    <t>H</t>
  </si>
  <si>
    <t>I</t>
  </si>
  <si>
    <t>J</t>
  </si>
  <si>
    <t>K</t>
  </si>
  <si>
    <t>L</t>
  </si>
  <si>
    <t>O</t>
  </si>
  <si>
    <t>Sum_050</t>
  </si>
  <si>
    <t>Sum_051</t>
  </si>
  <si>
    <t>Sum_052</t>
  </si>
  <si>
    <t>Prim_060</t>
  </si>
  <si>
    <t>SpecS_060</t>
  </si>
  <si>
    <t>SpecP_060</t>
  </si>
  <si>
    <t>Alf_060</t>
  </si>
  <si>
    <t xml:space="preserve">L </t>
  </si>
  <si>
    <t>N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</si>
  <si>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</si>
  <si>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</si>
  <si>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</si>
  <si>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</si>
  <si>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</t>
  </si>
  <si>
    <t xml:space="preserve">      varav inkontinensartiklar</t>
  </si>
  <si>
    <t>735,738</t>
  </si>
  <si>
    <t>P</t>
  </si>
  <si>
    <t>byggnader och mark</t>
  </si>
  <si>
    <t>Externa intäkter</t>
  </si>
  <si>
    <t>Förändring,</t>
  </si>
  <si>
    <t>procent</t>
  </si>
  <si>
    <t>enl. flik 2</t>
  </si>
  <si>
    <t>och flik 3</t>
  </si>
  <si>
    <t>enl. flik 1</t>
  </si>
  <si>
    <t>Kontroll mot flik 6</t>
  </si>
  <si>
    <t>enl flik 2 &amp; 7</t>
  </si>
  <si>
    <t>enl flik 3</t>
  </si>
  <si>
    <t>Steg 1    (bokslutet)</t>
  </si>
  <si>
    <t>5611, 5612, 5613</t>
  </si>
  <si>
    <t>Allmänläkarvård inkl. jourverksamhet</t>
  </si>
  <si>
    <t>641</t>
  </si>
  <si>
    <t>Förbrukningsinventarier</t>
  </si>
  <si>
    <t xml:space="preserve">DVO-kod    </t>
  </si>
  <si>
    <t>Kontroller</t>
  </si>
  <si>
    <t>läkemedel inom förmånen</t>
  </si>
  <si>
    <t xml:space="preserve">Förändring, </t>
  </si>
  <si>
    <t>Utbildning, totalt</t>
  </si>
  <si>
    <t>Kommentarer hälso- och sjukvård</t>
  </si>
  <si>
    <t>Kommentarer regional utveckling</t>
  </si>
  <si>
    <t>Kommentarer primärvård</t>
  </si>
  <si>
    <t>Kommentarer somatisk vård</t>
  </si>
  <si>
    <t>Kommentarer psykiatrisk vård</t>
  </si>
  <si>
    <t>Kommentarer tandvård</t>
  </si>
  <si>
    <t>Kommentarer övrig hälso- och sjukvård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</si>
  <si>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</si>
  <si>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</si>
  <si>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</si>
  <si>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</si>
  <si>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</si>
  <si>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</si>
  <si>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</si>
  <si>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</si>
  <si>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</si>
  <si>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</si>
  <si>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>Ev. differens mellan kolumn N och O</t>
  </si>
  <si>
    <t xml:space="preserve">Jämförelsestörande poster </t>
  </si>
  <si>
    <t>BRUTTO-</t>
  </si>
  <si>
    <t>INTÄKT</t>
  </si>
  <si>
    <t>KOSTNAD</t>
  </si>
  <si>
    <t xml:space="preserve">SUMMA VERKSAMHETENS INTÄKTER </t>
  </si>
  <si>
    <t>Kommentarer jämförelsestörande poster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</si>
  <si>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</si>
  <si>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</si>
  <si>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</si>
  <si>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</si>
  <si>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</si>
  <si>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</si>
  <si>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>k_2_6</t>
  </si>
  <si>
    <t>k__2_8</t>
  </si>
  <si>
    <t>k_2_RR</t>
  </si>
  <si>
    <t>k_3_7</t>
  </si>
  <si>
    <t>k_3_RR</t>
  </si>
  <si>
    <t xml:space="preserve">0-4(t-1) </t>
  </si>
  <si>
    <t>5-8(t-1)</t>
  </si>
  <si>
    <t>5-8diff</t>
  </si>
  <si>
    <t>0-4diff</t>
  </si>
  <si>
    <t>k_5_RR</t>
  </si>
  <si>
    <t>k_8_ford</t>
  </si>
  <si>
    <t>k_9a_ford</t>
  </si>
  <si>
    <t>k_9b_ford</t>
  </si>
  <si>
    <t>R</t>
  </si>
  <si>
    <t xml:space="preserve">DVO-kod </t>
  </si>
  <si>
    <t>k_10_(38)</t>
  </si>
  <si>
    <t>k_10_(55)</t>
  </si>
  <si>
    <t>k_10_(555)</t>
  </si>
  <si>
    <t>Kontroller mot föregående år</t>
  </si>
  <si>
    <t>k2_10_(55)</t>
  </si>
  <si>
    <t>k2_10_(555)</t>
  </si>
  <si>
    <t>k2_8_ford</t>
  </si>
  <si>
    <t>k2_9a_ford</t>
  </si>
  <si>
    <t>k2_9b_ford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</si>
  <si>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</si>
  <si>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</si>
  <si>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</si>
  <si>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</si>
  <si>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</si>
  <si>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</si>
  <si>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</si>
  <si>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</si>
  <si>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</si>
  <si>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</si>
  <si>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</si>
  <si>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</si>
  <si>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581</t>
  </si>
  <si>
    <t>5811</t>
  </si>
  <si>
    <t>5812</t>
  </si>
  <si>
    <t>procent/invånare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</si>
  <si>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</si>
  <si>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</si>
  <si>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</si>
  <si>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</si>
  <si>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</si>
  <si>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</si>
  <si>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</si>
  <si>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</si>
  <si>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</si>
  <si>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</si>
  <si>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</si>
  <si>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</si>
  <si>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</si>
  <si>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</si>
  <si>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</si>
  <si>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</si>
  <si>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</si>
  <si>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</si>
  <si>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</si>
  <si>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Differens mot flik 6</t>
  </si>
  <si>
    <t>(50-54)</t>
  </si>
  <si>
    <t>(58)</t>
  </si>
  <si>
    <t xml:space="preserve">(56-57, </t>
  </si>
  <si>
    <t>63-64)</t>
  </si>
  <si>
    <t xml:space="preserve">(55, 60, 62, </t>
  </si>
  <si>
    <t>73, 75-76)</t>
  </si>
  <si>
    <t>Kontroll mot flik 7</t>
  </si>
  <si>
    <t>Differens mot flik 7</t>
  </si>
  <si>
    <t>Externa kostnader</t>
  </si>
  <si>
    <t>eget åtagande</t>
  </si>
  <si>
    <t xml:space="preserve">Kostnad för </t>
  </si>
  <si>
    <t xml:space="preserve">Externa
lokalhyror
(601)
</t>
  </si>
  <si>
    <t>KOMMENTARER</t>
  </si>
  <si>
    <t>(40-41, 43</t>
  </si>
  <si>
    <t xml:space="preserve">Kontroller </t>
  </si>
  <si>
    <t>SERVICEVERKSAMHETER , TOTALT</t>
  </si>
  <si>
    <t>Belopp enligt Steg 1: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</si>
  <si>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</si>
  <si>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</si>
  <si>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</si>
  <si>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</si>
  <si>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</si>
  <si>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</si>
  <si>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</si>
  <si>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</si>
  <si>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</si>
  <si>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</si>
  <si>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</si>
  <si>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Enl. flik 2 +3</t>
  </si>
  <si>
    <t>Enl. Steg 1</t>
  </si>
  <si>
    <t>inkl.</t>
  </si>
  <si>
    <t>Övr kostnad</t>
  </si>
  <si>
    <t>Tandvård, exkl moms</t>
  </si>
  <si>
    <t>Verksamhetens kostnader (inkl. avskrivningar) enl. Steg 1</t>
  </si>
  <si>
    <t xml:space="preserve">Externa hyres-intäkter
för fastigheter (364)
</t>
  </si>
  <si>
    <t>HÄLSO- OCH SJUKVÅRD, förändring miljoner kr</t>
  </si>
  <si>
    <t>REGIONAL UTVECKLING, förändring miljoner kr</t>
  </si>
  <si>
    <t>Differens mot Steg 1:</t>
  </si>
  <si>
    <t>Differens mot Steg 1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</si>
  <si>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</si>
  <si>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</si>
  <si>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</si>
  <si>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</si>
  <si>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</si>
  <si>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</si>
  <si>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</si>
  <si>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</si>
  <si>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</si>
  <si>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>flik 2</t>
  </si>
  <si>
    <t>k_10_(35-36)</t>
  </si>
  <si>
    <t>k2_10_(35-36)</t>
  </si>
  <si>
    <t>k2_10_(38)</t>
  </si>
  <si>
    <t xml:space="preserve"> därav försäkringspremier</t>
  </si>
  <si>
    <t xml:space="preserve"> därav kundförluster och förluster på kortfristiga fordringar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</si>
  <si>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</si>
  <si>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</si>
  <si>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</si>
  <si>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</si>
  <si>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</si>
  <si>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</si>
  <si>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</si>
  <si>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</si>
  <si>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</si>
  <si>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</si>
  <si>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</si>
  <si>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</si>
  <si>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</si>
  <si>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</si>
  <si>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</si>
  <si>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</si>
  <si>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</si>
  <si>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</si>
  <si>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</si>
  <si>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</si>
  <si>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</si>
  <si>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</si>
  <si>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</si>
  <si>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Länkning</t>
  </si>
  <si>
    <t>710_1</t>
  </si>
  <si>
    <t xml:space="preserve">       varav färdtjänst</t>
  </si>
  <si>
    <t>73_borg</t>
  </si>
  <si>
    <t>Kultur, totalt</t>
  </si>
  <si>
    <t>Trafik och infrastruktur, totalt</t>
  </si>
  <si>
    <t>Kontrollera eventuella differenser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</si>
  <si>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</si>
  <si>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</si>
  <si>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</si>
  <si>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</si>
  <si>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</si>
  <si>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Summering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</si>
  <si>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</si>
  <si>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</si>
  <si>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</si>
  <si>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</si>
  <si>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</si>
  <si>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</si>
  <si>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</si>
  <si>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</si>
  <si>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</si>
  <si>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>flik 1 o 3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</si>
  <si>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</si>
  <si>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</si>
  <si>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</si>
  <si>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</si>
  <si>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</si>
  <si>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</si>
  <si>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</si>
  <si>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</si>
  <si>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</si>
  <si>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</si>
  <si>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</si>
  <si>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</si>
  <si>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</si>
  <si>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</si>
  <si>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</si>
  <si>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</si>
  <si>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</si>
  <si>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</si>
  <si>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</si>
  <si>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</si>
  <si>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</si>
  <si>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</si>
  <si>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</si>
  <si>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</si>
  <si>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</si>
  <si>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</si>
  <si>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</si>
  <si>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</si>
  <si>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>Museiverksamhet</t>
  </si>
  <si>
    <t>koll</t>
  </si>
  <si>
    <t>Däravrad större än huvudrad</t>
  </si>
  <si>
    <t>Minusbelopp kommentera</t>
  </si>
  <si>
    <t>Röd triangel visar att det finns en kommentar till cellen</t>
  </si>
  <si>
    <t>Jämförelse mot föregående år</t>
  </si>
  <si>
    <t>procent mot föregående år</t>
  </si>
  <si>
    <t>Patientavgifter, trafikantavgifter och 
andra avgifter</t>
  </si>
  <si>
    <t>k_6_RR</t>
  </si>
  <si>
    <t xml:space="preserve">   därav investeringsbidrag från staten o statl.myndigheter</t>
  </si>
  <si>
    <t xml:space="preserve">   därav investeringsbidrag från EU</t>
  </si>
  <si>
    <t>k_putb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</si>
  <si>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</si>
  <si>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</si>
  <si>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</si>
  <si>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</si>
  <si>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</si>
  <si>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</si>
  <si>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</si>
  <si>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</si>
  <si>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</si>
  <si>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</si>
  <si>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</si>
  <si>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</si>
  <si>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</si>
  <si>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</si>
  <si>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</si>
  <si>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</si>
  <si>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</si>
  <si>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</si>
  <si>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</si>
  <si>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</si>
  <si>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</si>
  <si>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</si>
  <si>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Ny uppgift</t>
  </si>
  <si>
    <t>40-41,43exkl43x1</t>
  </si>
  <si>
    <t>www.scb.se/rsregioner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</si>
  <si>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</si>
  <si>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</si>
  <si>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</si>
  <si>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</si>
  <si>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Verksamhetens intäkter enl. Steg 1</t>
  </si>
  <si>
    <t>Nedskrivning av anläggningstillgångar</t>
  </si>
  <si>
    <t>Återföring av nedskrivning av anläggningstillgångar</t>
  </si>
  <si>
    <t>På uppgiftslämnarsidan finns:</t>
  </si>
  <si>
    <t>Instruktioner</t>
  </si>
  <si>
    <t>Länk till inloggningssidan</t>
  </si>
  <si>
    <t>Tidsplan</t>
  </si>
  <si>
    <t>Övriga information</t>
  </si>
  <si>
    <t xml:space="preserve">Uppgiftslämnarsida: </t>
  </si>
  <si>
    <r>
      <rPr>
        <b/>
        <sz val="10"/>
        <rFont val="Arial"/>
        <family val="2"/>
      </rPr>
      <t>Insändning:</t>
    </r>
    <r>
      <rPr>
        <sz val="10"/>
        <rFont val="Arial"/>
        <family val="2"/>
      </rPr>
      <t xml:space="preserve"> Blanketten skickas in via Uppgiftslämnarportalen som nås efter inloggning.</t>
    </r>
  </si>
  <si>
    <t>Kontaktuppgifter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</si>
  <si>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</si>
  <si>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</si>
  <si>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</si>
  <si>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</si>
  <si>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</si>
  <si>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</si>
  <si>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</si>
  <si>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 xml:space="preserve"> därav särsk. momsersättning vid köp av ej skattepl. verks.</t>
  </si>
  <si>
    <t xml:space="preserve"> därav pensionsutbetalningar </t>
  </si>
  <si>
    <t xml:space="preserve"> därav regionssubvention av läkemedel med mera</t>
  </si>
  <si>
    <t>ÖVRIGA VERKSAMHETSKOSTNADER</t>
  </si>
  <si>
    <t>Energi med mera</t>
  </si>
  <si>
    <t>Förlust vid avyttring och utrangering av anläggningstillgångar</t>
  </si>
  <si>
    <t xml:space="preserve">Allmäntandvård barn och ungdomar </t>
  </si>
  <si>
    <t>Inv. utgifter i immateriella tillg.</t>
  </si>
  <si>
    <t>Avskrivningar, exkl nedskrivningar</t>
  </si>
  <si>
    <t>SUMMA VERKSAMHETENS KOSTNADER (INKL. AVSKRIVNINGAR)</t>
  </si>
  <si>
    <t>Allmäntandvård barn och ungdomar</t>
  </si>
  <si>
    <t xml:space="preserve">Regionernas tandvårdsstöd </t>
  </si>
  <si>
    <t>Regionernas tandvårdsstöd</t>
  </si>
  <si>
    <t>Jämförelsestörande kostnader enl. Steg 1</t>
  </si>
  <si>
    <t>Jämförelsestörande intäkter enl. Steg 1</t>
  </si>
  <si>
    <t>Internt upparbetade (1012)</t>
  </si>
  <si>
    <t>Förvärvade (1022)</t>
  </si>
  <si>
    <t>Kommentarer minusbelopp</t>
  </si>
  <si>
    <t>Kommentar minusbelopp</t>
  </si>
  <si>
    <t>Olåst blankettexempel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</si>
</sst>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  <numFmt numFmtId="173" formatCode=";;;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8"/>
      <color indexed="81"/>
      <name val="Tahoma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47"/>
      <name val="Arial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b/>
      <sz val="16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sz val="9"/>
      <color indexed="81"/>
      <name val="Tahoma"/>
      <family val="2"/>
    </font>
    <font>
      <sz val="7"/>
      <name val="Helvetic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sz val="10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10"/>
      <color indexed="81"/>
      <name val="Tahoma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8"/>
      <name val="Arial"/>
      <family val="2"/>
    </font>
    <font>
      <sz val="10"/>
      <name val="Helvetica"/>
      <family val="2"/>
    </font>
  </fonts>
  <fills count="2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40"/>
        <bgColor indexed="9"/>
      </patternFill>
    </fill>
    <fill>
      <patternFill patternType="lightGray">
        <fgColor indexed="4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rgb="FF00CCFF"/>
      </patternFill>
    </fill>
    <fill>
      <patternFill patternType="solid">
        <fgColor theme="0"/>
        <bgColor rgb="FFBFBFBF"/>
      </patternFill>
    </fill>
    <fill>
      <patternFill patternType="solid">
        <fgColor rgb="FFFFFFCC"/>
        <bgColor theme="2" tint="-9.9948118533890809E-2"/>
      </patternFill>
    </fill>
    <fill>
      <patternFill patternType="solid">
        <fgColor rgb="FFFFFFCC"/>
        <bgColor theme="2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 tint="-0.24994659260841701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2" fontId="52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66" fillId="0" borderId="0"/>
    <xf numFmtId="0" fontId="66" fillId="0" borderId="0"/>
    <xf numFmtId="0" fontId="17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32">
    <xf numFmtId="0" fontId="0" fillId="0" borderId="0" xfId="0"/>
    <xf numFmtId="0" fontId="6" fillId="0" borderId="0" xfId="0" applyFont="1" applyFill="1" applyBorder="1" applyProtection="1"/>
    <xf numFmtId="0" fontId="53" fillId="2" borderId="0" xfId="0" quotePrefix="1" applyFont="1" applyFill="1" applyBorder="1" applyAlignment="1" applyProtection="1">
      <alignment horizontal="left"/>
    </xf>
    <xf numFmtId="0" fontId="55" fillId="2" borderId="0" xfId="0" quotePrefix="1" applyFont="1" applyFill="1" applyBorder="1" applyAlignment="1" applyProtection="1">
      <alignment horizontal="left"/>
    </xf>
    <xf numFmtId="0" fontId="4" fillId="6" borderId="1" xfId="0" applyFont="1" applyFill="1" applyBorder="1" applyProtection="1"/>
    <xf numFmtId="0" fontId="4" fillId="6" borderId="2" xfId="0" applyFont="1" applyFill="1" applyBorder="1" applyProtection="1"/>
    <xf numFmtId="0" fontId="4" fillId="6" borderId="3" xfId="0" applyFont="1" applyFill="1" applyBorder="1" applyProtection="1"/>
    <xf numFmtId="3" fontId="4" fillId="6" borderId="4" xfId="0" applyNumberFormat="1" applyFont="1" applyFill="1" applyBorder="1" applyProtection="1"/>
    <xf numFmtId="9" fontId="4" fillId="6" borderId="5" xfId="0" applyNumberFormat="1" applyFont="1" applyFill="1" applyBorder="1" applyProtection="1"/>
    <xf numFmtId="0" fontId="6" fillId="6" borderId="6" xfId="0" applyFont="1" applyFill="1" applyBorder="1" applyProtection="1"/>
    <xf numFmtId="0" fontId="6" fillId="6" borderId="1" xfId="0" applyFont="1" applyFill="1" applyBorder="1" applyProtection="1"/>
    <xf numFmtId="0" fontId="6" fillId="6" borderId="3" xfId="0" applyFont="1" applyFill="1" applyBorder="1" applyProtection="1"/>
    <xf numFmtId="0" fontId="6" fillId="6" borderId="7" xfId="0" applyFont="1" applyFill="1" applyBorder="1" applyProtection="1"/>
    <xf numFmtId="0" fontId="6" fillId="6" borderId="8" xfId="0" applyFont="1" applyFill="1" applyBorder="1" applyProtection="1"/>
    <xf numFmtId="0" fontId="6" fillId="6" borderId="9" xfId="0" applyFont="1" applyFill="1" applyBorder="1" applyProtection="1"/>
    <xf numFmtId="0" fontId="6" fillId="6" borderId="10" xfId="0" applyFont="1" applyFill="1" applyBorder="1" applyProtection="1"/>
    <xf numFmtId="3" fontId="4" fillId="4" borderId="11" xfId="0" applyNumberFormat="1" applyFont="1" applyFill="1" applyBorder="1" applyProtection="1"/>
    <xf numFmtId="0" fontId="6" fillId="6" borderId="12" xfId="0" applyFont="1" applyFill="1" applyBorder="1" applyProtection="1"/>
    <xf numFmtId="0" fontId="4" fillId="6" borderId="12" xfId="0" applyFont="1" applyFill="1" applyBorder="1" applyProtection="1"/>
    <xf numFmtId="0" fontId="4" fillId="6" borderId="13" xfId="0" applyFont="1" applyFill="1" applyBorder="1" applyProtection="1"/>
    <xf numFmtId="0" fontId="38" fillId="6" borderId="3" xfId="0" applyFont="1" applyFill="1" applyBorder="1" applyProtection="1"/>
    <xf numFmtId="3" fontId="4" fillId="6" borderId="5" xfId="0" applyNumberFormat="1" applyFont="1" applyFill="1" applyBorder="1" applyProtection="1"/>
    <xf numFmtId="0" fontId="4" fillId="6" borderId="14" xfId="0" applyFont="1" applyFill="1" applyBorder="1" applyProtection="1"/>
    <xf numFmtId="3" fontId="4" fillId="6" borderId="15" xfId="0" applyNumberFormat="1" applyFont="1" applyFill="1" applyBorder="1" applyProtection="1"/>
    <xf numFmtId="9" fontId="4" fillId="6" borderId="16" xfId="0" applyNumberFormat="1" applyFont="1" applyFill="1" applyBorder="1" applyProtection="1"/>
    <xf numFmtId="3" fontId="4" fillId="0" borderId="17" xfId="0" applyNumberFormat="1" applyFont="1" applyFill="1" applyBorder="1" applyAlignment="1" applyProtection="1">
      <alignment wrapText="1"/>
      <protection locked="0"/>
    </xf>
    <xf numFmtId="3" fontId="4" fillId="0" borderId="18" xfId="0" applyNumberFormat="1" applyFont="1" applyFill="1" applyBorder="1" applyAlignment="1" applyProtection="1">
      <alignment wrapText="1"/>
      <protection locked="0"/>
    </xf>
    <xf numFmtId="0" fontId="6" fillId="6" borderId="19" xfId="0" applyFont="1" applyFill="1" applyBorder="1" applyProtection="1"/>
    <xf numFmtId="0" fontId="6" fillId="6" borderId="20" xfId="0" applyFont="1" applyFill="1" applyBorder="1" applyProtection="1"/>
    <xf numFmtId="0" fontId="4" fillId="6" borderId="20" xfId="0" applyFont="1" applyFill="1" applyBorder="1" applyAlignment="1" applyProtection="1">
      <alignment wrapText="1"/>
    </xf>
    <xf numFmtId="0" fontId="6" fillId="6" borderId="20" xfId="0" applyFont="1" applyFill="1" applyBorder="1" applyAlignment="1" applyProtection="1">
      <alignment wrapText="1"/>
    </xf>
    <xf numFmtId="0" fontId="4" fillId="6" borderId="20" xfId="0" applyFont="1" applyFill="1" applyBorder="1" applyAlignment="1" applyProtection="1">
      <alignment horizontal="left"/>
    </xf>
    <xf numFmtId="0" fontId="4" fillId="6" borderId="20" xfId="0" applyFont="1" applyFill="1" applyBorder="1" applyProtection="1"/>
    <xf numFmtId="0" fontId="6" fillId="6" borderId="21" xfId="0" applyFont="1" applyFill="1" applyBorder="1" applyProtection="1"/>
    <xf numFmtId="0" fontId="6" fillId="6" borderId="4" xfId="0" applyFont="1" applyFill="1" applyBorder="1" applyProtection="1"/>
    <xf numFmtId="3" fontId="4" fillId="0" borderId="22" xfId="0" applyNumberFormat="1" applyFont="1" applyFill="1" applyBorder="1" applyProtection="1">
      <protection locked="0"/>
    </xf>
    <xf numFmtId="0" fontId="4" fillId="6" borderId="3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/>
    </xf>
    <xf numFmtId="0" fontId="6" fillId="6" borderId="23" xfId="0" applyFont="1" applyFill="1" applyBorder="1" applyProtection="1"/>
    <xf numFmtId="0" fontId="6" fillId="6" borderId="24" xfId="0" applyFont="1" applyFill="1" applyBorder="1" applyProtection="1"/>
    <xf numFmtId="0" fontId="4" fillId="6" borderId="0" xfId="0" applyFont="1" applyFill="1" applyBorder="1" applyProtection="1"/>
    <xf numFmtId="0" fontId="4" fillId="6" borderId="25" xfId="0" applyFont="1" applyFill="1" applyBorder="1" applyProtection="1"/>
    <xf numFmtId="0" fontId="6" fillId="6" borderId="26" xfId="0" applyFont="1" applyFill="1" applyBorder="1" applyProtection="1"/>
    <xf numFmtId="0" fontId="4" fillId="6" borderId="26" xfId="0" applyFont="1" applyFill="1" applyBorder="1" applyAlignment="1" applyProtection="1">
      <alignment horizontal="left"/>
    </xf>
    <xf numFmtId="0" fontId="4" fillId="6" borderId="26" xfId="0" applyFont="1" applyFill="1" applyBorder="1" applyProtection="1"/>
    <xf numFmtId="0" fontId="6" fillId="6" borderId="27" xfId="0" applyFont="1" applyFill="1" applyBorder="1" applyProtection="1"/>
    <xf numFmtId="49" fontId="4" fillId="6" borderId="28" xfId="0" applyNumberFormat="1" applyFont="1" applyFill="1" applyBorder="1" applyAlignment="1" applyProtection="1">
      <alignment horizontal="left"/>
    </xf>
    <xf numFmtId="49" fontId="4" fillId="6" borderId="29" xfId="0" applyNumberFormat="1" applyFont="1" applyFill="1" applyBorder="1" applyAlignment="1" applyProtection="1">
      <alignment horizontal="left"/>
    </xf>
    <xf numFmtId="0" fontId="6" fillId="6" borderId="30" xfId="0" applyFont="1" applyFill="1" applyBorder="1" applyProtection="1"/>
    <xf numFmtId="0" fontId="4" fillId="6" borderId="31" xfId="0" applyFont="1" applyFill="1" applyBorder="1" applyProtection="1"/>
    <xf numFmtId="3" fontId="6" fillId="6" borderId="23" xfId="0" applyNumberFormat="1" applyFont="1" applyFill="1" applyBorder="1" applyProtection="1"/>
    <xf numFmtId="3" fontId="6" fillId="6" borderId="24" xfId="0" applyNumberFormat="1" applyFont="1" applyFill="1" applyBorder="1" applyProtection="1"/>
    <xf numFmtId="3" fontId="4" fillId="6" borderId="24" xfId="0" applyNumberFormat="1" applyFont="1" applyFill="1" applyBorder="1" applyProtection="1"/>
    <xf numFmtId="0" fontId="7" fillId="6" borderId="1" xfId="0" applyFont="1" applyFill="1" applyBorder="1" applyProtection="1"/>
    <xf numFmtId="0" fontId="4" fillId="6" borderId="24" xfId="0" applyFont="1" applyFill="1" applyBorder="1" applyProtection="1"/>
    <xf numFmtId="0" fontId="4" fillId="6" borderId="32" xfId="0" applyFont="1" applyFill="1" applyBorder="1" applyProtection="1"/>
    <xf numFmtId="0" fontId="6" fillId="6" borderId="33" xfId="0" applyFont="1" applyFill="1" applyBorder="1" applyProtection="1"/>
    <xf numFmtId="0" fontId="6" fillId="6" borderId="34" xfId="0" applyFont="1" applyFill="1" applyBorder="1" applyProtection="1"/>
    <xf numFmtId="0" fontId="6" fillId="6" borderId="35" xfId="0" applyFont="1" applyFill="1" applyBorder="1" applyProtection="1"/>
    <xf numFmtId="0" fontId="6" fillId="6" borderId="31" xfId="0" applyFont="1" applyFill="1" applyBorder="1" applyProtection="1"/>
    <xf numFmtId="0" fontId="6" fillId="6" borderId="0" xfId="0" applyFont="1" applyFill="1" applyBorder="1" applyProtection="1"/>
    <xf numFmtId="0" fontId="6" fillId="6" borderId="36" xfId="0" applyFont="1" applyFill="1" applyBorder="1" applyProtection="1"/>
    <xf numFmtId="164" fontId="4" fillId="6" borderId="37" xfId="0" applyNumberFormat="1" applyFont="1" applyFill="1" applyBorder="1" applyProtection="1"/>
    <xf numFmtId="0" fontId="4" fillId="6" borderId="38" xfId="0" applyFont="1" applyFill="1" applyBorder="1" applyProtection="1"/>
    <xf numFmtId="164" fontId="4" fillId="6" borderId="39" xfId="0" applyNumberFormat="1" applyFont="1" applyFill="1" applyBorder="1" applyProtection="1"/>
    <xf numFmtId="164" fontId="4" fillId="6" borderId="40" xfId="0" applyNumberFormat="1" applyFont="1" applyFill="1" applyBorder="1" applyProtection="1"/>
    <xf numFmtId="0" fontId="4" fillId="6" borderId="30" xfId="0" applyFont="1" applyFill="1" applyBorder="1" applyProtection="1"/>
    <xf numFmtId="0" fontId="4" fillId="6" borderId="34" xfId="0" applyFont="1" applyFill="1" applyBorder="1" applyProtection="1"/>
    <xf numFmtId="171" fontId="4" fillId="6" borderId="19" xfId="0" applyNumberFormat="1" applyFont="1" applyFill="1" applyBorder="1" applyProtection="1"/>
    <xf numFmtId="171" fontId="4" fillId="6" borderId="29" xfId="0" applyNumberFormat="1" applyFont="1" applyFill="1" applyBorder="1" applyProtection="1"/>
    <xf numFmtId="3" fontId="6" fillId="6" borderId="5" xfId="0" applyNumberFormat="1" applyFont="1" applyFill="1" applyBorder="1" applyProtection="1"/>
    <xf numFmtId="3" fontId="4" fillId="0" borderId="41" xfId="0" applyNumberFormat="1" applyFont="1" applyFill="1" applyBorder="1" applyProtection="1">
      <protection locked="0"/>
    </xf>
    <xf numFmtId="3" fontId="4" fillId="0" borderId="42" xfId="0" applyNumberFormat="1" applyFont="1" applyFill="1" applyBorder="1" applyProtection="1">
      <protection locked="0"/>
    </xf>
    <xf numFmtId="171" fontId="4" fillId="6" borderId="27" xfId="0" applyNumberFormat="1" applyFont="1" applyFill="1" applyBorder="1" applyProtection="1"/>
    <xf numFmtId="3" fontId="4" fillId="0" borderId="11" xfId="0" applyNumberFormat="1" applyFont="1" applyFill="1" applyBorder="1" applyProtection="1">
      <protection locked="0"/>
    </xf>
    <xf numFmtId="3" fontId="4" fillId="6" borderId="12" xfId="0" applyNumberFormat="1" applyFont="1" applyFill="1" applyBorder="1" applyProtection="1"/>
    <xf numFmtId="3" fontId="4" fillId="6" borderId="43" xfId="0" applyNumberFormat="1" applyFont="1" applyFill="1" applyBorder="1" applyProtection="1"/>
    <xf numFmtId="0" fontId="4" fillId="6" borderId="44" xfId="0" applyFont="1" applyFill="1" applyBorder="1"/>
    <xf numFmtId="0" fontId="4" fillId="6" borderId="39" xfId="0" applyFont="1" applyFill="1" applyBorder="1" applyProtection="1"/>
    <xf numFmtId="0" fontId="4" fillId="6" borderId="40" xfId="0" applyFont="1" applyFill="1" applyBorder="1" applyProtection="1"/>
    <xf numFmtId="0" fontId="5" fillId="6" borderId="34" xfId="0" applyFont="1" applyFill="1" applyBorder="1" applyProtection="1"/>
    <xf numFmtId="0" fontId="23" fillId="6" borderId="27" xfId="0" applyFont="1" applyFill="1" applyBorder="1" applyProtection="1"/>
    <xf numFmtId="0" fontId="6" fillId="6" borderId="45" xfId="0" applyNumberFormat="1" applyFont="1" applyFill="1" applyBorder="1" applyAlignment="1" applyProtection="1">
      <alignment horizontal="left"/>
    </xf>
    <xf numFmtId="0" fontId="4" fillId="6" borderId="36" xfId="0" applyFont="1" applyFill="1" applyBorder="1" applyProtection="1"/>
    <xf numFmtId="3" fontId="10" fillId="6" borderId="36" xfId="9" applyNumberFormat="1" applyFont="1" applyFill="1" applyBorder="1" applyProtection="1"/>
    <xf numFmtId="0" fontId="4" fillId="6" borderId="33" xfId="0" applyFont="1" applyFill="1" applyBorder="1" applyProtection="1"/>
    <xf numFmtId="3" fontId="10" fillId="6" borderId="46" xfId="9" applyNumberFormat="1" applyFont="1" applyFill="1" applyBorder="1" applyProtection="1"/>
    <xf numFmtId="0" fontId="5" fillId="6" borderId="35" xfId="0" applyFont="1" applyFill="1" applyBorder="1" applyProtection="1"/>
    <xf numFmtId="3" fontId="10" fillId="6" borderId="0" xfId="9" applyNumberFormat="1" applyFont="1" applyFill="1" applyBorder="1" applyProtection="1"/>
    <xf numFmtId="0" fontId="4" fillId="6" borderId="1" xfId="0" applyFont="1" applyFill="1" applyBorder="1" applyAlignment="1" applyProtection="1">
      <alignment vertical="top"/>
    </xf>
    <xf numFmtId="9" fontId="6" fillId="6" borderId="0" xfId="9" applyFont="1" applyFill="1" applyBorder="1" applyProtection="1"/>
    <xf numFmtId="9" fontId="6" fillId="6" borderId="3" xfId="9" applyFont="1" applyFill="1" applyBorder="1" applyProtection="1"/>
    <xf numFmtId="9" fontId="4" fillId="6" borderId="47" xfId="9" applyFont="1" applyFill="1" applyBorder="1" applyProtection="1"/>
    <xf numFmtId="9" fontId="4" fillId="6" borderId="39" xfId="9" applyFont="1" applyFill="1" applyBorder="1" applyProtection="1"/>
    <xf numFmtId="9" fontId="6" fillId="6" borderId="34" xfId="9" applyFont="1" applyFill="1" applyBorder="1" applyProtection="1"/>
    <xf numFmtId="0" fontId="4" fillId="6" borderId="47" xfId="0" applyFont="1" applyFill="1" applyBorder="1" applyProtection="1"/>
    <xf numFmtId="0" fontId="6" fillId="6" borderId="48" xfId="0" applyFont="1" applyFill="1" applyBorder="1" applyProtection="1"/>
    <xf numFmtId="0" fontId="13" fillId="6" borderId="33" xfId="0" applyFont="1" applyFill="1" applyBorder="1" applyProtection="1"/>
    <xf numFmtId="0" fontId="4" fillId="6" borderId="3" xfId="0" applyFont="1" applyFill="1" applyBorder="1" applyAlignment="1" applyProtection="1">
      <alignment vertical="top"/>
    </xf>
    <xf numFmtId="49" fontId="6" fillId="6" borderId="28" xfId="0" applyNumberFormat="1" applyFont="1" applyFill="1" applyBorder="1" applyAlignment="1" applyProtection="1">
      <alignment horizontal="left"/>
    </xf>
    <xf numFmtId="49" fontId="6" fillId="6" borderId="29" xfId="0" applyNumberFormat="1" applyFont="1" applyFill="1" applyBorder="1" applyAlignment="1" applyProtection="1">
      <alignment horizontal="left"/>
    </xf>
    <xf numFmtId="0" fontId="6" fillId="6" borderId="37" xfId="0" applyFont="1" applyFill="1" applyBorder="1" applyAlignment="1" applyProtection="1">
      <alignment horizontal="center"/>
    </xf>
    <xf numFmtId="0" fontId="6" fillId="6" borderId="7" xfId="0" applyNumberFormat="1" applyFont="1" applyFill="1" applyBorder="1" applyAlignment="1" applyProtection="1">
      <alignment horizontal="left"/>
    </xf>
    <xf numFmtId="0" fontId="4" fillId="6" borderId="6" xfId="0" applyFont="1" applyFill="1" applyBorder="1" applyAlignment="1" applyProtection="1">
      <alignment horizontal="center"/>
    </xf>
    <xf numFmtId="0" fontId="4" fillId="6" borderId="49" xfId="0" applyNumberFormat="1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3" fontId="4" fillId="6" borderId="2" xfId="0" applyNumberFormat="1" applyFont="1" applyFill="1" applyBorder="1" applyAlignment="1" applyProtection="1">
      <alignment horizontal="center"/>
    </xf>
    <xf numFmtId="0" fontId="6" fillId="6" borderId="50" xfId="0" applyFont="1" applyFill="1" applyBorder="1" applyAlignment="1" applyProtection="1">
      <alignment vertical="top" wrapText="1"/>
    </xf>
    <xf numFmtId="0" fontId="28" fillId="6" borderId="1" xfId="0" applyFont="1" applyFill="1" applyBorder="1" applyAlignment="1" applyProtection="1">
      <alignment vertical="top" wrapText="1"/>
    </xf>
    <xf numFmtId="0" fontId="28" fillId="6" borderId="46" xfId="0" applyFont="1" applyFill="1" applyBorder="1" applyAlignment="1" applyProtection="1">
      <alignment vertical="top" wrapText="1"/>
    </xf>
    <xf numFmtId="0" fontId="26" fillId="6" borderId="3" xfId="0" applyFont="1" applyFill="1" applyBorder="1" applyProtection="1"/>
    <xf numFmtId="0" fontId="6" fillId="6" borderId="13" xfId="0" applyFont="1" applyFill="1" applyBorder="1" applyProtection="1"/>
    <xf numFmtId="0" fontId="4" fillId="6" borderId="51" xfId="0" applyFont="1" applyFill="1" applyBorder="1" applyProtection="1"/>
    <xf numFmtId="0" fontId="26" fillId="6" borderId="2" xfId="0" applyFont="1" applyFill="1" applyBorder="1" applyProtection="1"/>
    <xf numFmtId="0" fontId="38" fillId="6" borderId="2" xfId="0" applyFont="1" applyFill="1" applyBorder="1" applyProtection="1"/>
    <xf numFmtId="3" fontId="4" fillId="6" borderId="13" xfId="0" applyNumberFormat="1" applyFont="1" applyFill="1" applyBorder="1" applyProtection="1"/>
    <xf numFmtId="3" fontId="4" fillId="6" borderId="52" xfId="0" applyNumberFormat="1" applyFont="1" applyFill="1" applyBorder="1" applyProtection="1"/>
    <xf numFmtId="3" fontId="4" fillId="4" borderId="12" xfId="0" applyNumberFormat="1" applyFont="1" applyFill="1" applyBorder="1" applyProtection="1"/>
    <xf numFmtId="49" fontId="4" fillId="6" borderId="47" xfId="0" applyNumberFormat="1" applyFont="1" applyFill="1" applyBorder="1" applyAlignment="1" applyProtection="1">
      <alignment horizontal="left"/>
    </xf>
    <xf numFmtId="0" fontId="4" fillId="6" borderId="53" xfId="0" quotePrefix="1" applyFont="1" applyFill="1" applyBorder="1" applyProtection="1"/>
    <xf numFmtId="0" fontId="4" fillId="6" borderId="28" xfId="0" applyFont="1" applyFill="1" applyBorder="1" applyProtection="1"/>
    <xf numFmtId="0" fontId="4" fillId="6" borderId="1" xfId="0" applyFont="1" applyFill="1" applyBorder="1" applyAlignment="1" applyProtection="1">
      <alignment horizontal="left" vertical="top"/>
    </xf>
    <xf numFmtId="49" fontId="6" fillId="6" borderId="28" xfId="0" quotePrefix="1" applyNumberFormat="1" applyFont="1" applyFill="1" applyBorder="1" applyAlignment="1" applyProtection="1">
      <alignment horizontal="left"/>
    </xf>
    <xf numFmtId="0" fontId="6" fillId="6" borderId="55" xfId="0" applyFont="1" applyFill="1" applyBorder="1" applyProtection="1"/>
    <xf numFmtId="0" fontId="6" fillId="6" borderId="56" xfId="0" applyFont="1" applyFill="1" applyBorder="1" applyProtection="1"/>
    <xf numFmtId="0" fontId="6" fillId="6" borderId="57" xfId="0" applyFont="1" applyFill="1" applyBorder="1" applyProtection="1"/>
    <xf numFmtId="49" fontId="4" fillId="6" borderId="28" xfId="0" applyNumberFormat="1" applyFont="1" applyFill="1" applyBorder="1" applyProtection="1"/>
    <xf numFmtId="3" fontId="4" fillId="6" borderId="3" xfId="0" applyNumberFormat="1" applyFont="1" applyFill="1" applyBorder="1" applyProtection="1"/>
    <xf numFmtId="3" fontId="4" fillId="6" borderId="58" xfId="0" applyNumberFormat="1" applyFont="1" applyFill="1" applyBorder="1" applyProtection="1"/>
    <xf numFmtId="0" fontId="4" fillId="7" borderId="0" xfId="0" applyFont="1" applyFill="1" applyBorder="1" applyProtection="1"/>
    <xf numFmtId="0" fontId="6" fillId="7" borderId="0" xfId="0" applyFont="1" applyFill="1" applyBorder="1" applyProtection="1"/>
    <xf numFmtId="3" fontId="4" fillId="7" borderId="0" xfId="0" applyNumberFormat="1" applyFont="1" applyFill="1" applyBorder="1" applyProtection="1"/>
    <xf numFmtId="164" fontId="4" fillId="7" borderId="0" xfId="0" applyNumberFormat="1" applyFont="1" applyFill="1" applyBorder="1" applyProtection="1"/>
    <xf numFmtId="171" fontId="4" fillId="7" borderId="0" xfId="0" applyNumberFormat="1" applyFont="1" applyFill="1" applyBorder="1" applyProtection="1"/>
    <xf numFmtId="0" fontId="4" fillId="7" borderId="0" xfId="0" applyFont="1" applyFill="1" applyBorder="1"/>
    <xf numFmtId="9" fontId="4" fillId="7" borderId="0" xfId="0" applyNumberFormat="1" applyFont="1" applyFill="1" applyBorder="1" applyProtection="1"/>
    <xf numFmtId="49" fontId="4" fillId="7" borderId="0" xfId="0" applyNumberFormat="1" applyFont="1" applyFill="1" applyBorder="1" applyProtection="1"/>
    <xf numFmtId="3" fontId="6" fillId="7" borderId="0" xfId="0" applyNumberFormat="1" applyFont="1" applyFill="1" applyBorder="1" applyProtection="1"/>
    <xf numFmtId="0" fontId="18" fillId="7" borderId="0" xfId="0" applyFont="1" applyFill="1" applyBorder="1" applyProtection="1"/>
    <xf numFmtId="1" fontId="4" fillId="7" borderId="0" xfId="0" applyNumberFormat="1" applyFont="1" applyFill="1" applyBorder="1" applyProtection="1"/>
    <xf numFmtId="0" fontId="3" fillId="7" borderId="0" xfId="0" applyFont="1" applyFill="1"/>
    <xf numFmtId="0" fontId="55" fillId="7" borderId="0" xfId="0" quotePrefix="1" applyFont="1" applyFill="1" applyBorder="1" applyAlignment="1" applyProtection="1">
      <alignment horizontal="left"/>
    </xf>
    <xf numFmtId="0" fontId="6" fillId="7" borderId="0" xfId="0" quotePrefix="1" applyFont="1" applyFill="1" applyBorder="1" applyAlignment="1" applyProtection="1">
      <alignment horizontal="left"/>
    </xf>
    <xf numFmtId="0" fontId="4" fillId="7" borderId="0" xfId="0" applyFont="1" applyFill="1" applyBorder="1" applyAlignment="1" applyProtection="1">
      <alignment horizontal="center"/>
    </xf>
    <xf numFmtId="0" fontId="10" fillId="7" borderId="0" xfId="0" applyFont="1" applyFill="1" applyBorder="1" applyAlignment="1" applyProtection="1">
      <alignment horizontal="left"/>
    </xf>
    <xf numFmtId="0" fontId="4" fillId="7" borderId="0" xfId="0" applyFont="1" applyFill="1" applyProtection="1"/>
    <xf numFmtId="0" fontId="8" fillId="7" borderId="0" xfId="0" applyFont="1" applyFill="1" applyProtection="1"/>
    <xf numFmtId="0" fontId="11" fillId="7" borderId="0" xfId="0" applyFont="1" applyFill="1" applyBorder="1" applyProtection="1"/>
    <xf numFmtId="171" fontId="4" fillId="7" borderId="0" xfId="0" applyNumberFormat="1" applyFont="1" applyFill="1" applyBorder="1" applyAlignment="1" applyProtection="1">
      <alignment vertical="top" wrapText="1"/>
    </xf>
    <xf numFmtId="171" fontId="4" fillId="7" borderId="0" xfId="0" applyNumberFormat="1" applyFont="1" applyFill="1" applyBorder="1" applyAlignment="1">
      <alignment vertical="top" wrapText="1"/>
    </xf>
    <xf numFmtId="0" fontId="8" fillId="7" borderId="0" xfId="0" applyFont="1" applyFill="1" applyBorder="1" applyAlignment="1" applyProtection="1">
      <alignment wrapText="1"/>
    </xf>
    <xf numFmtId="0" fontId="41" fillId="7" borderId="0" xfId="0" applyFont="1" applyFill="1" applyProtection="1"/>
    <xf numFmtId="0" fontId="0" fillId="7" borderId="0" xfId="0" applyFill="1" applyProtection="1"/>
    <xf numFmtId="0" fontId="40" fillId="7" borderId="0" xfId="0" applyFont="1" applyFill="1" applyProtection="1"/>
    <xf numFmtId="0" fontId="9" fillId="7" borderId="0" xfId="0" applyFont="1" applyFill="1" applyProtection="1"/>
    <xf numFmtId="0" fontId="4" fillId="6" borderId="24" xfId="0" quotePrefix="1" applyFont="1" applyFill="1" applyBorder="1" applyProtection="1"/>
    <xf numFmtId="0" fontId="4" fillId="6" borderId="3" xfId="0" quotePrefix="1" applyFont="1" applyFill="1" applyBorder="1" applyProtection="1"/>
    <xf numFmtId="9" fontId="4" fillId="6" borderId="0" xfId="0" applyNumberFormat="1" applyFont="1" applyFill="1" applyBorder="1" applyProtection="1"/>
    <xf numFmtId="3" fontId="4" fillId="6" borderId="14" xfId="0" applyNumberFormat="1" applyFont="1" applyFill="1" applyBorder="1" applyProtection="1"/>
    <xf numFmtId="9" fontId="4" fillId="6" borderId="3" xfId="0" applyNumberFormat="1" applyFont="1" applyFill="1" applyBorder="1" applyProtection="1"/>
    <xf numFmtId="3" fontId="4" fillId="6" borderId="59" xfId="0" applyNumberFormat="1" applyFont="1" applyFill="1" applyBorder="1" applyProtection="1"/>
    <xf numFmtId="3" fontId="4" fillId="6" borderId="30" xfId="0" applyNumberFormat="1" applyFont="1" applyFill="1" applyBorder="1" applyProtection="1"/>
    <xf numFmtId="0" fontId="4" fillId="6" borderId="46" xfId="0" applyFont="1" applyFill="1" applyBorder="1" applyProtection="1"/>
    <xf numFmtId="0" fontId="4" fillId="6" borderId="6" xfId="0" applyFont="1" applyFill="1" applyBorder="1" applyAlignment="1" applyProtection="1">
      <alignment vertical="top"/>
    </xf>
    <xf numFmtId="9" fontId="4" fillId="6" borderId="30" xfId="0" applyNumberFormat="1" applyFont="1" applyFill="1" applyBorder="1" applyProtection="1"/>
    <xf numFmtId="0" fontId="56" fillId="7" borderId="0" xfId="0" quotePrefix="1" applyFont="1" applyFill="1" applyBorder="1" applyAlignment="1" applyProtection="1">
      <alignment horizontal="left"/>
    </xf>
    <xf numFmtId="0" fontId="8" fillId="7" borderId="0" xfId="0" applyFont="1" applyFill="1" applyBorder="1" applyProtection="1"/>
    <xf numFmtId="0" fontId="53" fillId="7" borderId="0" xfId="0" quotePrefix="1" applyFont="1" applyFill="1" applyBorder="1" applyAlignment="1" applyProtection="1">
      <alignment horizontal="left"/>
    </xf>
    <xf numFmtId="0" fontId="13" fillId="7" borderId="0" xfId="0" applyFont="1" applyFill="1" applyBorder="1" applyProtection="1"/>
    <xf numFmtId="1" fontId="4" fillId="7" borderId="0" xfId="9" applyNumberFormat="1" applyFont="1" applyFill="1" applyBorder="1" applyAlignment="1" applyProtection="1">
      <alignment horizontal="center"/>
    </xf>
    <xf numFmtId="0" fontId="5" fillId="7" borderId="0" xfId="0" applyFont="1" applyFill="1" applyBorder="1" applyAlignment="1" applyProtection="1">
      <alignment horizontal="center"/>
    </xf>
    <xf numFmtId="3" fontId="10" fillId="7" borderId="0" xfId="9" applyNumberFormat="1" applyFont="1" applyFill="1" applyBorder="1" applyProtection="1"/>
    <xf numFmtId="3" fontId="3" fillId="7" borderId="0" xfId="9" applyNumberFormat="1" applyFont="1" applyFill="1" applyBorder="1" applyProtection="1"/>
    <xf numFmtId="166" fontId="3" fillId="7" borderId="0" xfId="9" applyNumberFormat="1" applyFont="1" applyFill="1" applyBorder="1" applyProtection="1"/>
    <xf numFmtId="9" fontId="6" fillId="7" borderId="0" xfId="9" applyFont="1" applyFill="1" applyBorder="1" applyProtection="1"/>
    <xf numFmtId="166" fontId="6" fillId="7" borderId="0" xfId="8" applyNumberFormat="1" applyFont="1" applyFill="1" applyBorder="1" applyAlignment="1" applyProtection="1">
      <alignment horizontal="right"/>
    </xf>
    <xf numFmtId="1" fontId="6" fillId="7" borderId="0" xfId="8" applyNumberFormat="1" applyFont="1" applyFill="1" applyBorder="1" applyAlignment="1" applyProtection="1">
      <alignment horizontal="right"/>
    </xf>
    <xf numFmtId="164" fontId="17" fillId="7" borderId="0" xfId="8" applyNumberFormat="1" applyFont="1" applyFill="1" applyBorder="1" applyProtection="1"/>
    <xf numFmtId="164" fontId="17" fillId="7" borderId="0" xfId="8" applyNumberFormat="1" applyFill="1" applyBorder="1" applyProtection="1"/>
    <xf numFmtId="166" fontId="4" fillId="7" borderId="0" xfId="8" applyNumberFormat="1" applyFont="1" applyFill="1" applyBorder="1" applyProtection="1"/>
    <xf numFmtId="164" fontId="6" fillId="7" borderId="0" xfId="8" applyNumberFormat="1" applyFont="1" applyFill="1" applyBorder="1" applyAlignment="1" applyProtection="1">
      <alignment horizontal="right"/>
    </xf>
    <xf numFmtId="164" fontId="32" fillId="7" borderId="0" xfId="8" applyNumberFormat="1" applyFont="1" applyFill="1" applyBorder="1" applyProtection="1"/>
    <xf numFmtId="165" fontId="4" fillId="7" borderId="0" xfId="0" applyNumberFormat="1" applyFont="1" applyFill="1" applyBorder="1" applyProtection="1"/>
    <xf numFmtId="166" fontId="4" fillId="7" borderId="0" xfId="9" applyNumberFormat="1" applyFont="1" applyFill="1" applyBorder="1" applyProtection="1"/>
    <xf numFmtId="0" fontId="3" fillId="7" borderId="0" xfId="0" applyFont="1" applyFill="1" applyBorder="1" applyProtection="1"/>
    <xf numFmtId="0" fontId="10" fillId="7" borderId="0" xfId="8" applyFont="1" applyFill="1" applyBorder="1" applyAlignment="1" applyProtection="1">
      <alignment horizontal="right"/>
    </xf>
    <xf numFmtId="1" fontId="10" fillId="7" borderId="0" xfId="8" applyNumberFormat="1" applyFont="1" applyFill="1" applyBorder="1" applyAlignment="1" applyProtection="1">
      <alignment horizontal="right"/>
    </xf>
    <xf numFmtId="0" fontId="17" fillId="7" borderId="0" xfId="8" applyFill="1" applyBorder="1" applyProtection="1"/>
    <xf numFmtId="164" fontId="10" fillId="7" borderId="0" xfId="8" applyNumberFormat="1" applyFont="1" applyFill="1" applyBorder="1" applyAlignment="1" applyProtection="1">
      <alignment horizontal="right"/>
    </xf>
    <xf numFmtId="0" fontId="0" fillId="7" borderId="0" xfId="0" applyFill="1" applyBorder="1" applyProtection="1"/>
    <xf numFmtId="9" fontId="3" fillId="7" borderId="0" xfId="9" applyFont="1" applyFill="1" applyBorder="1" applyProtection="1"/>
    <xf numFmtId="9" fontId="3" fillId="7" borderId="0" xfId="9" applyFont="1" applyFill="1" applyProtection="1"/>
    <xf numFmtId="3" fontId="3" fillId="7" borderId="0" xfId="0" applyNumberFormat="1" applyFont="1" applyFill="1" applyBorder="1" applyProtection="1"/>
    <xf numFmtId="3" fontId="0" fillId="7" borderId="0" xfId="0" applyNumberFormat="1" applyFill="1" applyBorder="1" applyProtection="1"/>
    <xf numFmtId="9" fontId="59" fillId="7" borderId="0" xfId="9" applyFont="1" applyFill="1" applyBorder="1" applyProtection="1"/>
    <xf numFmtId="9" fontId="59" fillId="7" borderId="0" xfId="9" applyFont="1" applyFill="1" applyProtection="1"/>
    <xf numFmtId="0" fontId="6" fillId="7" borderId="0" xfId="8" applyFont="1" applyFill="1" applyBorder="1" applyAlignment="1" applyProtection="1">
      <alignment horizontal="right"/>
    </xf>
    <xf numFmtId="0" fontId="30" fillId="7" borderId="0" xfId="0" applyNumberFormat="1" applyFont="1" applyFill="1" applyBorder="1" applyAlignment="1" applyProtection="1">
      <alignment horizontal="right"/>
    </xf>
    <xf numFmtId="166" fontId="4" fillId="7" borderId="0" xfId="0" applyNumberFormat="1" applyFont="1" applyFill="1" applyBorder="1" applyProtection="1"/>
    <xf numFmtId="0" fontId="6" fillId="7" borderId="0" xfId="0" applyFont="1" applyFill="1" applyBorder="1" applyAlignment="1" applyProtection="1">
      <alignment horizontal="left"/>
    </xf>
    <xf numFmtId="0" fontId="4" fillId="7" borderId="0" xfId="8" applyFont="1" applyFill="1" applyBorder="1" applyAlignment="1" applyProtection="1">
      <alignment horizontal="right"/>
    </xf>
    <xf numFmtId="165" fontId="6" fillId="7" borderId="0" xfId="8" applyNumberFormat="1" applyFont="1" applyFill="1" applyBorder="1" applyAlignment="1" applyProtection="1">
      <alignment horizontal="right"/>
    </xf>
    <xf numFmtId="0" fontId="3" fillId="7" borderId="0" xfId="0" applyFont="1" applyFill="1" applyProtection="1"/>
    <xf numFmtId="0" fontId="33" fillId="7" borderId="0" xfId="0" applyNumberFormat="1" applyFont="1" applyFill="1" applyBorder="1" applyAlignment="1" applyProtection="1">
      <alignment horizontal="left"/>
    </xf>
    <xf numFmtId="3" fontId="10" fillId="7" borderId="0" xfId="0" applyNumberFormat="1" applyFont="1" applyFill="1" applyBorder="1" applyAlignment="1" applyProtection="1">
      <alignment horizontal="left"/>
    </xf>
    <xf numFmtId="166" fontId="6" fillId="7" borderId="0" xfId="0" applyNumberFormat="1" applyFont="1" applyFill="1" applyBorder="1" applyAlignment="1" applyProtection="1">
      <alignment horizontal="left"/>
    </xf>
    <xf numFmtId="164" fontId="6" fillId="7" borderId="0" xfId="0" applyNumberFormat="1" applyFont="1" applyFill="1" applyBorder="1" applyAlignment="1" applyProtection="1">
      <alignment horizontal="left"/>
    </xf>
    <xf numFmtId="165" fontId="6" fillId="7" borderId="0" xfId="0" applyNumberFormat="1" applyFont="1" applyFill="1" applyBorder="1" applyAlignment="1" applyProtection="1">
      <alignment horizontal="left"/>
    </xf>
    <xf numFmtId="1" fontId="4" fillId="7" borderId="0" xfId="8" applyNumberFormat="1" applyFont="1" applyFill="1" applyBorder="1" applyAlignment="1" applyProtection="1">
      <alignment horizontal="right"/>
    </xf>
    <xf numFmtId="164" fontId="10" fillId="7" borderId="0" xfId="0" applyNumberFormat="1" applyFont="1" applyFill="1" applyBorder="1" applyAlignment="1" applyProtection="1">
      <alignment horizontal="left"/>
    </xf>
    <xf numFmtId="164" fontId="33" fillId="7" borderId="0" xfId="0" applyNumberFormat="1" applyFont="1" applyFill="1" applyBorder="1" applyAlignment="1" applyProtection="1">
      <alignment horizontal="left"/>
    </xf>
    <xf numFmtId="164" fontId="57" fillId="7" borderId="0" xfId="8" applyNumberFormat="1" applyFont="1" applyFill="1" applyBorder="1" applyProtection="1"/>
    <xf numFmtId="164" fontId="3" fillId="7" borderId="0" xfId="0" applyNumberFormat="1" applyFont="1" applyFill="1" applyBorder="1" applyProtection="1"/>
    <xf numFmtId="164" fontId="0" fillId="7" borderId="0" xfId="0" applyNumberFormat="1" applyFill="1" applyBorder="1" applyProtection="1"/>
    <xf numFmtId="164" fontId="46" fillId="7" borderId="0" xfId="8" applyNumberFormat="1" applyFont="1" applyFill="1" applyBorder="1" applyProtection="1"/>
    <xf numFmtId="0" fontId="4" fillId="7" borderId="0" xfId="8" applyFont="1" applyFill="1" applyBorder="1" applyProtection="1"/>
    <xf numFmtId="164" fontId="8" fillId="7" borderId="0" xfId="8" applyNumberFormat="1" applyFont="1" applyFill="1" applyBorder="1" applyProtection="1"/>
    <xf numFmtId="164" fontId="28" fillId="7" borderId="0" xfId="8" applyNumberFormat="1" applyFont="1" applyFill="1" applyBorder="1" applyProtection="1"/>
    <xf numFmtId="164" fontId="4" fillId="7" borderId="0" xfId="8" applyNumberFormat="1" applyFont="1" applyFill="1" applyBorder="1" applyProtection="1"/>
    <xf numFmtId="0" fontId="8" fillId="7" borderId="0" xfId="8" applyFont="1" applyFill="1" applyBorder="1" applyProtection="1"/>
    <xf numFmtId="0" fontId="28" fillId="7" borderId="0" xfId="8" applyFont="1" applyFill="1" applyBorder="1" applyProtection="1"/>
    <xf numFmtId="165" fontId="4" fillId="7" borderId="0" xfId="8" applyNumberFormat="1" applyFont="1" applyFill="1" applyBorder="1" applyProtection="1"/>
    <xf numFmtId="0" fontId="8" fillId="7" borderId="0" xfId="8" applyFont="1" applyFill="1" applyBorder="1" applyAlignment="1" applyProtection="1">
      <alignment horizontal="right"/>
    </xf>
    <xf numFmtId="0" fontId="31" fillId="7" borderId="0" xfId="8" applyFont="1" applyFill="1" applyBorder="1" applyAlignment="1" applyProtection="1">
      <alignment horizontal="right"/>
    </xf>
    <xf numFmtId="164" fontId="8" fillId="7" borderId="0" xfId="8" applyNumberFormat="1" applyFont="1" applyFill="1" applyBorder="1" applyAlignment="1" applyProtection="1">
      <alignment horizontal="right"/>
    </xf>
    <xf numFmtId="164" fontId="58" fillId="7" borderId="0" xfId="8" applyNumberFormat="1" applyFont="1" applyFill="1" applyBorder="1" applyProtection="1"/>
    <xf numFmtId="49" fontId="6" fillId="7" borderId="0" xfId="0" applyNumberFormat="1" applyFont="1" applyFill="1" applyBorder="1" applyAlignment="1" applyProtection="1">
      <alignment horizontal="left"/>
    </xf>
    <xf numFmtId="49" fontId="4" fillId="7" borderId="0" xfId="0" applyNumberFormat="1" applyFont="1" applyFill="1" applyBorder="1" applyAlignment="1" applyProtection="1">
      <alignment horizontal="left"/>
    </xf>
    <xf numFmtId="0" fontId="6" fillId="7" borderId="0" xfId="0" applyFont="1" applyFill="1" applyBorder="1" applyAlignment="1" applyProtection="1">
      <alignment horizontal="center"/>
    </xf>
    <xf numFmtId="165" fontId="3" fillId="7" borderId="0" xfId="0" applyNumberFormat="1" applyFont="1" applyFill="1" applyBorder="1" applyProtection="1"/>
    <xf numFmtId="165" fontId="10" fillId="7" borderId="0" xfId="0" applyNumberFormat="1" applyFont="1" applyFill="1" applyBorder="1" applyAlignment="1" applyProtection="1">
      <alignment horizontal="left"/>
    </xf>
    <xf numFmtId="1" fontId="4" fillId="7" borderId="0" xfId="0" applyNumberFormat="1" applyFont="1" applyFill="1" applyBorder="1" applyAlignment="1" applyProtection="1">
      <alignment horizontal="left"/>
    </xf>
    <xf numFmtId="165" fontId="0" fillId="7" borderId="0" xfId="0" applyNumberFormat="1" applyFill="1" applyBorder="1" applyProtection="1"/>
    <xf numFmtId="165" fontId="35" fillId="7" borderId="0" xfId="0" applyNumberFormat="1" applyFont="1" applyFill="1" applyBorder="1" applyProtection="1"/>
    <xf numFmtId="166" fontId="10" fillId="7" borderId="0" xfId="9" applyNumberFormat="1" applyFont="1" applyFill="1" applyBorder="1" applyProtection="1"/>
    <xf numFmtId="3" fontId="30" fillId="7" borderId="0" xfId="9" applyNumberFormat="1" applyFont="1" applyFill="1" applyBorder="1" applyAlignment="1" applyProtection="1">
      <alignment horizontal="right"/>
    </xf>
    <xf numFmtId="3" fontId="5" fillId="7" borderId="0" xfId="0" applyNumberFormat="1" applyFont="1" applyFill="1" applyBorder="1" applyAlignment="1" applyProtection="1">
      <alignment horizontal="right"/>
    </xf>
    <xf numFmtId="3" fontId="30" fillId="7" borderId="0" xfId="0" applyNumberFormat="1" applyFont="1" applyFill="1" applyBorder="1" applyAlignment="1" applyProtection="1">
      <alignment horizontal="right"/>
    </xf>
    <xf numFmtId="3" fontId="10" fillId="7" borderId="0" xfId="8" applyNumberFormat="1" applyFont="1" applyFill="1" applyBorder="1" applyAlignment="1" applyProtection="1">
      <alignment horizontal="right"/>
    </xf>
    <xf numFmtId="0" fontId="33" fillId="7" borderId="0" xfId="8" applyNumberFormat="1" applyFont="1" applyFill="1" applyBorder="1" applyAlignment="1" applyProtection="1">
      <alignment horizontal="right"/>
    </xf>
    <xf numFmtId="1" fontId="33" fillId="7" borderId="0" xfId="8" applyNumberFormat="1" applyFont="1" applyFill="1" applyBorder="1" applyAlignment="1" applyProtection="1">
      <alignment horizontal="right"/>
    </xf>
    <xf numFmtId="3" fontId="17" fillId="7" borderId="0" xfId="8" applyNumberFormat="1" applyFont="1" applyFill="1" applyBorder="1" applyProtection="1"/>
    <xf numFmtId="3" fontId="17" fillId="7" borderId="0" xfId="8" applyNumberFormat="1" applyFill="1" applyBorder="1" applyProtection="1"/>
    <xf numFmtId="164" fontId="30" fillId="7" borderId="0" xfId="8" applyNumberFormat="1" applyFont="1" applyFill="1" applyBorder="1" applyAlignment="1" applyProtection="1">
      <alignment horizontal="right"/>
    </xf>
    <xf numFmtId="0" fontId="30" fillId="7" borderId="0" xfId="8" applyNumberFormat="1" applyFont="1" applyFill="1" applyBorder="1" applyAlignment="1" applyProtection="1">
      <alignment horizontal="right"/>
    </xf>
    <xf numFmtId="164" fontId="33" fillId="7" borderId="0" xfId="8" applyNumberFormat="1" applyFont="1" applyFill="1" applyBorder="1" applyAlignment="1" applyProtection="1">
      <alignment horizontal="right"/>
    </xf>
    <xf numFmtId="3" fontId="32" fillId="7" borderId="0" xfId="8" applyNumberFormat="1" applyFont="1" applyFill="1" applyBorder="1" applyProtection="1"/>
    <xf numFmtId="0" fontId="10" fillId="7" borderId="0" xfId="0" applyFont="1" applyFill="1" applyBorder="1" applyProtection="1"/>
    <xf numFmtId="0" fontId="17" fillId="7" borderId="0" xfId="8" applyFont="1" applyFill="1" applyProtection="1"/>
    <xf numFmtId="0" fontId="10" fillId="7" borderId="0" xfId="8" applyFont="1" applyFill="1" applyBorder="1" applyAlignment="1" applyProtection="1">
      <alignment horizontal="left"/>
    </xf>
    <xf numFmtId="0" fontId="17" fillId="7" borderId="0" xfId="8" applyFont="1" applyFill="1" applyBorder="1" applyProtection="1"/>
    <xf numFmtId="0" fontId="17" fillId="7" borderId="0" xfId="8" applyFill="1" applyProtection="1"/>
    <xf numFmtId="0" fontId="32" fillId="7" borderId="0" xfId="8" applyFont="1" applyFill="1" applyBorder="1" applyProtection="1"/>
    <xf numFmtId="0" fontId="29" fillId="7" borderId="0" xfId="0" applyFont="1" applyFill="1" applyBorder="1" applyAlignment="1" applyProtection="1">
      <alignment horizontal="left" indent="1"/>
    </xf>
    <xf numFmtId="0" fontId="5" fillId="7" borderId="0" xfId="0" applyFont="1" applyFill="1" applyBorder="1" applyProtection="1"/>
    <xf numFmtId="9" fontId="10" fillId="7" borderId="0" xfId="9" applyFont="1" applyFill="1" applyProtection="1"/>
    <xf numFmtId="9" fontId="6" fillId="7" borderId="25" xfId="9" applyFont="1" applyFill="1" applyBorder="1" applyProtection="1"/>
    <xf numFmtId="0" fontId="6" fillId="7" borderId="19" xfId="0" applyFont="1" applyFill="1" applyBorder="1" applyProtection="1"/>
    <xf numFmtId="3" fontId="6" fillId="7" borderId="19" xfId="0" applyNumberFormat="1" applyFont="1" applyFill="1" applyBorder="1" applyProtection="1"/>
    <xf numFmtId="3" fontId="4" fillId="7" borderId="19" xfId="0" applyNumberFormat="1" applyFont="1" applyFill="1" applyBorder="1" applyProtection="1"/>
    <xf numFmtId="0" fontId="25" fillId="7" borderId="0" xfId="0" applyFont="1" applyFill="1" applyBorder="1" applyProtection="1"/>
    <xf numFmtId="0" fontId="26" fillId="7" borderId="0" xfId="0" applyFont="1" applyFill="1" applyBorder="1" applyProtection="1"/>
    <xf numFmtId="0" fontId="7" fillId="7" borderId="0" xfId="0" applyFont="1" applyFill="1" applyBorder="1" applyProtection="1"/>
    <xf numFmtId="0" fontId="42" fillId="7" borderId="0" xfId="0" applyFont="1" applyFill="1" applyBorder="1" applyProtection="1"/>
    <xf numFmtId="0" fontId="47" fillId="7" borderId="0" xfId="0" applyFont="1" applyFill="1" applyProtection="1"/>
    <xf numFmtId="166" fontId="47" fillId="7" borderId="0" xfId="0" applyNumberFormat="1" applyFont="1" applyFill="1" applyProtection="1"/>
    <xf numFmtId="166" fontId="51" fillId="7" borderId="0" xfId="0" applyNumberFormat="1" applyFont="1" applyFill="1" applyProtection="1"/>
    <xf numFmtId="166" fontId="39" fillId="7" borderId="0" xfId="0" applyNumberFormat="1" applyFont="1" applyFill="1" applyProtection="1"/>
    <xf numFmtId="0" fontId="39" fillId="7" borderId="0" xfId="0" applyFont="1" applyFill="1" applyProtection="1"/>
    <xf numFmtId="0" fontId="5" fillId="7" borderId="0" xfId="0" applyFont="1" applyFill="1" applyProtection="1"/>
    <xf numFmtId="0" fontId="42" fillId="7" borderId="0" xfId="0" applyFont="1" applyFill="1" applyProtection="1"/>
    <xf numFmtId="0" fontId="31" fillId="7" borderId="0" xfId="0" applyFont="1" applyFill="1" applyBorder="1" applyProtection="1"/>
    <xf numFmtId="0" fontId="34" fillId="7" borderId="0" xfId="0" applyFont="1" applyFill="1" applyProtection="1"/>
    <xf numFmtId="0" fontId="4" fillId="7" borderId="0" xfId="0" applyFont="1" applyFill="1" applyAlignment="1" applyProtection="1">
      <alignment vertical="top"/>
    </xf>
    <xf numFmtId="3" fontId="23" fillId="7" borderId="0" xfId="0" applyNumberFormat="1" applyFont="1" applyFill="1" applyAlignment="1" applyProtection="1">
      <alignment vertical="top"/>
    </xf>
    <xf numFmtId="0" fontId="4" fillId="7" borderId="0" xfId="0" applyFont="1" applyFill="1" applyBorder="1" applyAlignment="1" applyProtection="1">
      <alignment horizontal="left"/>
    </xf>
    <xf numFmtId="0" fontId="38" fillId="7" borderId="0" xfId="0" applyFont="1" applyFill="1" applyBorder="1" applyProtection="1"/>
    <xf numFmtId="0" fontId="23" fillId="7" borderId="0" xfId="0" applyFont="1" applyFill="1" applyBorder="1" applyProtection="1"/>
    <xf numFmtId="0" fontId="6" fillId="7" borderId="0" xfId="0" applyFont="1" applyFill="1" applyProtection="1"/>
    <xf numFmtId="0" fontId="23" fillId="7" borderId="0" xfId="0" applyFont="1" applyFill="1" applyAlignment="1" applyProtection="1">
      <alignment horizontal="right"/>
    </xf>
    <xf numFmtId="171" fontId="34" fillId="7" borderId="0" xfId="0" applyNumberFormat="1" applyFont="1" applyFill="1" applyProtection="1"/>
    <xf numFmtId="171" fontId="48" fillId="7" borderId="0" xfId="0" applyNumberFormat="1" applyFont="1" applyFill="1" applyProtection="1"/>
    <xf numFmtId="0" fontId="10" fillId="7" borderId="0" xfId="0" applyFont="1" applyFill="1" applyProtection="1"/>
    <xf numFmtId="0" fontId="34" fillId="7" borderId="0" xfId="0" applyFont="1" applyFill="1" applyBorder="1" applyProtection="1"/>
    <xf numFmtId="0" fontId="37" fillId="7" borderId="0" xfId="0" applyFont="1" applyFill="1" applyBorder="1" applyProtection="1"/>
    <xf numFmtId="3" fontId="34" fillId="7" borderId="0" xfId="0" applyNumberFormat="1" applyFont="1" applyFill="1" applyBorder="1" applyProtection="1"/>
    <xf numFmtId="171" fontId="34" fillId="7" borderId="0" xfId="0" applyNumberFormat="1" applyFont="1" applyFill="1" applyBorder="1" applyProtection="1"/>
    <xf numFmtId="166" fontId="49" fillId="7" borderId="0" xfId="0" applyNumberFormat="1" applyFont="1" applyFill="1" applyProtection="1"/>
    <xf numFmtId="0" fontId="50" fillId="7" borderId="0" xfId="0" applyFont="1" applyFill="1" applyProtection="1"/>
    <xf numFmtId="3" fontId="24" fillId="7" borderId="0" xfId="0" applyNumberFormat="1" applyFont="1" applyFill="1" applyProtection="1"/>
    <xf numFmtId="171" fontId="24" fillId="7" borderId="0" xfId="0" applyNumberFormat="1" applyFont="1" applyFill="1" applyBorder="1" applyProtection="1"/>
    <xf numFmtId="171" fontId="23" fillId="7" borderId="0" xfId="0" applyNumberFormat="1" applyFont="1" applyFill="1" applyProtection="1"/>
    <xf numFmtId="171" fontId="8" fillId="7" borderId="0" xfId="0" applyNumberFormat="1" applyFont="1" applyFill="1" applyProtection="1"/>
    <xf numFmtId="0" fontId="24" fillId="7" borderId="0" xfId="0" applyFont="1" applyFill="1" applyProtection="1"/>
    <xf numFmtId="1" fontId="50" fillId="7" borderId="0" xfId="0" applyNumberFormat="1" applyFont="1" applyFill="1" applyProtection="1"/>
    <xf numFmtId="1" fontId="24" fillId="7" borderId="0" xfId="0" applyNumberFormat="1" applyFont="1" applyFill="1" applyProtection="1"/>
    <xf numFmtId="166" fontId="40" fillId="7" borderId="0" xfId="0" applyNumberFormat="1" applyFont="1" applyFill="1" applyProtection="1"/>
    <xf numFmtId="0" fontId="36" fillId="7" borderId="0" xfId="0" applyFont="1" applyFill="1" applyProtection="1"/>
    <xf numFmtId="0" fontId="5" fillId="7" borderId="0" xfId="0" applyFont="1" applyFill="1" applyBorder="1" applyAlignment="1" applyProtection="1">
      <alignment horizontal="left"/>
    </xf>
    <xf numFmtId="171" fontId="4" fillId="6" borderId="60" xfId="0" applyNumberFormat="1" applyFont="1" applyFill="1" applyBorder="1" applyProtection="1"/>
    <xf numFmtId="0" fontId="6" fillId="6" borderId="61" xfId="0" applyFont="1" applyFill="1" applyBorder="1" applyAlignment="1" applyProtection="1">
      <alignment vertical="top" wrapText="1"/>
    </xf>
    <xf numFmtId="0" fontId="4" fillId="6" borderId="61" xfId="0" applyFont="1" applyFill="1" applyBorder="1" applyAlignment="1" applyProtection="1">
      <alignment vertical="top" wrapText="1"/>
    </xf>
    <xf numFmtId="0" fontId="28" fillId="6" borderId="61" xfId="0" applyFont="1" applyFill="1" applyBorder="1" applyAlignment="1" applyProtection="1">
      <alignment vertical="top" wrapText="1"/>
    </xf>
    <xf numFmtId="0" fontId="28" fillId="6" borderId="55" xfId="0" applyFont="1" applyFill="1" applyBorder="1" applyAlignment="1" applyProtection="1">
      <alignment vertical="top" wrapText="1"/>
    </xf>
    <xf numFmtId="0" fontId="6" fillId="6" borderId="26" xfId="0" applyFont="1" applyFill="1" applyBorder="1" applyAlignment="1" applyProtection="1">
      <alignment vertical="top" wrapText="1"/>
    </xf>
    <xf numFmtId="0" fontId="28" fillId="6" borderId="26" xfId="0" applyFont="1" applyFill="1" applyBorder="1" applyAlignment="1" applyProtection="1">
      <alignment vertical="top" wrapText="1"/>
    </xf>
    <xf numFmtId="0" fontId="28" fillId="6" borderId="56" xfId="0" applyFont="1" applyFill="1" applyBorder="1" applyAlignment="1" applyProtection="1">
      <alignment vertical="top" wrapText="1"/>
    </xf>
    <xf numFmtId="0" fontId="6" fillId="6" borderId="46" xfId="0" applyFont="1" applyFill="1" applyBorder="1" applyProtection="1"/>
    <xf numFmtId="3" fontId="4" fillId="4" borderId="62" xfId="0" applyNumberFormat="1" applyFont="1" applyFill="1" applyBorder="1" applyProtection="1"/>
    <xf numFmtId="3" fontId="54" fillId="7" borderId="0" xfId="0" applyNumberFormat="1" applyFont="1" applyFill="1" applyBorder="1" applyProtection="1"/>
    <xf numFmtId="3" fontId="43" fillId="7" borderId="0" xfId="0" applyNumberFormat="1" applyFont="1" applyFill="1" applyBorder="1" applyProtection="1"/>
    <xf numFmtId="0" fontId="6" fillId="3" borderId="29" xfId="0" applyFont="1" applyFill="1" applyBorder="1" applyAlignment="1" applyProtection="1">
      <alignment horizontal="left"/>
    </xf>
    <xf numFmtId="0" fontId="4" fillId="3" borderId="29" xfId="0" applyFont="1" applyFill="1" applyBorder="1" applyAlignment="1" applyProtection="1">
      <alignment horizontal="left"/>
    </xf>
    <xf numFmtId="0" fontId="4" fillId="3" borderId="63" xfId="0" applyFont="1" applyFill="1" applyBorder="1" applyAlignment="1" applyProtection="1">
      <alignment horizontal="left"/>
    </xf>
    <xf numFmtId="0" fontId="6" fillId="6" borderId="37" xfId="0" applyFont="1" applyFill="1" applyBorder="1" applyProtection="1"/>
    <xf numFmtId="0" fontId="6" fillId="6" borderId="40" xfId="0" applyFont="1" applyFill="1" applyBorder="1" applyProtection="1"/>
    <xf numFmtId="3" fontId="54" fillId="4" borderId="65" xfId="0" applyNumberFormat="1" applyFont="1" applyFill="1" applyBorder="1" applyProtection="1"/>
    <xf numFmtId="3" fontId="26" fillId="6" borderId="29" xfId="0" applyNumberFormat="1" applyFont="1" applyFill="1" applyBorder="1" applyAlignment="1" applyProtection="1">
      <alignment horizontal="left"/>
    </xf>
    <xf numFmtId="3" fontId="26" fillId="6" borderId="28" xfId="0" applyNumberFormat="1" applyFont="1" applyFill="1" applyBorder="1" applyProtection="1"/>
    <xf numFmtId="3" fontId="26" fillId="6" borderId="29" xfId="0" applyNumberFormat="1" applyFont="1" applyFill="1" applyBorder="1" applyProtection="1"/>
    <xf numFmtId="3" fontId="26" fillId="6" borderId="28" xfId="0" applyNumberFormat="1" applyFont="1" applyFill="1" applyBorder="1" applyAlignment="1" applyProtection="1">
      <alignment horizontal="left"/>
    </xf>
    <xf numFmtId="0" fontId="4" fillId="6" borderId="66" xfId="0" applyFont="1" applyFill="1" applyBorder="1" applyProtection="1"/>
    <xf numFmtId="3" fontId="38" fillId="6" borderId="39" xfId="0" applyNumberFormat="1" applyFont="1" applyFill="1" applyBorder="1" applyProtection="1"/>
    <xf numFmtId="3" fontId="4" fillId="4" borderId="28" xfId="0" applyNumberFormat="1" applyFont="1" applyFill="1" applyBorder="1" applyProtection="1"/>
    <xf numFmtId="3" fontId="26" fillId="6" borderId="28" xfId="0" applyNumberFormat="1" applyFont="1" applyFill="1" applyBorder="1" applyAlignment="1" applyProtection="1">
      <alignment wrapText="1"/>
    </xf>
    <xf numFmtId="3" fontId="38" fillId="6" borderId="39" xfId="0" applyNumberFormat="1" applyFont="1" applyFill="1" applyBorder="1" applyAlignment="1" applyProtection="1">
      <alignment wrapText="1"/>
    </xf>
    <xf numFmtId="3" fontId="4" fillId="6" borderId="28" xfId="0" applyNumberFormat="1" applyFont="1" applyFill="1" applyBorder="1" applyAlignment="1" applyProtection="1">
      <alignment wrapText="1"/>
      <protection locked="0"/>
    </xf>
    <xf numFmtId="3" fontId="4" fillId="4" borderId="59" xfId="0" applyNumberFormat="1" applyFont="1" applyFill="1" applyBorder="1" applyProtection="1"/>
    <xf numFmtId="171" fontId="6" fillId="6" borderId="67" xfId="0" applyNumberFormat="1" applyFont="1" applyFill="1" applyBorder="1" applyProtection="1"/>
    <xf numFmtId="171" fontId="6" fillId="7" borderId="0" xfId="0" applyNumberFormat="1" applyFont="1" applyFill="1" applyBorder="1" applyProtection="1"/>
    <xf numFmtId="3" fontId="6" fillId="6" borderId="68" xfId="0" applyNumberFormat="1" applyFont="1" applyFill="1" applyBorder="1" applyProtection="1"/>
    <xf numFmtId="9" fontId="6" fillId="6" borderId="30" xfId="0" applyNumberFormat="1" applyFont="1" applyFill="1" applyBorder="1" applyProtection="1"/>
    <xf numFmtId="164" fontId="6" fillId="6" borderId="59" xfId="0" applyNumberFormat="1" applyFont="1" applyFill="1" applyBorder="1" applyProtection="1"/>
    <xf numFmtId="171" fontId="6" fillId="6" borderId="69" xfId="0" applyNumberFormat="1" applyFont="1" applyFill="1" applyBorder="1" applyProtection="1"/>
    <xf numFmtId="0" fontId="6" fillId="6" borderId="70" xfId="0" applyFont="1" applyFill="1" applyBorder="1" applyProtection="1"/>
    <xf numFmtId="0" fontId="6" fillId="6" borderId="71" xfId="0" applyFont="1" applyFill="1" applyBorder="1"/>
    <xf numFmtId="0" fontId="6" fillId="6" borderId="72" xfId="0" applyFont="1" applyFill="1" applyBorder="1" applyProtection="1"/>
    <xf numFmtId="3" fontId="6" fillId="4" borderId="23" xfId="0" applyNumberFormat="1" applyFont="1" applyFill="1" applyBorder="1" applyProtection="1"/>
    <xf numFmtId="3" fontId="6" fillId="4" borderId="12" xfId="0" applyNumberFormat="1" applyFont="1" applyFill="1" applyBorder="1" applyProtection="1"/>
    <xf numFmtId="3" fontId="6" fillId="4" borderId="1" xfId="0" applyNumberFormat="1" applyFont="1" applyFill="1" applyBorder="1" applyProtection="1"/>
    <xf numFmtId="0" fontId="4" fillId="6" borderId="44" xfId="0" applyFont="1" applyFill="1" applyBorder="1" applyProtection="1"/>
    <xf numFmtId="3" fontId="4" fillId="0" borderId="43" xfId="0" applyNumberFormat="1" applyFont="1" applyFill="1" applyBorder="1" applyProtection="1">
      <protection locked="0"/>
    </xf>
    <xf numFmtId="49" fontId="6" fillId="6" borderId="28" xfId="0" applyNumberFormat="1" applyFont="1" applyFill="1" applyBorder="1" applyProtection="1"/>
    <xf numFmtId="0" fontId="6" fillId="6" borderId="73" xfId="0" applyFont="1" applyFill="1" applyBorder="1" applyAlignment="1" applyProtection="1">
      <alignment horizontal="left" vertical="top" wrapText="1"/>
    </xf>
    <xf numFmtId="49" fontId="6" fillId="6" borderId="29" xfId="0" applyNumberFormat="1" applyFont="1" applyFill="1" applyBorder="1" applyProtection="1"/>
    <xf numFmtId="49" fontId="4" fillId="6" borderId="28" xfId="0" applyNumberFormat="1" applyFont="1" applyFill="1" applyBorder="1" applyAlignment="1" applyProtection="1">
      <alignment wrapText="1"/>
    </xf>
    <xf numFmtId="49" fontId="6" fillId="6" borderId="28" xfId="0" applyNumberFormat="1" applyFont="1" applyFill="1" applyBorder="1" applyAlignment="1" applyProtection="1">
      <alignment wrapText="1"/>
    </xf>
    <xf numFmtId="49" fontId="6" fillId="6" borderId="47" xfId="0" applyNumberFormat="1" applyFont="1" applyFill="1" applyBorder="1" applyAlignment="1" applyProtection="1">
      <alignment horizontal="left"/>
    </xf>
    <xf numFmtId="0" fontId="6" fillId="6" borderId="74" xfId="0" quotePrefix="1" applyFont="1" applyFill="1" applyBorder="1" applyAlignment="1" applyProtection="1">
      <alignment wrapText="1"/>
    </xf>
    <xf numFmtId="3" fontId="6" fillId="6" borderId="64" xfId="0" applyNumberFormat="1" applyFont="1" applyFill="1" applyBorder="1" applyProtection="1"/>
    <xf numFmtId="3" fontId="4" fillId="4" borderId="75" xfId="0" applyNumberFormat="1" applyFont="1" applyFill="1" applyBorder="1" applyProtection="1"/>
    <xf numFmtId="0" fontId="4" fillId="6" borderId="4" xfId="0" applyFont="1" applyFill="1" applyBorder="1" applyProtection="1"/>
    <xf numFmtId="0" fontId="4" fillId="6" borderId="72" xfId="0" applyFont="1" applyFill="1" applyBorder="1" applyProtection="1"/>
    <xf numFmtId="3" fontId="4" fillId="0" borderId="58" xfId="0" applyNumberFormat="1" applyFont="1" applyFill="1" applyBorder="1" applyProtection="1">
      <protection locked="0"/>
    </xf>
    <xf numFmtId="3" fontId="4" fillId="0" borderId="76" xfId="0" applyNumberFormat="1" applyFont="1" applyFill="1" applyBorder="1" applyProtection="1">
      <protection locked="0"/>
    </xf>
    <xf numFmtId="171" fontId="4" fillId="6" borderId="67" xfId="0" applyNumberFormat="1" applyFont="1" applyFill="1" applyBorder="1" applyProtection="1"/>
    <xf numFmtId="0" fontId="8" fillId="6" borderId="6" xfId="0" applyNumberFormat="1" applyFont="1" applyFill="1" applyBorder="1" applyProtection="1"/>
    <xf numFmtId="0" fontId="8" fillId="6" borderId="24" xfId="0" applyNumberFormat="1" applyFont="1" applyFill="1" applyBorder="1" applyProtection="1"/>
    <xf numFmtId="0" fontId="6" fillId="6" borderId="50" xfId="0" applyFont="1" applyFill="1" applyBorder="1" applyProtection="1"/>
    <xf numFmtId="9" fontId="4" fillId="6" borderId="25" xfId="0" applyNumberFormat="1" applyFont="1" applyFill="1" applyBorder="1" applyProtection="1"/>
    <xf numFmtId="9" fontId="4" fillId="6" borderId="77" xfId="0" applyNumberFormat="1" applyFont="1" applyFill="1" applyBorder="1" applyProtection="1"/>
    <xf numFmtId="9" fontId="4" fillId="6" borderId="60" xfId="0" applyNumberFormat="1" applyFont="1" applyFill="1" applyBorder="1" applyProtection="1"/>
    <xf numFmtId="3" fontId="26" fillId="6" borderId="78" xfId="0" applyNumberFormat="1" applyFont="1" applyFill="1" applyBorder="1" applyProtection="1"/>
    <xf numFmtId="0" fontId="6" fillId="6" borderId="44" xfId="0" applyFont="1" applyFill="1" applyBorder="1" applyProtection="1"/>
    <xf numFmtId="0" fontId="4" fillId="6" borderId="44" xfId="9" applyNumberFormat="1" applyFont="1" applyFill="1" applyBorder="1" applyAlignment="1" applyProtection="1">
      <alignment horizontal="left"/>
    </xf>
    <xf numFmtId="0" fontId="4" fillId="6" borderId="71" xfId="0" applyFont="1" applyFill="1" applyBorder="1" applyProtection="1"/>
    <xf numFmtId="49" fontId="4" fillId="6" borderId="39" xfId="0" applyNumberFormat="1" applyFont="1" applyFill="1" applyBorder="1" applyAlignment="1" applyProtection="1">
      <alignment horizontal="left"/>
    </xf>
    <xf numFmtId="9" fontId="4" fillId="6" borderId="1" xfId="0" applyNumberFormat="1" applyFont="1" applyFill="1" applyBorder="1" applyProtection="1"/>
    <xf numFmtId="3" fontId="4" fillId="6" borderId="12" xfId="0" applyNumberFormat="1" applyFont="1" applyFill="1" applyBorder="1" applyAlignment="1" applyProtection="1">
      <alignment horizontal="right"/>
    </xf>
    <xf numFmtId="3" fontId="4" fillId="6" borderId="79" xfId="0" applyNumberFormat="1" applyFont="1" applyFill="1" applyBorder="1" applyProtection="1"/>
    <xf numFmtId="3" fontId="4" fillId="0" borderId="5" xfId="0" applyNumberFormat="1" applyFont="1" applyFill="1" applyBorder="1" applyProtection="1">
      <protection locked="0"/>
    </xf>
    <xf numFmtId="3" fontId="4" fillId="0" borderId="80" xfId="0" applyNumberFormat="1" applyFont="1" applyFill="1" applyBorder="1" applyProtection="1">
      <protection locked="0"/>
    </xf>
    <xf numFmtId="0" fontId="0" fillId="6" borderId="0" xfId="0" applyFill="1" applyProtection="1"/>
    <xf numFmtId="0" fontId="12" fillId="6" borderId="0" xfId="0" applyFont="1" applyFill="1" applyProtection="1"/>
    <xf numFmtId="0" fontId="17" fillId="6" borderId="0" xfId="0" applyFont="1" applyFill="1" applyProtection="1"/>
    <xf numFmtId="0" fontId="0" fillId="6" borderId="0" xfId="0" applyFill="1" applyBorder="1" applyProtection="1"/>
    <xf numFmtId="0" fontId="18" fillId="7" borderId="0" xfId="0" applyFont="1" applyFill="1" applyProtection="1"/>
    <xf numFmtId="0" fontId="19" fillId="7" borderId="0" xfId="0" applyFont="1" applyFill="1" applyProtection="1"/>
    <xf numFmtId="0" fontId="20" fillId="7" borderId="0" xfId="0" applyFont="1" applyFill="1" applyProtection="1"/>
    <xf numFmtId="0" fontId="13" fillId="7" borderId="0" xfId="0" applyFont="1" applyFill="1" applyProtection="1"/>
    <xf numFmtId="0" fontId="12" fillId="7" borderId="0" xfId="0" applyFont="1" applyFill="1" applyProtection="1"/>
    <xf numFmtId="0" fontId="2" fillId="7" borderId="0" xfId="0" applyFont="1" applyFill="1" applyProtection="1"/>
    <xf numFmtId="0" fontId="21" fillId="7" borderId="0" xfId="0" applyFont="1" applyFill="1" applyProtection="1"/>
    <xf numFmtId="0" fontId="45" fillId="7" borderId="0" xfId="0" applyFont="1" applyFill="1" applyProtection="1"/>
    <xf numFmtId="0" fontId="12" fillId="6" borderId="0" xfId="0" applyFont="1" applyFill="1" applyBorder="1" applyProtection="1"/>
    <xf numFmtId="0" fontId="17" fillId="6" borderId="0" xfId="0" applyFont="1" applyFill="1" applyBorder="1" applyProtection="1"/>
    <xf numFmtId="0" fontId="3" fillId="6" borderId="0" xfId="0" applyFont="1" applyFill="1" applyBorder="1" applyProtection="1"/>
    <xf numFmtId="0" fontId="18" fillId="6" borderId="0" xfId="0" applyFont="1" applyFill="1" applyProtection="1"/>
    <xf numFmtId="0" fontId="10" fillId="6" borderId="0" xfId="0" applyFont="1" applyFill="1" applyBorder="1" applyProtection="1"/>
    <xf numFmtId="0" fontId="45" fillId="6" borderId="0" xfId="0" applyFont="1" applyFill="1" applyProtection="1"/>
    <xf numFmtId="0" fontId="19" fillId="6" borderId="0" xfId="0" applyFont="1" applyFill="1" applyProtection="1"/>
    <xf numFmtId="164" fontId="67" fillId="7" borderId="0" xfId="0" applyNumberFormat="1" applyFont="1" applyFill="1" applyBorder="1" applyProtection="1"/>
    <xf numFmtId="3" fontId="4" fillId="8" borderId="24" xfId="0" applyNumberFormat="1" applyFont="1" applyFill="1" applyBorder="1" applyProtection="1"/>
    <xf numFmtId="3" fontId="4" fillId="8" borderId="12" xfId="0" applyNumberFormat="1" applyFont="1" applyFill="1" applyBorder="1" applyProtection="1"/>
    <xf numFmtId="3" fontId="6" fillId="8" borderId="83" xfId="0" applyNumberFormat="1" applyFont="1" applyFill="1" applyBorder="1" applyProtection="1"/>
    <xf numFmtId="0" fontId="4" fillId="9" borderId="0" xfId="0" applyFont="1" applyFill="1" applyBorder="1" applyProtection="1"/>
    <xf numFmtId="3" fontId="4" fillId="0" borderId="84" xfId="0" applyNumberFormat="1" applyFont="1" applyFill="1" applyBorder="1" applyProtection="1">
      <protection locked="0"/>
    </xf>
    <xf numFmtId="3" fontId="4" fillId="0" borderId="85" xfId="0" applyNumberFormat="1" applyFont="1" applyFill="1" applyBorder="1" applyProtection="1">
      <protection locked="0"/>
    </xf>
    <xf numFmtId="3" fontId="4" fillId="0" borderId="16" xfId="0" applyNumberFormat="1" applyFont="1" applyFill="1" applyBorder="1" applyProtection="1">
      <protection locked="0"/>
    </xf>
    <xf numFmtId="3" fontId="4" fillId="0" borderId="86" xfId="0" applyNumberFormat="1" applyFont="1" applyFill="1" applyBorder="1" applyProtection="1">
      <protection locked="0"/>
    </xf>
    <xf numFmtId="3" fontId="4" fillId="0" borderId="87" xfId="0" applyNumberFormat="1" applyFont="1" applyFill="1" applyBorder="1" applyProtection="1">
      <protection locked="0"/>
    </xf>
    <xf numFmtId="3" fontId="4" fillId="0" borderId="88" xfId="0" applyNumberFormat="1" applyFont="1" applyFill="1" applyBorder="1" applyProtection="1">
      <protection locked="0"/>
    </xf>
    <xf numFmtId="9" fontId="4" fillId="6" borderId="12" xfId="0" applyNumberFormat="1" applyFont="1" applyFill="1" applyBorder="1" applyProtection="1"/>
    <xf numFmtId="3" fontId="6" fillId="5" borderId="1" xfId="0" applyNumberFormat="1" applyFont="1" applyFill="1" applyBorder="1" applyProtection="1"/>
    <xf numFmtId="3" fontId="4" fillId="5" borderId="1" xfId="0" applyNumberFormat="1" applyFont="1" applyFill="1" applyBorder="1" applyProtection="1"/>
    <xf numFmtId="9" fontId="4" fillId="6" borderId="24" xfId="0" applyNumberFormat="1" applyFont="1" applyFill="1" applyBorder="1" applyProtection="1"/>
    <xf numFmtId="0" fontId="4" fillId="6" borderId="40" xfId="0" applyFont="1" applyFill="1" applyBorder="1" applyAlignment="1" applyProtection="1">
      <alignment horizontal="center"/>
    </xf>
    <xf numFmtId="0" fontId="4" fillId="6" borderId="35" xfId="0" applyFont="1" applyFill="1" applyBorder="1" applyProtection="1"/>
    <xf numFmtId="3" fontId="6" fillId="8" borderId="12" xfId="0" applyNumberFormat="1" applyFont="1" applyFill="1" applyBorder="1" applyProtection="1"/>
    <xf numFmtId="0" fontId="8" fillId="7" borderId="0" xfId="0" applyFont="1" applyFill="1" applyAlignment="1" applyProtection="1">
      <alignment vertical="top"/>
    </xf>
    <xf numFmtId="3" fontId="4" fillId="6" borderId="28" xfId="0" applyNumberFormat="1" applyFont="1" applyFill="1" applyBorder="1" applyProtection="1"/>
    <xf numFmtId="3" fontId="26" fillId="6" borderId="28" xfId="0" applyNumberFormat="1" applyFont="1" applyFill="1" applyBorder="1" applyAlignment="1" applyProtection="1">
      <alignment horizontal="left" wrapText="1"/>
    </xf>
    <xf numFmtId="3" fontId="26" fillId="6" borderId="63" xfId="0" applyNumberFormat="1" applyFont="1" applyFill="1" applyBorder="1" applyProtection="1"/>
    <xf numFmtId="0" fontId="4" fillId="6" borderId="39" xfId="0" applyFont="1" applyFill="1" applyBorder="1" applyAlignment="1" applyProtection="1">
      <alignment horizontal="left"/>
    </xf>
    <xf numFmtId="0" fontId="4" fillId="6" borderId="40" xfId="0" applyFont="1" applyFill="1" applyBorder="1" applyAlignment="1" applyProtection="1">
      <alignment horizontal="left"/>
    </xf>
    <xf numFmtId="0" fontId="4" fillId="6" borderId="83" xfId="0" applyFont="1" applyFill="1" applyBorder="1" applyProtection="1"/>
    <xf numFmtId="49" fontId="41" fillId="7" borderId="0" xfId="0" applyNumberFormat="1" applyFont="1" applyFill="1" applyBorder="1" applyAlignment="1" applyProtection="1">
      <alignment horizontal="left"/>
    </xf>
    <xf numFmtId="3" fontId="2" fillId="7" borderId="0" xfId="0" applyNumberFormat="1" applyFont="1" applyFill="1" applyBorder="1" applyProtection="1">
      <protection locked="0"/>
    </xf>
    <xf numFmtId="3" fontId="2" fillId="7" borderId="0" xfId="9" applyNumberFormat="1" applyFont="1" applyFill="1" applyBorder="1" applyProtection="1">
      <protection locked="0"/>
    </xf>
    <xf numFmtId="171" fontId="24" fillId="7" borderId="0" xfId="0" applyNumberFormat="1" applyFont="1" applyFill="1" applyProtection="1"/>
    <xf numFmtId="3" fontId="4" fillId="6" borderId="38" xfId="0" applyNumberFormat="1" applyFont="1" applyFill="1" applyBorder="1" applyAlignment="1" applyProtection="1">
      <alignment horizontal="right"/>
    </xf>
    <xf numFmtId="0" fontId="4" fillId="6" borderId="10" xfId="0" applyFont="1" applyFill="1" applyBorder="1" applyAlignment="1" applyProtection="1">
      <alignment horizontal="center"/>
    </xf>
    <xf numFmtId="166" fontId="2" fillId="7" borderId="0" xfId="9" applyNumberFormat="1" applyFont="1" applyFill="1" applyBorder="1" applyProtection="1"/>
    <xf numFmtId="49" fontId="6" fillId="6" borderId="92" xfId="0" applyNumberFormat="1" applyFont="1" applyFill="1" applyBorder="1" applyAlignment="1" applyProtection="1">
      <alignment horizontal="left"/>
    </xf>
    <xf numFmtId="3" fontId="2" fillId="7" borderId="0" xfId="0" applyNumberFormat="1" applyFont="1" applyFill="1" applyBorder="1" applyAlignment="1" applyProtection="1">
      <alignment horizontal="right"/>
    </xf>
    <xf numFmtId="166" fontId="2" fillId="7" borderId="0" xfId="9" applyNumberFormat="1" applyFont="1" applyFill="1" applyBorder="1" applyAlignment="1" applyProtection="1">
      <alignment horizontal="right"/>
    </xf>
    <xf numFmtId="0" fontId="4" fillId="6" borderId="27" xfId="0" applyFont="1" applyFill="1" applyBorder="1" applyProtection="1"/>
    <xf numFmtId="0" fontId="4" fillId="6" borderId="67" xfId="0" applyFont="1" applyFill="1" applyBorder="1" applyProtection="1"/>
    <xf numFmtId="3" fontId="6" fillId="10" borderId="93" xfId="9" applyNumberFormat="1" applyFont="1" applyFill="1" applyBorder="1" applyProtection="1"/>
    <xf numFmtId="3" fontId="6" fillId="11" borderId="94" xfId="9" applyNumberFormat="1" applyFont="1" applyFill="1" applyBorder="1" applyProtection="1"/>
    <xf numFmtId="3" fontId="6" fillId="6" borderId="60" xfId="9" applyNumberFormat="1" applyFont="1" applyFill="1" applyBorder="1" applyProtection="1"/>
    <xf numFmtId="3" fontId="6" fillId="6" borderId="29" xfId="0" applyNumberFormat="1" applyFont="1" applyFill="1" applyBorder="1" applyProtection="1"/>
    <xf numFmtId="3" fontId="4" fillId="0" borderId="12" xfId="0" applyNumberFormat="1" applyFont="1" applyFill="1" applyBorder="1" applyProtection="1">
      <protection locked="0"/>
    </xf>
    <xf numFmtId="3" fontId="4" fillId="0" borderId="75" xfId="9" applyNumberFormat="1" applyFont="1" applyFill="1" applyBorder="1" applyProtection="1">
      <protection locked="0"/>
    </xf>
    <xf numFmtId="3" fontId="4" fillId="7" borderId="12" xfId="0" applyNumberFormat="1" applyFont="1" applyFill="1" applyBorder="1" applyProtection="1">
      <protection locked="0"/>
    </xf>
    <xf numFmtId="3" fontId="4" fillId="0" borderId="13" xfId="0" applyNumberFormat="1" applyFont="1" applyFill="1" applyBorder="1" applyProtection="1">
      <protection locked="0"/>
    </xf>
    <xf numFmtId="3" fontId="6" fillId="0" borderId="13" xfId="0" applyNumberFormat="1" applyFont="1" applyFill="1" applyBorder="1" applyProtection="1">
      <protection locked="0"/>
    </xf>
    <xf numFmtId="3" fontId="6" fillId="0" borderId="75" xfId="9" applyNumberFormat="1" applyFont="1" applyFill="1" applyBorder="1" applyProtection="1">
      <protection locked="0"/>
    </xf>
    <xf numFmtId="3" fontId="6" fillId="7" borderId="1" xfId="0" applyNumberFormat="1" applyFont="1" applyFill="1" applyBorder="1" applyProtection="1">
      <protection locked="0"/>
    </xf>
    <xf numFmtId="3" fontId="6" fillId="7" borderId="35" xfId="9" applyNumberFormat="1" applyFont="1" applyFill="1" applyBorder="1" applyProtection="1">
      <protection locked="0"/>
    </xf>
    <xf numFmtId="3" fontId="4" fillId="6" borderId="23" xfId="0" applyNumberFormat="1" applyFont="1" applyFill="1" applyBorder="1" applyProtection="1"/>
    <xf numFmtId="9" fontId="4" fillId="6" borderId="23" xfId="0" applyNumberFormat="1" applyFont="1" applyFill="1" applyBorder="1" applyProtection="1"/>
    <xf numFmtId="3" fontId="4" fillId="6" borderId="83" xfId="0" applyNumberFormat="1" applyFont="1" applyFill="1" applyBorder="1" applyProtection="1"/>
    <xf numFmtId="9" fontId="4" fillId="6" borderId="83" xfId="0" applyNumberFormat="1" applyFont="1" applyFill="1" applyBorder="1" applyProtection="1"/>
    <xf numFmtId="3" fontId="4" fillId="0" borderId="20" xfId="0" applyNumberFormat="1" applyFont="1" applyFill="1" applyBorder="1" applyProtection="1">
      <protection locked="0"/>
    </xf>
    <xf numFmtId="3" fontId="4" fillId="0" borderId="52" xfId="0" applyNumberFormat="1" applyFont="1" applyFill="1" applyBorder="1" applyProtection="1">
      <protection locked="0"/>
    </xf>
    <xf numFmtId="3" fontId="6" fillId="0" borderId="52" xfId="0" applyNumberFormat="1" applyFont="1" applyFill="1" applyBorder="1" applyProtection="1">
      <protection locked="0"/>
    </xf>
    <xf numFmtId="3" fontId="6" fillId="7" borderId="2" xfId="0" applyNumberFormat="1" applyFont="1" applyFill="1" applyBorder="1" applyProtection="1">
      <protection locked="0"/>
    </xf>
    <xf numFmtId="3" fontId="4" fillId="0" borderId="95" xfId="9" applyNumberFormat="1" applyFont="1" applyFill="1" applyBorder="1" applyProtection="1">
      <protection locked="0"/>
    </xf>
    <xf numFmtId="3" fontId="4" fillId="7" borderId="2" xfId="0" applyNumberFormat="1" applyFont="1" applyFill="1" applyBorder="1" applyProtection="1">
      <protection locked="0"/>
    </xf>
    <xf numFmtId="3" fontId="4" fillId="7" borderId="96" xfId="9" applyNumberFormat="1" applyFont="1" applyFill="1" applyBorder="1" applyProtection="1">
      <protection locked="0"/>
    </xf>
    <xf numFmtId="3" fontId="4" fillId="0" borderId="23" xfId="0" applyNumberFormat="1" applyFont="1" applyFill="1" applyBorder="1" applyProtection="1">
      <protection locked="0"/>
    </xf>
    <xf numFmtId="3" fontId="4" fillId="0" borderId="17" xfId="0" applyNumberFormat="1" applyFont="1" applyFill="1" applyBorder="1" applyProtection="1">
      <protection locked="0"/>
    </xf>
    <xf numFmtId="3" fontId="4" fillId="0" borderId="83" xfId="0" applyNumberFormat="1" applyFont="1" applyFill="1" applyBorder="1" applyProtection="1">
      <protection locked="0"/>
    </xf>
    <xf numFmtId="3" fontId="4" fillId="0" borderId="97" xfId="9" applyNumberFormat="1" applyFont="1" applyFill="1" applyBorder="1" applyProtection="1">
      <protection locked="0"/>
    </xf>
    <xf numFmtId="3" fontId="4" fillId="6" borderId="98" xfId="0" applyNumberFormat="1" applyFont="1" applyFill="1" applyBorder="1" applyProtection="1"/>
    <xf numFmtId="3" fontId="4" fillId="0" borderId="51" xfId="0" applyNumberFormat="1" applyFont="1" applyFill="1" applyBorder="1" applyProtection="1">
      <protection locked="0"/>
    </xf>
    <xf numFmtId="3" fontId="4" fillId="0" borderId="51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 applyProtection="1">
      <alignment wrapText="1"/>
      <protection locked="0"/>
    </xf>
    <xf numFmtId="3" fontId="4" fillId="0" borderId="4" xfId="9" applyNumberFormat="1" applyFont="1" applyFill="1" applyBorder="1" applyProtection="1">
      <protection locked="0"/>
    </xf>
    <xf numFmtId="3" fontId="4" fillId="0" borderId="60" xfId="9" applyNumberFormat="1" applyFont="1" applyFill="1" applyBorder="1" applyProtection="1">
      <protection locked="0"/>
    </xf>
    <xf numFmtId="3" fontId="4" fillId="0" borderId="99" xfId="0" applyNumberFormat="1" applyFont="1" applyFill="1" applyBorder="1" applyProtection="1">
      <protection locked="0"/>
    </xf>
    <xf numFmtId="166" fontId="4" fillId="6" borderId="81" xfId="0" applyNumberFormat="1" applyFont="1" applyFill="1" applyBorder="1" applyAlignment="1" applyProtection="1">
      <alignment wrapText="1"/>
    </xf>
    <xf numFmtId="166" fontId="4" fillId="6" borderId="49" xfId="0" applyNumberFormat="1" applyFont="1" applyFill="1" applyBorder="1" applyAlignment="1" applyProtection="1">
      <alignment wrapText="1"/>
    </xf>
    <xf numFmtId="166" fontId="4" fillId="6" borderId="6" xfId="0" applyNumberFormat="1" applyFont="1" applyFill="1" applyBorder="1" applyAlignment="1" applyProtection="1">
      <alignment wrapText="1"/>
    </xf>
    <xf numFmtId="166" fontId="4" fillId="6" borderId="91" xfId="0" applyNumberFormat="1" applyFont="1" applyFill="1" applyBorder="1" applyAlignment="1" applyProtection="1">
      <alignment wrapText="1"/>
    </xf>
    <xf numFmtId="166" fontId="4" fillId="6" borderId="44" xfId="0" applyNumberFormat="1" applyFont="1" applyFill="1" applyBorder="1" applyAlignment="1" applyProtection="1">
      <alignment wrapText="1"/>
    </xf>
    <xf numFmtId="3" fontId="4" fillId="0" borderId="3" xfId="0" applyNumberFormat="1" applyFont="1" applyFill="1" applyBorder="1" applyProtection="1">
      <protection locked="0"/>
    </xf>
    <xf numFmtId="166" fontId="4" fillId="6" borderId="14" xfId="0" applyNumberFormat="1" applyFont="1" applyFill="1" applyBorder="1" applyAlignment="1" applyProtection="1">
      <alignment wrapText="1"/>
    </xf>
    <xf numFmtId="166" fontId="4" fillId="6" borderId="3" xfId="0" applyNumberFormat="1" applyFont="1" applyFill="1" applyBorder="1" applyAlignment="1" applyProtection="1">
      <alignment wrapText="1"/>
    </xf>
    <xf numFmtId="166" fontId="4" fillId="6" borderId="34" xfId="0" applyNumberFormat="1" applyFont="1" applyFill="1" applyBorder="1" applyAlignment="1" applyProtection="1">
      <alignment wrapText="1"/>
    </xf>
    <xf numFmtId="166" fontId="4" fillId="6" borderId="71" xfId="0" applyNumberFormat="1" applyFont="1" applyFill="1" applyBorder="1" applyAlignment="1" applyProtection="1">
      <alignment wrapText="1"/>
    </xf>
    <xf numFmtId="3" fontId="4" fillId="6" borderId="83" xfId="0" applyNumberFormat="1" applyFont="1" applyFill="1" applyBorder="1" applyProtection="1">
      <protection locked="0"/>
    </xf>
    <xf numFmtId="49" fontId="4" fillId="6" borderId="30" xfId="0" applyNumberFormat="1" applyFont="1" applyFill="1" applyBorder="1" applyAlignment="1" applyProtection="1"/>
    <xf numFmtId="49" fontId="4" fillId="6" borderId="48" xfId="0" applyNumberFormat="1" applyFont="1" applyFill="1" applyBorder="1" applyAlignment="1" applyProtection="1"/>
    <xf numFmtId="3" fontId="4" fillId="0" borderId="101" xfId="0" applyNumberFormat="1" applyFont="1" applyFill="1" applyBorder="1" applyProtection="1">
      <protection locked="0"/>
    </xf>
    <xf numFmtId="3" fontId="4" fillId="6" borderId="72" xfId="0" applyNumberFormat="1" applyFont="1" applyFill="1" applyBorder="1" applyProtection="1"/>
    <xf numFmtId="3" fontId="4" fillId="6" borderId="70" xfId="0" applyNumberFormat="1" applyFont="1" applyFill="1" applyBorder="1" applyProtection="1"/>
    <xf numFmtId="3" fontId="6" fillId="6" borderId="5" xfId="9" applyNumberFormat="1" applyFont="1" applyFill="1" applyBorder="1" applyProtection="1"/>
    <xf numFmtId="3" fontId="4" fillId="0" borderId="102" xfId="0" applyNumberFormat="1" applyFont="1" applyFill="1" applyBorder="1" applyProtection="1">
      <protection locked="0"/>
    </xf>
    <xf numFmtId="3" fontId="4" fillId="6" borderId="5" xfId="9" applyNumberFormat="1" applyFont="1" applyFill="1" applyBorder="1" applyProtection="1"/>
    <xf numFmtId="3" fontId="4" fillId="0" borderId="80" xfId="9" applyNumberFormat="1" applyFont="1" applyFill="1" applyBorder="1" applyProtection="1">
      <protection locked="0"/>
    </xf>
    <xf numFmtId="3" fontId="4" fillId="0" borderId="103" xfId="0" applyNumberFormat="1" applyFont="1" applyFill="1" applyBorder="1" applyProtection="1">
      <protection locked="0"/>
    </xf>
    <xf numFmtId="3" fontId="6" fillId="0" borderId="104" xfId="0" applyNumberFormat="1" applyFont="1" applyFill="1" applyBorder="1" applyProtection="1">
      <protection locked="0"/>
    </xf>
    <xf numFmtId="3" fontId="6" fillId="6" borderId="95" xfId="9" applyNumberFormat="1" applyFont="1" applyFill="1" applyBorder="1" applyProtection="1"/>
    <xf numFmtId="3" fontId="4" fillId="6" borderId="95" xfId="9" applyNumberFormat="1" applyFont="1" applyFill="1" applyBorder="1" applyProtection="1"/>
    <xf numFmtId="166" fontId="4" fillId="6" borderId="28" xfId="9" applyNumberFormat="1" applyFont="1" applyFill="1" applyBorder="1" applyAlignment="1" applyProtection="1">
      <alignment horizontal="right"/>
    </xf>
    <xf numFmtId="3" fontId="4" fillId="6" borderId="100" xfId="9" applyNumberFormat="1" applyFont="1" applyFill="1" applyBorder="1" applyProtection="1"/>
    <xf numFmtId="3" fontId="6" fillId="6" borderId="75" xfId="9" applyNumberFormat="1" applyFont="1" applyFill="1" applyBorder="1" applyProtection="1"/>
    <xf numFmtId="3" fontId="4" fillId="6" borderId="75" xfId="9" applyNumberFormat="1" applyFont="1" applyFill="1" applyBorder="1" applyProtection="1"/>
    <xf numFmtId="166" fontId="4" fillId="6" borderId="47" xfId="9" applyNumberFormat="1" applyFont="1" applyFill="1" applyBorder="1" applyAlignment="1" applyProtection="1">
      <alignment horizontal="right"/>
    </xf>
    <xf numFmtId="166" fontId="4" fillId="6" borderId="34" xfId="9" applyNumberFormat="1" applyFont="1" applyFill="1" applyBorder="1" applyProtection="1"/>
    <xf numFmtId="166" fontId="4" fillId="6" borderId="39" xfId="9" applyNumberFormat="1" applyFont="1" applyFill="1" applyBorder="1" applyAlignment="1" applyProtection="1">
      <alignment horizontal="right"/>
    </xf>
    <xf numFmtId="3" fontId="4" fillId="6" borderId="29" xfId="9" applyNumberFormat="1" applyFont="1" applyFill="1" applyBorder="1" applyProtection="1"/>
    <xf numFmtId="3" fontId="6" fillId="8" borderId="59" xfId="9" applyNumberFormat="1" applyFont="1" applyFill="1" applyBorder="1" applyProtection="1"/>
    <xf numFmtId="3" fontId="4" fillId="6" borderId="48" xfId="9" applyNumberFormat="1" applyFont="1" applyFill="1" applyBorder="1" applyProtection="1"/>
    <xf numFmtId="3" fontId="4" fillId="6" borderId="29" xfId="0" applyNumberFormat="1" applyFont="1" applyFill="1" applyBorder="1" applyProtection="1"/>
    <xf numFmtId="3" fontId="4" fillId="6" borderId="39" xfId="0" applyNumberFormat="1" applyFont="1" applyFill="1" applyBorder="1" applyProtection="1"/>
    <xf numFmtId="3" fontId="6" fillId="0" borderId="102" xfId="0" applyNumberFormat="1" applyFont="1" applyFill="1" applyBorder="1" applyProtection="1">
      <protection locked="0"/>
    </xf>
    <xf numFmtId="3" fontId="4" fillId="6" borderId="105" xfId="9" applyNumberFormat="1" applyFont="1" applyFill="1" applyBorder="1" applyProtection="1"/>
    <xf numFmtId="3" fontId="6" fillId="6" borderId="106" xfId="9" applyNumberFormat="1" applyFont="1" applyFill="1" applyBorder="1" applyProtection="1"/>
    <xf numFmtId="164" fontId="68" fillId="7" borderId="0" xfId="0" applyNumberFormat="1" applyFont="1" applyFill="1" applyBorder="1" applyAlignment="1" applyProtection="1">
      <alignment horizontal="left" vertical="top"/>
    </xf>
    <xf numFmtId="0" fontId="68" fillId="7" borderId="0" xfId="0" applyFont="1" applyFill="1" applyBorder="1" applyProtection="1"/>
    <xf numFmtId="49" fontId="69" fillId="6" borderId="29" xfId="0" applyNumberFormat="1" applyFont="1" applyFill="1" applyBorder="1" applyAlignment="1" applyProtection="1">
      <alignment horizontal="left"/>
    </xf>
    <xf numFmtId="49" fontId="69" fillId="6" borderId="47" xfId="0" applyNumberFormat="1" applyFont="1" applyFill="1" applyBorder="1" applyAlignment="1" applyProtection="1">
      <alignment horizontal="left"/>
    </xf>
    <xf numFmtId="49" fontId="69" fillId="6" borderId="28" xfId="0" applyNumberFormat="1" applyFont="1" applyFill="1" applyBorder="1" applyAlignment="1" applyProtection="1">
      <alignment horizontal="left"/>
    </xf>
    <xf numFmtId="49" fontId="70" fillId="7" borderId="0" xfId="0" applyNumberFormat="1" applyFont="1" applyFill="1" applyBorder="1" applyAlignment="1" applyProtection="1">
      <alignment horizontal="left"/>
    </xf>
    <xf numFmtId="0" fontId="69" fillId="6" borderId="19" xfId="0" applyFont="1" applyFill="1" applyBorder="1" applyProtection="1"/>
    <xf numFmtId="0" fontId="70" fillId="7" borderId="0" xfId="0" applyFont="1" applyFill="1" applyBorder="1" applyProtection="1"/>
    <xf numFmtId="0" fontId="70" fillId="7" borderId="0" xfId="0" applyFont="1" applyFill="1" applyBorder="1" applyAlignment="1" applyProtection="1">
      <alignment horizontal="center"/>
    </xf>
    <xf numFmtId="164" fontId="70" fillId="7" borderId="0" xfId="0" applyNumberFormat="1" applyFont="1" applyFill="1" applyBorder="1" applyAlignment="1" applyProtection="1">
      <alignment horizontal="center"/>
    </xf>
    <xf numFmtId="171" fontId="70" fillId="7" borderId="0" xfId="0" applyNumberFormat="1" applyFont="1" applyFill="1" applyBorder="1" applyAlignment="1" applyProtection="1">
      <alignment horizontal="center"/>
    </xf>
    <xf numFmtId="0" fontId="71" fillId="6" borderId="69" xfId="0" applyFont="1" applyFill="1" applyBorder="1" applyProtection="1"/>
    <xf numFmtId="49" fontId="70" fillId="7" borderId="0" xfId="0" applyNumberFormat="1" applyFont="1" applyFill="1" applyBorder="1" applyProtection="1"/>
    <xf numFmtId="0" fontId="70" fillId="7" borderId="0" xfId="0" applyFont="1" applyFill="1" applyProtection="1"/>
    <xf numFmtId="49" fontId="69" fillId="6" borderId="79" xfId="0" applyNumberFormat="1" applyFont="1" applyFill="1" applyBorder="1" applyProtection="1"/>
    <xf numFmtId="0" fontId="70" fillId="7" borderId="0" xfId="0" applyFont="1" applyFill="1" applyBorder="1" applyAlignment="1" applyProtection="1">
      <alignment horizontal="center" wrapText="1"/>
    </xf>
    <xf numFmtId="0" fontId="72" fillId="7" borderId="0" xfId="0" quotePrefix="1" applyFont="1" applyFill="1" applyBorder="1" applyAlignment="1" applyProtection="1">
      <alignment horizontal="left"/>
    </xf>
    <xf numFmtId="0" fontId="73" fillId="7" borderId="0" xfId="0" applyFont="1" applyFill="1" applyProtection="1"/>
    <xf numFmtId="0" fontId="70" fillId="7" borderId="0" xfId="0" applyFont="1" applyFill="1" applyBorder="1" applyAlignment="1" applyProtection="1">
      <alignment horizontal="left"/>
    </xf>
    <xf numFmtId="0" fontId="70" fillId="7" borderId="0" xfId="0" quotePrefix="1" applyFont="1" applyFill="1" applyBorder="1" applyAlignment="1" applyProtection="1">
      <alignment horizontal="left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51" xfId="0" applyFont="1" applyFill="1" applyBorder="1" applyAlignment="1" applyProtection="1">
      <alignment vertical="center" wrapText="1"/>
    </xf>
    <xf numFmtId="0" fontId="6" fillId="6" borderId="12" xfId="0" applyFont="1" applyFill="1" applyBorder="1" applyAlignment="1" applyProtection="1">
      <alignment vertical="center"/>
    </xf>
    <xf numFmtId="0" fontId="6" fillId="6" borderId="107" xfId="0" applyFont="1" applyFill="1" applyBorder="1" applyAlignment="1" applyProtection="1">
      <alignment vertical="center" wrapText="1"/>
    </xf>
    <xf numFmtId="0" fontId="4" fillId="6" borderId="24" xfId="0" applyFont="1" applyFill="1" applyBorder="1" applyAlignment="1" applyProtection="1">
      <alignment vertical="center" wrapText="1"/>
    </xf>
    <xf numFmtId="0" fontId="4" fillId="6" borderId="44" xfId="0" applyFont="1" applyFill="1" applyBorder="1" applyAlignment="1" applyProtection="1">
      <alignment vertical="center" wrapText="1"/>
    </xf>
    <xf numFmtId="0" fontId="4" fillId="6" borderId="51" xfId="0" applyFont="1" applyFill="1" applyBorder="1" applyAlignment="1" applyProtection="1">
      <alignment vertical="center"/>
    </xf>
    <xf numFmtId="0" fontId="4" fillId="6" borderId="51" xfId="0" applyFont="1" applyFill="1" applyBorder="1" applyAlignment="1" applyProtection="1">
      <alignment vertical="center" wrapText="1"/>
    </xf>
    <xf numFmtId="0" fontId="4" fillId="6" borderId="12" xfId="0" applyFont="1" applyFill="1" applyBorder="1" applyAlignment="1" applyProtection="1">
      <alignment vertical="center"/>
    </xf>
    <xf numFmtId="49" fontId="70" fillId="7" borderId="0" xfId="0" applyNumberFormat="1" applyFont="1" applyFill="1" applyBorder="1" applyAlignment="1" applyProtection="1">
      <alignment horizontal="center"/>
    </xf>
    <xf numFmtId="0" fontId="6" fillId="6" borderId="37" xfId="0" applyFont="1" applyFill="1" applyBorder="1" applyAlignment="1" applyProtection="1">
      <alignment horizontal="left"/>
    </xf>
    <xf numFmtId="49" fontId="6" fillId="6" borderId="29" xfId="0" quotePrefix="1" applyNumberFormat="1" applyFont="1" applyFill="1" applyBorder="1" applyProtection="1"/>
    <xf numFmtId="0" fontId="69" fillId="6" borderId="65" xfId="0" applyFont="1" applyFill="1" applyBorder="1" applyProtection="1"/>
    <xf numFmtId="0" fontId="69" fillId="6" borderId="28" xfId="0" applyFont="1" applyFill="1" applyBorder="1" applyProtection="1"/>
    <xf numFmtId="0" fontId="69" fillId="6" borderId="92" xfId="0" applyFont="1" applyFill="1" applyBorder="1" applyProtection="1"/>
    <xf numFmtId="49" fontId="69" fillId="6" borderId="92" xfId="0" applyNumberFormat="1" applyFont="1" applyFill="1" applyBorder="1" applyAlignment="1" applyProtection="1">
      <alignment horizontal="left"/>
    </xf>
    <xf numFmtId="0" fontId="70" fillId="7" borderId="0" xfId="0" applyFont="1" applyFill="1" applyAlignment="1" applyProtection="1">
      <alignment horizontal="center"/>
    </xf>
    <xf numFmtId="0" fontId="73" fillId="7" borderId="0" xfId="0" applyFont="1" applyFill="1" applyAlignment="1" applyProtection="1">
      <alignment horizontal="center"/>
    </xf>
    <xf numFmtId="0" fontId="74" fillId="6" borderId="39" xfId="0" applyFont="1" applyFill="1" applyBorder="1" applyProtection="1"/>
    <xf numFmtId="0" fontId="74" fillId="6" borderId="40" xfId="0" applyFont="1" applyFill="1" applyBorder="1" applyProtection="1"/>
    <xf numFmtId="0" fontId="74" fillId="6" borderId="59" xfId="0" applyFont="1" applyFill="1" applyBorder="1" applyProtection="1"/>
    <xf numFmtId="9" fontId="6" fillId="6" borderId="24" xfId="0" applyNumberFormat="1" applyFont="1" applyFill="1" applyBorder="1" applyProtection="1"/>
    <xf numFmtId="9" fontId="4" fillId="6" borderId="13" xfId="0" applyNumberFormat="1" applyFont="1" applyFill="1" applyBorder="1" applyProtection="1"/>
    <xf numFmtId="9" fontId="4" fillId="6" borderId="67" xfId="0" applyNumberFormat="1" applyFont="1" applyFill="1" applyBorder="1" applyProtection="1"/>
    <xf numFmtId="3" fontId="4" fillId="0" borderId="75" xfId="0" applyNumberFormat="1" applyFont="1" applyFill="1" applyBorder="1" applyAlignment="1" applyProtection="1">
      <alignment horizontal="right"/>
      <protection locked="0"/>
    </xf>
    <xf numFmtId="3" fontId="6" fillId="0" borderId="100" xfId="0" applyNumberFormat="1" applyFont="1" applyFill="1" applyBorder="1" applyAlignment="1" applyProtection="1">
      <alignment horizontal="right"/>
      <protection locked="0"/>
    </xf>
    <xf numFmtId="3" fontId="6" fillId="0" borderId="75" xfId="0" applyNumberFormat="1" applyFont="1" applyFill="1" applyBorder="1" applyAlignment="1" applyProtection="1">
      <alignment horizontal="right"/>
      <protection locked="0"/>
    </xf>
    <xf numFmtId="3" fontId="4" fillId="0" borderId="108" xfId="0" applyNumberFormat="1" applyFont="1" applyFill="1" applyBorder="1" applyAlignment="1" applyProtection="1">
      <alignment horizontal="right"/>
      <protection locked="0"/>
    </xf>
    <xf numFmtId="0" fontId="68" fillId="0" borderId="0" xfId="0" applyFont="1" applyFill="1" applyBorder="1" applyProtection="1"/>
    <xf numFmtId="3" fontId="6" fillId="6" borderId="3" xfId="0" applyNumberFormat="1" applyFont="1" applyFill="1" applyBorder="1" applyProtection="1"/>
    <xf numFmtId="0" fontId="22" fillId="7" borderId="0" xfId="3" applyFill="1" applyBorder="1" applyAlignment="1" applyProtection="1">
      <alignment horizontal="left"/>
    </xf>
    <xf numFmtId="0" fontId="6" fillId="12" borderId="109" xfId="0" applyFont="1" applyFill="1" applyBorder="1" applyProtection="1"/>
    <xf numFmtId="0" fontId="6" fillId="12" borderId="98" xfId="0" applyFont="1" applyFill="1" applyBorder="1" applyProtection="1"/>
    <xf numFmtId="0" fontId="6" fillId="12" borderId="24" xfId="0" applyFont="1" applyFill="1" applyBorder="1" applyProtection="1"/>
    <xf numFmtId="0" fontId="4" fillId="12" borderId="26" xfId="0" applyFont="1" applyFill="1" applyBorder="1" applyAlignment="1" applyProtection="1">
      <alignment horizontal="left"/>
    </xf>
    <xf numFmtId="0" fontId="4" fillId="12" borderId="3" xfId="0" applyFont="1" applyFill="1" applyBorder="1" applyAlignment="1" applyProtection="1">
      <alignment horizontal="left"/>
    </xf>
    <xf numFmtId="0" fontId="4" fillId="6" borderId="39" xfId="0" applyFont="1" applyFill="1" applyBorder="1" applyAlignment="1" applyProtection="1">
      <alignment horizontal="center"/>
    </xf>
    <xf numFmtId="0" fontId="4" fillId="12" borderId="110" xfId="0" applyFont="1" applyFill="1" applyBorder="1" applyAlignment="1" applyProtection="1">
      <alignment vertical="center" wrapText="1"/>
    </xf>
    <xf numFmtId="0" fontId="28" fillId="12" borderId="50" xfId="0" applyFont="1" applyFill="1" applyBorder="1" applyAlignment="1" applyProtection="1">
      <alignment vertical="top" wrapText="1"/>
    </xf>
    <xf numFmtId="0" fontId="4" fillId="12" borderId="29" xfId="0" applyFont="1" applyFill="1" applyBorder="1" applyAlignment="1" applyProtection="1">
      <alignment horizontal="left"/>
    </xf>
    <xf numFmtId="49" fontId="4" fillId="12" borderId="28" xfId="0" applyNumberFormat="1" applyFont="1" applyFill="1" applyBorder="1" applyProtection="1"/>
    <xf numFmtId="0" fontId="4" fillId="12" borderId="27" xfId="0" applyFont="1" applyFill="1" applyBorder="1" applyProtection="1"/>
    <xf numFmtId="0" fontId="4" fillId="12" borderId="10" xfId="0" applyFont="1" applyFill="1" applyBorder="1" applyProtection="1"/>
    <xf numFmtId="0" fontId="6" fillId="12" borderId="1" xfId="0" applyFont="1" applyFill="1" applyBorder="1" applyProtection="1"/>
    <xf numFmtId="0" fontId="4" fillId="6" borderId="40" xfId="0" applyFont="1" applyFill="1" applyBorder="1" applyAlignment="1" applyProtection="1">
      <alignment horizontal="center" vertical="top" wrapText="1"/>
    </xf>
    <xf numFmtId="0" fontId="4" fillId="6" borderId="1" xfId="0" applyFont="1" applyFill="1" applyBorder="1" applyAlignment="1" applyProtection="1">
      <alignment horizontal="center" vertical="top" wrapText="1"/>
    </xf>
    <xf numFmtId="0" fontId="4" fillId="6" borderId="50" xfId="0" applyFont="1" applyFill="1" applyBorder="1" applyAlignment="1" applyProtection="1">
      <alignment vertical="top" wrapText="1"/>
    </xf>
    <xf numFmtId="0" fontId="4" fillId="6" borderId="81" xfId="0" applyFont="1" applyFill="1" applyBorder="1" applyAlignment="1" applyProtection="1">
      <alignment vertical="top" wrapText="1"/>
    </xf>
    <xf numFmtId="0" fontId="4" fillId="7" borderId="44" xfId="0" applyFont="1" applyFill="1" applyBorder="1" applyProtection="1"/>
    <xf numFmtId="165" fontId="4" fillId="7" borderId="44" xfId="0" applyNumberFormat="1" applyFont="1" applyFill="1" applyBorder="1" applyProtection="1"/>
    <xf numFmtId="3" fontId="4" fillId="0" borderId="100" xfId="0" applyNumberFormat="1" applyFont="1" applyFill="1" applyBorder="1" applyAlignment="1" applyProtection="1">
      <alignment wrapText="1"/>
      <protection locked="0"/>
    </xf>
    <xf numFmtId="3" fontId="6" fillId="13" borderId="111" xfId="9" applyNumberFormat="1" applyFont="1" applyFill="1" applyBorder="1" applyProtection="1"/>
    <xf numFmtId="3" fontId="6" fillId="13" borderId="102" xfId="9" applyNumberFormat="1" applyFont="1" applyFill="1" applyBorder="1" applyProtection="1"/>
    <xf numFmtId="3" fontId="4" fillId="14" borderId="11" xfId="0" applyNumberFormat="1" applyFont="1" applyFill="1" applyBorder="1" applyProtection="1"/>
    <xf numFmtId="3" fontId="6" fillId="15" borderId="102" xfId="9" applyNumberFormat="1" applyFont="1" applyFill="1" applyBorder="1" applyProtection="1"/>
    <xf numFmtId="3" fontId="6" fillId="15" borderId="95" xfId="9" applyNumberFormat="1" applyFont="1" applyFill="1" applyBorder="1" applyProtection="1"/>
    <xf numFmtId="3" fontId="6" fillId="13" borderId="95" xfId="9" applyNumberFormat="1" applyFont="1" applyFill="1" applyBorder="1" applyProtection="1"/>
    <xf numFmtId="3" fontId="6" fillId="15" borderId="112" xfId="9" applyNumberFormat="1" applyFont="1" applyFill="1" applyBorder="1" applyProtection="1"/>
    <xf numFmtId="3" fontId="6" fillId="15" borderId="29" xfId="9" applyNumberFormat="1" applyFont="1" applyFill="1" applyBorder="1" applyProtection="1"/>
    <xf numFmtId="3" fontId="4" fillId="15" borderId="29" xfId="9" applyNumberFormat="1" applyFont="1" applyFill="1" applyBorder="1" applyProtection="1"/>
    <xf numFmtId="3" fontId="6" fillId="15" borderId="28" xfId="9" applyNumberFormat="1" applyFont="1" applyFill="1" applyBorder="1" applyProtection="1"/>
    <xf numFmtId="3" fontId="6" fillId="15" borderId="113" xfId="9" applyNumberFormat="1" applyFont="1" applyFill="1" applyBorder="1" applyProtection="1"/>
    <xf numFmtId="3" fontId="6" fillId="13" borderId="114" xfId="9" applyNumberFormat="1" applyFont="1" applyFill="1" applyBorder="1" applyProtection="1"/>
    <xf numFmtId="0" fontId="4" fillId="6" borderId="14" xfId="0" applyNumberFormat="1" applyFont="1" applyFill="1" applyBorder="1" applyAlignment="1" applyProtection="1">
      <alignment horizontal="center"/>
    </xf>
    <xf numFmtId="0" fontId="13" fillId="6" borderId="0" xfId="0" applyFont="1" applyFill="1" applyBorder="1" applyProtection="1"/>
    <xf numFmtId="0" fontId="70" fillId="7" borderId="31" xfId="0" applyFont="1" applyFill="1" applyBorder="1" applyAlignment="1" applyProtection="1">
      <alignment horizontal="center"/>
    </xf>
    <xf numFmtId="0" fontId="4" fillId="6" borderId="81" xfId="0" applyFont="1" applyFill="1" applyBorder="1" applyAlignment="1" applyProtection="1">
      <alignment vertical="top"/>
    </xf>
    <xf numFmtId="0" fontId="4" fillId="6" borderId="50" xfId="0" applyFont="1" applyFill="1" applyBorder="1" applyProtection="1"/>
    <xf numFmtId="0" fontId="60" fillId="6" borderId="26" xfId="0" applyFont="1" applyFill="1" applyBorder="1" applyProtection="1"/>
    <xf numFmtId="3" fontId="6" fillId="13" borderId="41" xfId="0" applyNumberFormat="1" applyFont="1" applyFill="1" applyBorder="1" applyProtection="1"/>
    <xf numFmtId="3" fontId="6" fillId="13" borderId="93" xfId="0" applyNumberFormat="1" applyFont="1" applyFill="1" applyBorder="1" applyProtection="1"/>
    <xf numFmtId="3" fontId="6" fillId="14" borderId="100" xfId="0" applyNumberFormat="1" applyFont="1" applyFill="1" applyBorder="1" applyProtection="1"/>
    <xf numFmtId="3" fontId="4" fillId="14" borderId="100" xfId="0" applyNumberFormat="1" applyFont="1" applyFill="1" applyBorder="1" applyProtection="1"/>
    <xf numFmtId="3" fontId="6" fillId="14" borderId="17" xfId="0" applyNumberFormat="1" applyFont="1" applyFill="1" applyBorder="1" applyProtection="1"/>
    <xf numFmtId="3" fontId="4" fillId="14" borderId="108" xfId="0" applyNumberFormat="1" applyFont="1" applyFill="1" applyBorder="1" applyProtection="1"/>
    <xf numFmtId="3" fontId="6" fillId="13" borderId="43" xfId="0" applyNumberFormat="1" applyFont="1" applyFill="1" applyBorder="1" applyProtection="1"/>
    <xf numFmtId="3" fontId="6" fillId="13" borderId="89" xfId="0" applyNumberFormat="1" applyFont="1" applyFill="1" applyBorder="1" applyProtection="1"/>
    <xf numFmtId="3" fontId="6" fillId="13" borderId="31" xfId="0" applyNumberFormat="1" applyFont="1" applyFill="1" applyBorder="1" applyProtection="1"/>
    <xf numFmtId="3" fontId="6" fillId="13" borderId="115" xfId="0" applyNumberFormat="1" applyFont="1" applyFill="1" applyBorder="1" applyProtection="1"/>
    <xf numFmtId="3" fontId="4" fillId="15" borderId="116" xfId="0" applyNumberFormat="1" applyFont="1" applyFill="1" applyBorder="1" applyProtection="1"/>
    <xf numFmtId="3" fontId="6" fillId="15" borderId="65" xfId="0" applyNumberFormat="1" applyFont="1" applyFill="1" applyBorder="1" applyProtection="1"/>
    <xf numFmtId="3" fontId="4" fillId="15" borderId="29" xfId="0" applyNumberFormat="1" applyFont="1" applyFill="1" applyBorder="1" applyProtection="1"/>
    <xf numFmtId="3" fontId="6" fillId="15" borderId="29" xfId="0" applyNumberFormat="1" applyFont="1" applyFill="1" applyBorder="1" applyProtection="1"/>
    <xf numFmtId="3" fontId="6" fillId="15" borderId="63" xfId="0" applyNumberFormat="1" applyFont="1" applyFill="1" applyBorder="1" applyProtection="1"/>
    <xf numFmtId="0" fontId="4" fillId="6" borderId="1" xfId="0" quotePrefix="1" applyFont="1" applyFill="1" applyBorder="1" applyAlignment="1" applyProtection="1">
      <alignment horizontal="left"/>
    </xf>
    <xf numFmtId="0" fontId="4" fillId="12" borderId="1" xfId="0" quotePrefix="1" applyFont="1" applyFill="1" applyBorder="1" applyAlignment="1" applyProtection="1">
      <alignment horizontal="left"/>
    </xf>
    <xf numFmtId="3" fontId="6" fillId="13" borderId="117" xfId="0" applyNumberFormat="1" applyFont="1" applyFill="1" applyBorder="1" applyProtection="1"/>
    <xf numFmtId="3" fontId="6" fillId="13" borderId="118" xfId="0" applyNumberFormat="1" applyFont="1" applyFill="1" applyBorder="1" applyProtection="1"/>
    <xf numFmtId="3" fontId="6" fillId="13" borderId="119" xfId="0" applyNumberFormat="1" applyFont="1" applyFill="1" applyBorder="1" applyProtection="1"/>
    <xf numFmtId="3" fontId="6" fillId="13" borderId="5" xfId="0" applyNumberFormat="1" applyFont="1" applyFill="1" applyBorder="1" applyProtection="1"/>
    <xf numFmtId="3" fontId="4" fillId="15" borderId="28" xfId="0" applyNumberFormat="1" applyFont="1" applyFill="1" applyBorder="1" applyProtection="1"/>
    <xf numFmtId="3" fontId="6" fillId="15" borderId="28" xfId="0" applyNumberFormat="1" applyFont="1" applyFill="1" applyBorder="1" applyProtection="1"/>
    <xf numFmtId="3" fontId="6" fillId="15" borderId="92" xfId="0" applyNumberFormat="1" applyFont="1" applyFill="1" applyBorder="1" applyProtection="1"/>
    <xf numFmtId="3" fontId="6" fillId="15" borderId="23" xfId="0" applyNumberFormat="1" applyFont="1" applyFill="1" applyBorder="1" applyProtection="1"/>
    <xf numFmtId="171" fontId="6" fillId="15" borderId="29" xfId="0" applyNumberFormat="1" applyFont="1" applyFill="1" applyBorder="1" applyProtection="1"/>
    <xf numFmtId="3" fontId="6" fillId="15" borderId="5" xfId="0" applyNumberFormat="1" applyFont="1" applyFill="1" applyBorder="1" applyProtection="1"/>
    <xf numFmtId="171" fontId="4" fillId="15" borderId="29" xfId="0" applyNumberFormat="1" applyFont="1" applyFill="1" applyBorder="1" applyProtection="1"/>
    <xf numFmtId="3" fontId="4" fillId="15" borderId="5" xfId="0" applyNumberFormat="1" applyFont="1" applyFill="1" applyBorder="1" applyProtection="1"/>
    <xf numFmtId="3" fontId="6" fillId="14" borderId="116" xfId="0" applyNumberFormat="1" applyFont="1" applyFill="1" applyBorder="1" applyProtection="1"/>
    <xf numFmtId="171" fontId="6" fillId="15" borderId="59" xfId="0" applyNumberFormat="1" applyFont="1" applyFill="1" applyBorder="1" applyProtection="1"/>
    <xf numFmtId="3" fontId="6" fillId="14" borderId="62" xfId="0" applyNumberFormat="1" applyFont="1" applyFill="1" applyBorder="1" applyProtection="1"/>
    <xf numFmtId="3" fontId="6" fillId="14" borderId="23" xfId="0" applyNumberFormat="1" applyFont="1" applyFill="1" applyBorder="1" applyProtection="1"/>
    <xf numFmtId="3" fontId="6" fillId="14" borderId="101" xfId="0" applyNumberFormat="1" applyFont="1" applyFill="1" applyBorder="1" applyProtection="1"/>
    <xf numFmtId="3" fontId="6" fillId="14" borderId="12" xfId="0" applyNumberFormat="1" applyFont="1" applyFill="1" applyBorder="1" applyProtection="1"/>
    <xf numFmtId="3" fontId="6" fillId="13" borderId="25" xfId="0" applyNumberFormat="1" applyFont="1" applyFill="1" applyBorder="1" applyProtection="1"/>
    <xf numFmtId="3" fontId="6" fillId="13" borderId="51" xfId="0" applyNumberFormat="1" applyFont="1" applyFill="1" applyBorder="1" applyProtection="1"/>
    <xf numFmtId="3" fontId="6" fillId="14" borderId="71" xfId="0" applyNumberFormat="1" applyFont="1" applyFill="1" applyBorder="1" applyProtection="1"/>
    <xf numFmtId="3" fontId="6" fillId="14" borderId="109" xfId="0" applyNumberFormat="1" applyFont="1" applyFill="1" applyBorder="1" applyProtection="1"/>
    <xf numFmtId="3" fontId="6" fillId="14" borderId="120" xfId="0" applyNumberFormat="1" applyFont="1" applyFill="1" applyBorder="1" applyProtection="1"/>
    <xf numFmtId="3" fontId="6" fillId="14" borderId="75" xfId="0" applyNumberFormat="1" applyFont="1" applyFill="1" applyBorder="1" applyProtection="1"/>
    <xf numFmtId="3" fontId="6" fillId="14" borderId="51" xfId="0" applyNumberFormat="1" applyFont="1" applyFill="1" applyBorder="1" applyProtection="1"/>
    <xf numFmtId="3" fontId="6" fillId="14" borderId="20" xfId="0" applyNumberFormat="1" applyFont="1" applyFill="1" applyBorder="1" applyProtection="1"/>
    <xf numFmtId="3" fontId="6" fillId="14" borderId="107" xfId="0" applyNumberFormat="1" applyFont="1" applyFill="1" applyBorder="1" applyProtection="1"/>
    <xf numFmtId="3" fontId="6" fillId="14" borderId="121" xfId="0" applyNumberFormat="1" applyFont="1" applyFill="1" applyBorder="1" applyProtection="1"/>
    <xf numFmtId="3" fontId="54" fillId="14" borderId="75" xfId="0" applyNumberFormat="1" applyFont="1" applyFill="1" applyBorder="1" applyProtection="1"/>
    <xf numFmtId="3" fontId="54" fillId="14" borderId="100" xfId="0" applyNumberFormat="1" applyFont="1" applyFill="1" applyBorder="1" applyProtection="1"/>
    <xf numFmtId="3" fontId="54" fillId="14" borderId="48" xfId="0" applyNumberFormat="1" applyFont="1" applyFill="1" applyBorder="1" applyProtection="1"/>
    <xf numFmtId="3" fontId="54" fillId="14" borderId="95" xfId="0" applyNumberFormat="1" applyFont="1" applyFill="1" applyBorder="1" applyProtection="1"/>
    <xf numFmtId="3" fontId="54" fillId="14" borderId="103" xfId="0" applyNumberFormat="1" applyFont="1" applyFill="1" applyBorder="1" applyProtection="1"/>
    <xf numFmtId="3" fontId="54" fillId="14" borderId="115" xfId="0" applyNumberFormat="1" applyFont="1" applyFill="1" applyBorder="1" applyProtection="1"/>
    <xf numFmtId="3" fontId="6" fillId="14" borderId="1" xfId="0" applyNumberFormat="1" applyFont="1" applyFill="1" applyBorder="1" applyProtection="1"/>
    <xf numFmtId="3" fontId="6" fillId="14" borderId="10" xfId="0" applyNumberFormat="1" applyFont="1" applyFill="1" applyBorder="1" applyProtection="1"/>
    <xf numFmtId="3" fontId="6" fillId="14" borderId="2" xfId="0" applyNumberFormat="1" applyFont="1" applyFill="1" applyBorder="1" applyProtection="1"/>
    <xf numFmtId="3" fontId="6" fillId="14" borderId="35" xfId="0" applyNumberFormat="1" applyFont="1" applyFill="1" applyBorder="1" applyProtection="1"/>
    <xf numFmtId="3" fontId="6" fillId="14" borderId="103" xfId="0" applyNumberFormat="1" applyFont="1" applyFill="1" applyBorder="1" applyProtection="1"/>
    <xf numFmtId="3" fontId="6" fillId="14" borderId="83" xfId="0" applyNumberFormat="1" applyFont="1" applyFill="1" applyBorder="1" applyProtection="1"/>
    <xf numFmtId="0" fontId="4" fillId="6" borderId="3" xfId="0" quotePrefix="1" applyFont="1" applyFill="1" applyBorder="1" applyAlignment="1" applyProtection="1">
      <alignment horizontal="left"/>
    </xf>
    <xf numFmtId="0" fontId="4" fillId="6" borderId="14" xfId="0" applyFont="1" applyFill="1" applyBorder="1" applyAlignment="1" applyProtection="1">
      <alignment horizontal="center"/>
    </xf>
    <xf numFmtId="164" fontId="6" fillId="6" borderId="37" xfId="0" applyNumberFormat="1" applyFont="1" applyFill="1" applyBorder="1" applyProtection="1"/>
    <xf numFmtId="164" fontId="6" fillId="6" borderId="39" xfId="0" applyNumberFormat="1" applyFont="1" applyFill="1" applyBorder="1" applyProtection="1"/>
    <xf numFmtId="3" fontId="6" fillId="13" borderId="12" xfId="0" applyNumberFormat="1" applyFont="1" applyFill="1" applyBorder="1" applyProtection="1"/>
    <xf numFmtId="3" fontId="6" fillId="14" borderId="30" xfId="0" applyNumberFormat="1" applyFont="1" applyFill="1" applyBorder="1" applyProtection="1"/>
    <xf numFmtId="3" fontId="4" fillId="0" borderId="24" xfId="9" applyNumberFormat="1" applyFont="1" applyFill="1" applyBorder="1" applyProtection="1">
      <protection locked="0"/>
    </xf>
    <xf numFmtId="3" fontId="4" fillId="0" borderId="3" xfId="9" applyNumberFormat="1" applyFont="1" applyFill="1" applyBorder="1" applyProtection="1">
      <protection locked="0"/>
    </xf>
    <xf numFmtId="3" fontId="4" fillId="6" borderId="75" xfId="0" applyNumberFormat="1" applyFont="1" applyFill="1" applyBorder="1" applyProtection="1"/>
    <xf numFmtId="3" fontId="4" fillId="6" borderId="122" xfId="0" applyNumberFormat="1" applyFont="1" applyFill="1" applyBorder="1" applyProtection="1"/>
    <xf numFmtId="3" fontId="4" fillId="6" borderId="48" xfId="0" applyNumberFormat="1" applyFont="1" applyFill="1" applyBorder="1" applyProtection="1"/>
    <xf numFmtId="0" fontId="6" fillId="6" borderId="40" xfId="0" applyFont="1" applyFill="1" applyBorder="1" applyAlignment="1" applyProtection="1">
      <alignment horizontal="left"/>
    </xf>
    <xf numFmtId="0" fontId="70" fillId="7" borderId="31" xfId="0" applyFont="1" applyFill="1" applyBorder="1" applyProtection="1"/>
    <xf numFmtId="0" fontId="38" fillId="6" borderId="50" xfId="0" applyFont="1" applyFill="1" applyBorder="1" applyAlignment="1">
      <alignment vertical="top" wrapText="1"/>
    </xf>
    <xf numFmtId="0" fontId="6" fillId="6" borderId="13" xfId="0" applyFont="1" applyFill="1" applyBorder="1" applyAlignment="1" applyProtection="1">
      <alignment wrapText="1"/>
    </xf>
    <xf numFmtId="0" fontId="6" fillId="6" borderId="24" xfId="0" applyFont="1" applyFill="1" applyBorder="1" applyAlignment="1" applyProtection="1">
      <alignment wrapText="1"/>
    </xf>
    <xf numFmtId="0" fontId="4" fillId="6" borderId="23" xfId="0" applyFont="1" applyFill="1" applyBorder="1" applyAlignment="1" applyProtection="1">
      <alignment horizontal="left"/>
    </xf>
    <xf numFmtId="0" fontId="53" fillId="0" borderId="0" xfId="0" quotePrefix="1" applyFont="1" applyFill="1" applyBorder="1" applyAlignment="1" applyProtection="1">
      <alignment horizontal="left"/>
    </xf>
    <xf numFmtId="0" fontId="6" fillId="6" borderId="39" xfId="0" applyFont="1" applyFill="1" applyBorder="1" applyAlignment="1" applyProtection="1">
      <alignment horizontal="left"/>
    </xf>
    <xf numFmtId="0" fontId="4" fillId="6" borderId="12" xfId="0" applyFont="1" applyFill="1" applyBorder="1" applyAlignment="1" applyProtection="1">
      <alignment horizontal="left"/>
    </xf>
    <xf numFmtId="0" fontId="4" fillId="6" borderId="64" xfId="0" applyFont="1" applyFill="1" applyBorder="1" applyAlignment="1" applyProtection="1"/>
    <xf numFmtId="0" fontId="6" fillId="6" borderId="33" xfId="0" applyFont="1" applyFill="1" applyBorder="1" applyAlignment="1" applyProtection="1">
      <alignment horizontal="left"/>
    </xf>
    <xf numFmtId="0" fontId="6" fillId="6" borderId="35" xfId="0" applyFont="1" applyFill="1" applyBorder="1" applyAlignment="1" applyProtection="1">
      <alignment horizontal="left"/>
    </xf>
    <xf numFmtId="0" fontId="2" fillId="6" borderId="0" xfId="0" applyFont="1" applyFill="1" applyProtection="1"/>
    <xf numFmtId="0" fontId="4" fillId="6" borderId="12" xfId="0" applyFont="1" applyFill="1" applyBorder="1" applyAlignment="1" applyProtection="1">
      <alignment wrapText="1"/>
    </xf>
    <xf numFmtId="0" fontId="2" fillId="6" borderId="19" xfId="0" applyFont="1" applyFill="1" applyBorder="1" applyProtection="1"/>
    <xf numFmtId="0" fontId="2" fillId="6" borderId="0" xfId="0" applyFont="1" applyFill="1" applyBorder="1" applyProtection="1"/>
    <xf numFmtId="0" fontId="2" fillId="6" borderId="34" xfId="0" applyFont="1" applyFill="1" applyBorder="1" applyProtection="1"/>
    <xf numFmtId="3" fontId="2" fillId="6" borderId="34" xfId="0" applyNumberFormat="1" applyFont="1" applyFill="1" applyBorder="1" applyProtection="1"/>
    <xf numFmtId="0" fontId="2" fillId="6" borderId="45" xfId="0" applyFont="1" applyFill="1" applyBorder="1" applyAlignment="1" applyProtection="1">
      <alignment horizontal="left"/>
    </xf>
    <xf numFmtId="3" fontId="2" fillId="4" borderId="123" xfId="0" applyNumberFormat="1" applyFont="1" applyFill="1" applyBorder="1" applyProtection="1"/>
    <xf numFmtId="3" fontId="2" fillId="6" borderId="36" xfId="0" applyNumberFormat="1" applyFont="1" applyFill="1" applyBorder="1" applyProtection="1"/>
    <xf numFmtId="3" fontId="10" fillId="6" borderId="36" xfId="0" applyNumberFormat="1" applyFont="1" applyFill="1" applyBorder="1" applyProtection="1"/>
    <xf numFmtId="3" fontId="2" fillId="4" borderId="94" xfId="0" applyNumberFormat="1" applyFont="1" applyFill="1" applyBorder="1" applyProtection="1"/>
    <xf numFmtId="0" fontId="2" fillId="6" borderId="0" xfId="0" applyFont="1" applyFill="1" applyBorder="1" applyAlignment="1" applyProtection="1">
      <alignment horizontal="left"/>
    </xf>
    <xf numFmtId="0" fontId="2" fillId="6" borderId="31" xfId="0" applyFont="1" applyFill="1" applyBorder="1" applyProtection="1"/>
    <xf numFmtId="0" fontId="70" fillId="7" borderId="34" xfId="0" applyFont="1" applyFill="1" applyBorder="1" applyProtection="1"/>
    <xf numFmtId="3" fontId="4" fillId="6" borderId="100" xfId="0" applyNumberFormat="1" applyFont="1" applyFill="1" applyBorder="1" applyProtection="1"/>
    <xf numFmtId="3" fontId="4" fillId="0" borderId="12" xfId="9" applyNumberFormat="1" applyFont="1" applyFill="1" applyBorder="1" applyProtection="1">
      <protection locked="0"/>
    </xf>
    <xf numFmtId="3" fontId="6" fillId="15" borderId="83" xfId="0" applyNumberFormat="1" applyFont="1" applyFill="1" applyBorder="1" applyProtection="1"/>
    <xf numFmtId="3" fontId="4" fillId="6" borderId="124" xfId="0" applyNumberFormat="1" applyFont="1" applyFill="1" applyBorder="1" applyProtection="1"/>
    <xf numFmtId="3" fontId="4" fillId="6" borderId="125" xfId="0" applyNumberFormat="1" applyFont="1" applyFill="1" applyBorder="1" applyProtection="1"/>
    <xf numFmtId="3" fontId="2" fillId="6" borderId="101" xfId="0" applyNumberFormat="1" applyFont="1" applyFill="1" applyBorder="1" applyProtection="1"/>
    <xf numFmtId="3" fontId="2" fillId="6" borderId="62" xfId="0" applyNumberFormat="1" applyFont="1" applyFill="1" applyBorder="1" applyProtection="1"/>
    <xf numFmtId="166" fontId="2" fillId="6" borderId="126" xfId="0" applyNumberFormat="1" applyFont="1" applyFill="1" applyBorder="1" applyProtection="1"/>
    <xf numFmtId="0" fontId="2" fillId="6" borderId="126" xfId="0" applyFont="1" applyFill="1" applyBorder="1" applyProtection="1"/>
    <xf numFmtId="0" fontId="6" fillId="6" borderId="7" xfId="0" applyFont="1" applyFill="1" applyBorder="1" applyAlignment="1" applyProtection="1">
      <alignment vertical="top" wrapText="1"/>
    </xf>
    <xf numFmtId="0" fontId="6" fillId="6" borderId="8" xfId="0" applyFont="1" applyFill="1" applyBorder="1" applyAlignment="1" applyProtection="1">
      <alignment horizontal="left"/>
    </xf>
    <xf numFmtId="0" fontId="6" fillId="6" borderId="10" xfId="0" applyFont="1" applyFill="1" applyBorder="1" applyAlignment="1" applyProtection="1">
      <alignment horizontal="left"/>
    </xf>
    <xf numFmtId="0" fontId="6" fillId="6" borderId="7" xfId="0" applyFont="1" applyFill="1" applyBorder="1" applyAlignment="1" applyProtection="1">
      <alignment horizontal="left"/>
    </xf>
    <xf numFmtId="0" fontId="6" fillId="6" borderId="50" xfId="0" applyFont="1" applyFill="1" applyBorder="1" applyAlignment="1" applyProtection="1">
      <alignment horizontal="left"/>
    </xf>
    <xf numFmtId="3" fontId="26" fillId="6" borderId="12" xfId="0" applyNumberFormat="1" applyFont="1" applyFill="1" applyBorder="1" applyProtection="1"/>
    <xf numFmtId="0" fontId="4" fillId="6" borderId="81" xfId="0" applyFont="1" applyFill="1" applyBorder="1" applyProtection="1"/>
    <xf numFmtId="0" fontId="4" fillId="6" borderId="7" xfId="0" applyFont="1" applyFill="1" applyBorder="1" applyProtection="1"/>
    <xf numFmtId="0" fontId="4" fillId="6" borderId="98" xfId="0" applyFont="1" applyFill="1" applyBorder="1" applyAlignment="1" applyProtection="1">
      <alignment horizontal="left"/>
    </xf>
    <xf numFmtId="0" fontId="4" fillId="6" borderId="83" xfId="0" applyFont="1" applyFill="1" applyBorder="1" applyAlignment="1" applyProtection="1">
      <alignment horizontal="left"/>
    </xf>
    <xf numFmtId="0" fontId="6" fillId="6" borderId="36" xfId="0" applyFont="1" applyFill="1" applyBorder="1" applyAlignment="1" applyProtection="1">
      <alignment horizontal="left"/>
    </xf>
    <xf numFmtId="0" fontId="6" fillId="6" borderId="46" xfId="0" applyFont="1" applyFill="1" applyBorder="1" applyAlignment="1" applyProtection="1">
      <alignment horizontal="left"/>
    </xf>
    <xf numFmtId="0" fontId="4" fillId="7" borderId="126" xfId="0" applyFont="1" applyFill="1" applyBorder="1" applyProtection="1"/>
    <xf numFmtId="0" fontId="74" fillId="6" borderId="79" xfId="0" applyFont="1" applyFill="1" applyBorder="1" applyProtection="1"/>
    <xf numFmtId="3" fontId="54" fillId="4" borderId="28" xfId="0" applyNumberFormat="1" applyFont="1" applyFill="1" applyBorder="1" applyProtection="1"/>
    <xf numFmtId="3" fontId="54" fillId="4" borderId="92" xfId="0" applyNumberFormat="1" applyFont="1" applyFill="1" applyBorder="1" applyProtection="1"/>
    <xf numFmtId="9" fontId="4" fillId="6" borderId="127" xfId="9" applyNumberFormat="1" applyFont="1" applyFill="1" applyBorder="1" applyProtection="1">
      <protection locked="0"/>
    </xf>
    <xf numFmtId="9" fontId="4" fillId="6" borderId="95" xfId="9" applyNumberFormat="1" applyFont="1" applyFill="1" applyBorder="1" applyProtection="1">
      <protection locked="0"/>
    </xf>
    <xf numFmtId="9" fontId="4" fillId="6" borderId="97" xfId="9" applyNumberFormat="1" applyFont="1" applyFill="1" applyBorder="1" applyProtection="1">
      <protection locked="0"/>
    </xf>
    <xf numFmtId="9" fontId="4" fillId="6" borderId="128" xfId="0" applyNumberFormat="1" applyFont="1" applyFill="1" applyBorder="1" applyProtection="1"/>
    <xf numFmtId="3" fontId="6" fillId="6" borderId="72" xfId="0" applyNumberFormat="1" applyFont="1" applyFill="1" applyBorder="1" applyProtection="1"/>
    <xf numFmtId="3" fontId="4" fillId="0" borderId="103" xfId="9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3" fontId="6" fillId="0" borderId="12" xfId="0" applyNumberFormat="1" applyFont="1" applyFill="1" applyBorder="1" applyProtection="1">
      <protection locked="0"/>
    </xf>
    <xf numFmtId="3" fontId="6" fillId="0" borderId="100" xfId="9" applyNumberFormat="1" applyFont="1" applyFill="1" applyBorder="1" applyProtection="1">
      <protection locked="0"/>
    </xf>
    <xf numFmtId="3" fontId="4" fillId="4" borderId="22" xfId="0" applyNumberFormat="1" applyFont="1" applyFill="1" applyBorder="1" applyProtection="1"/>
    <xf numFmtId="3" fontId="4" fillId="6" borderId="64" xfId="0" applyNumberFormat="1" applyFont="1" applyFill="1" applyBorder="1" applyProtection="1"/>
    <xf numFmtId="9" fontId="4" fillId="6" borderId="24" xfId="0" applyNumberFormat="1" applyFont="1" applyFill="1" applyBorder="1" applyAlignment="1" applyProtection="1">
      <alignment horizontal="right"/>
    </xf>
    <xf numFmtId="9" fontId="6" fillId="6" borderId="5" xfId="0" applyNumberFormat="1" applyFont="1" applyFill="1" applyBorder="1" applyAlignment="1" applyProtection="1">
      <alignment horizontal="right"/>
    </xf>
    <xf numFmtId="9" fontId="4" fillId="6" borderId="5" xfId="0" applyNumberFormat="1" applyFont="1" applyFill="1" applyBorder="1" applyAlignment="1" applyProtection="1">
      <alignment horizontal="right"/>
    </xf>
    <xf numFmtId="9" fontId="6" fillId="6" borderId="83" xfId="0" applyNumberFormat="1" applyFont="1" applyFill="1" applyBorder="1" applyAlignment="1" applyProtection="1">
      <alignment horizontal="right"/>
    </xf>
    <xf numFmtId="3" fontId="4" fillId="6" borderId="47" xfId="0" applyNumberFormat="1" applyFont="1" applyFill="1" applyBorder="1" applyProtection="1"/>
    <xf numFmtId="0" fontId="4" fillId="6" borderId="52" xfId="0" applyFont="1" applyFill="1" applyBorder="1" applyProtection="1"/>
    <xf numFmtId="9" fontId="6" fillId="6" borderId="13" xfId="0" applyNumberFormat="1" applyFont="1" applyFill="1" applyBorder="1" applyProtection="1"/>
    <xf numFmtId="0" fontId="4" fillId="6" borderId="79" xfId="0" applyFont="1" applyFill="1" applyBorder="1" applyAlignment="1" applyProtection="1">
      <alignment horizontal="center"/>
    </xf>
    <xf numFmtId="0" fontId="4" fillId="6" borderId="130" xfId="0" applyNumberFormat="1" applyFont="1" applyFill="1" applyBorder="1" applyAlignment="1" applyProtection="1">
      <alignment horizontal="center"/>
    </xf>
    <xf numFmtId="3" fontId="2" fillId="6" borderId="11" xfId="0" applyNumberFormat="1" applyFont="1" applyFill="1" applyBorder="1" applyProtection="1"/>
    <xf numFmtId="0" fontId="2" fillId="6" borderId="132" xfId="0" applyFont="1" applyFill="1" applyBorder="1" applyProtection="1"/>
    <xf numFmtId="3" fontId="2" fillId="6" borderId="132" xfId="0" applyNumberFormat="1" applyFont="1" applyFill="1" applyBorder="1" applyProtection="1"/>
    <xf numFmtId="3" fontId="2" fillId="4" borderId="134" xfId="0" applyNumberFormat="1" applyFont="1" applyFill="1" applyBorder="1" applyProtection="1"/>
    <xf numFmtId="3" fontId="2" fillId="6" borderId="22" xfId="0" applyNumberFormat="1" applyFont="1" applyFill="1" applyBorder="1" applyProtection="1"/>
    <xf numFmtId="0" fontId="2" fillId="6" borderId="135" xfId="0" applyFont="1" applyFill="1" applyBorder="1" applyProtection="1"/>
    <xf numFmtId="0" fontId="2" fillId="6" borderId="136" xfId="0" applyFont="1" applyFill="1" applyBorder="1" applyProtection="1"/>
    <xf numFmtId="0" fontId="4" fillId="6" borderId="13" xfId="0" quotePrefix="1" applyFont="1" applyFill="1" applyBorder="1" applyProtection="1"/>
    <xf numFmtId="0" fontId="6" fillId="6" borderId="30" xfId="0" applyFont="1" applyFill="1" applyBorder="1" applyAlignment="1" applyProtection="1">
      <alignment wrapText="1"/>
    </xf>
    <xf numFmtId="0" fontId="4" fillId="6" borderId="28" xfId="0" quotePrefix="1" applyFont="1" applyFill="1" applyBorder="1" applyProtection="1"/>
    <xf numFmtId="0" fontId="4" fillId="6" borderId="92" xfId="0" quotePrefix="1" applyFont="1" applyFill="1" applyBorder="1" applyProtection="1"/>
    <xf numFmtId="0" fontId="28" fillId="6" borderId="138" xfId="0" applyFont="1" applyFill="1" applyBorder="1" applyAlignment="1" applyProtection="1">
      <alignment vertical="top" wrapText="1"/>
    </xf>
    <xf numFmtId="3" fontId="6" fillId="13" borderId="17" xfId="0" applyNumberFormat="1" applyFont="1" applyFill="1" applyBorder="1" applyProtection="1"/>
    <xf numFmtId="3" fontId="4" fillId="0" borderId="27" xfId="9" applyNumberFormat="1" applyFont="1" applyFill="1" applyBorder="1" applyProtection="1">
      <protection locked="0"/>
    </xf>
    <xf numFmtId="3" fontId="4" fillId="0" borderId="17" xfId="9" applyNumberFormat="1" applyFont="1" applyFill="1" applyBorder="1" applyProtection="1">
      <protection locked="0"/>
    </xf>
    <xf numFmtId="3" fontId="6" fillId="14" borderId="67" xfId="0" applyNumberFormat="1" applyFont="1" applyFill="1" applyBorder="1" applyProtection="1"/>
    <xf numFmtId="3" fontId="4" fillId="6" borderId="36" xfId="0" applyNumberFormat="1" applyFont="1" applyFill="1" applyBorder="1" applyAlignment="1" applyProtection="1">
      <alignment vertical="top"/>
    </xf>
    <xf numFmtId="0" fontId="4" fillId="6" borderId="139" xfId="0" applyFont="1" applyFill="1" applyBorder="1" applyAlignment="1" applyProtection="1">
      <alignment vertical="top" wrapText="1"/>
    </xf>
    <xf numFmtId="3" fontId="4" fillId="6" borderId="123" xfId="0" applyNumberFormat="1" applyFont="1" applyFill="1" applyBorder="1" applyAlignment="1" applyProtection="1">
      <alignment vertical="top"/>
    </xf>
    <xf numFmtId="3" fontId="4" fillId="6" borderId="94" xfId="0" applyNumberFormat="1" applyFont="1" applyFill="1" applyBorder="1" applyAlignment="1" applyProtection="1">
      <alignment vertical="top"/>
    </xf>
    <xf numFmtId="0" fontId="4" fillId="6" borderId="50" xfId="0" applyFont="1" applyFill="1" applyBorder="1" applyAlignment="1" applyProtection="1">
      <alignment vertical="top"/>
    </xf>
    <xf numFmtId="0" fontId="6" fillId="12" borderId="3" xfId="0" applyFont="1" applyFill="1" applyBorder="1" applyProtection="1"/>
    <xf numFmtId="171" fontId="4" fillId="15" borderId="24" xfId="0" applyNumberFormat="1" applyFont="1" applyFill="1" applyBorder="1" applyProtection="1"/>
    <xf numFmtId="171" fontId="4" fillId="15" borderId="83" xfId="0" applyNumberFormat="1" applyFont="1" applyFill="1" applyBorder="1" applyProtection="1"/>
    <xf numFmtId="0" fontId="70" fillId="7" borderId="140" xfId="0" applyFont="1" applyFill="1" applyBorder="1" applyProtection="1"/>
    <xf numFmtId="166" fontId="2" fillId="6" borderId="0" xfId="0" applyNumberFormat="1" applyFont="1" applyFill="1" applyBorder="1" applyProtection="1"/>
    <xf numFmtId="166" fontId="2" fillId="6" borderId="132" xfId="0" applyNumberFormat="1" applyFont="1" applyFill="1" applyBorder="1" applyProtection="1"/>
    <xf numFmtId="166" fontId="2" fillId="6" borderId="19" xfId="0" applyNumberFormat="1" applyFont="1" applyFill="1" applyBorder="1" applyProtection="1"/>
    <xf numFmtId="0" fontId="4" fillId="7" borderId="69" xfId="0" applyFont="1" applyFill="1" applyBorder="1" applyProtection="1"/>
    <xf numFmtId="3" fontId="6" fillId="13" borderId="71" xfId="9" applyNumberFormat="1" applyFont="1" applyFill="1" applyBorder="1" applyProtection="1"/>
    <xf numFmtId="3" fontId="4" fillId="0" borderId="113" xfId="0" applyNumberFormat="1" applyFont="1" applyFill="1" applyBorder="1" applyProtection="1">
      <protection locked="0"/>
    </xf>
    <xf numFmtId="0" fontId="6" fillId="6" borderId="75" xfId="0" applyFont="1" applyFill="1" applyBorder="1" applyProtection="1"/>
    <xf numFmtId="0" fontId="6" fillId="6" borderId="100" xfId="0" applyFont="1" applyFill="1" applyBorder="1" applyProtection="1"/>
    <xf numFmtId="0" fontId="6" fillId="6" borderId="116" xfId="0" applyFont="1" applyFill="1" applyBorder="1" applyProtection="1"/>
    <xf numFmtId="3" fontId="4" fillId="4" borderId="103" xfId="0" applyNumberFormat="1" applyFont="1" applyFill="1" applyBorder="1" applyProtection="1"/>
    <xf numFmtId="3" fontId="6" fillId="6" borderId="28" xfId="0" applyNumberFormat="1" applyFont="1" applyFill="1" applyBorder="1" applyProtection="1"/>
    <xf numFmtId="3" fontId="6" fillId="6" borderId="12" xfId="0" applyNumberFormat="1" applyFont="1" applyFill="1" applyBorder="1" applyProtection="1"/>
    <xf numFmtId="9" fontId="6" fillId="6" borderId="12" xfId="0" applyNumberFormat="1" applyFont="1" applyFill="1" applyBorder="1" applyProtection="1"/>
    <xf numFmtId="3" fontId="6" fillId="6" borderId="39" xfId="0" applyNumberFormat="1" applyFont="1" applyFill="1" applyBorder="1" applyProtection="1"/>
    <xf numFmtId="3" fontId="6" fillId="6" borderId="92" xfId="0" applyNumberFormat="1" applyFont="1" applyFill="1" applyBorder="1" applyProtection="1"/>
    <xf numFmtId="3" fontId="6" fillId="6" borderId="83" xfId="0" applyNumberFormat="1" applyFont="1" applyFill="1" applyBorder="1" applyProtection="1"/>
    <xf numFmtId="9" fontId="6" fillId="6" borderId="83" xfId="0" applyNumberFormat="1" applyFont="1" applyFill="1" applyBorder="1" applyProtection="1"/>
    <xf numFmtId="9" fontId="6" fillId="6" borderId="24" xfId="0" applyNumberFormat="1" applyFont="1" applyFill="1" applyBorder="1" applyAlignment="1" applyProtection="1">
      <alignment horizontal="right"/>
    </xf>
    <xf numFmtId="9" fontId="6" fillId="6" borderId="64" xfId="0" applyNumberFormat="1" applyFont="1" applyFill="1" applyBorder="1" applyAlignment="1" applyProtection="1">
      <alignment horizontal="right"/>
    </xf>
    <xf numFmtId="0" fontId="6" fillId="12" borderId="12" xfId="0" applyFont="1" applyFill="1" applyBorder="1" applyProtection="1"/>
    <xf numFmtId="49" fontId="4" fillId="12" borderId="28" xfId="0" applyNumberFormat="1" applyFont="1" applyFill="1" applyBorder="1" applyAlignment="1" applyProtection="1">
      <alignment horizontal="left"/>
    </xf>
    <xf numFmtId="3" fontId="4" fillId="7" borderId="131" xfId="0" applyNumberFormat="1" applyFont="1" applyFill="1" applyBorder="1" applyProtection="1">
      <protection locked="0"/>
    </xf>
    <xf numFmtId="3" fontId="4" fillId="7" borderId="32" xfId="0" applyNumberFormat="1" applyFont="1" applyFill="1" applyBorder="1" applyProtection="1">
      <protection locked="0"/>
    </xf>
    <xf numFmtId="49" fontId="6" fillId="6" borderId="59" xfId="0" applyNumberFormat="1" applyFont="1" applyFill="1" applyBorder="1" applyProtection="1"/>
    <xf numFmtId="49" fontId="6" fillId="6" borderId="79" xfId="0" applyNumberFormat="1" applyFont="1" applyFill="1" applyBorder="1" applyProtection="1"/>
    <xf numFmtId="49" fontId="6" fillId="12" borderId="28" xfId="0" applyNumberFormat="1" applyFont="1" applyFill="1" applyBorder="1" applyAlignment="1" applyProtection="1">
      <alignment horizontal="left"/>
    </xf>
    <xf numFmtId="0" fontId="6" fillId="6" borderId="29" xfId="0" applyFont="1" applyFill="1" applyBorder="1" applyProtection="1"/>
    <xf numFmtId="0" fontId="6" fillId="6" borderId="66" xfId="0" applyFont="1" applyFill="1" applyBorder="1" applyProtection="1"/>
    <xf numFmtId="3" fontId="4" fillId="7" borderId="51" xfId="0" applyNumberFormat="1" applyFont="1" applyFill="1" applyBorder="1" applyProtection="1">
      <protection locked="0"/>
    </xf>
    <xf numFmtId="3" fontId="4" fillId="7" borderId="12" xfId="9" applyNumberFormat="1" applyFont="1" applyFill="1" applyBorder="1" applyProtection="1">
      <protection locked="0"/>
    </xf>
    <xf numFmtId="3" fontId="4" fillId="7" borderId="17" xfId="9" applyNumberFormat="1" applyFont="1" applyFill="1" applyBorder="1" applyProtection="1">
      <protection locked="0"/>
    </xf>
    <xf numFmtId="49" fontId="6" fillId="6" borderId="59" xfId="0" applyNumberFormat="1" applyFont="1" applyFill="1" applyBorder="1" applyAlignment="1" applyProtection="1">
      <alignment horizontal="left"/>
    </xf>
    <xf numFmtId="49" fontId="6" fillId="6" borderId="40" xfId="0" applyNumberFormat="1" applyFont="1" applyFill="1" applyBorder="1" applyAlignment="1" applyProtection="1">
      <alignment horizontal="left"/>
    </xf>
    <xf numFmtId="49" fontId="6" fillId="6" borderId="40" xfId="0" quotePrefix="1" applyNumberFormat="1" applyFont="1" applyFill="1" applyBorder="1" applyAlignment="1" applyProtection="1">
      <alignment horizontal="left"/>
    </xf>
    <xf numFmtId="0" fontId="70" fillId="3" borderId="29" xfId="0" applyFont="1" applyFill="1" applyBorder="1" applyAlignment="1" applyProtection="1">
      <alignment horizontal="left"/>
    </xf>
    <xf numFmtId="3" fontId="4" fillId="6" borderId="4" xfId="9" applyNumberFormat="1" applyFont="1" applyFill="1" applyBorder="1" applyProtection="1"/>
    <xf numFmtId="3" fontId="4" fillId="6" borderId="80" xfId="9" applyNumberFormat="1" applyFont="1" applyFill="1" applyBorder="1" applyProtection="1"/>
    <xf numFmtId="3" fontId="4" fillId="6" borderId="102" xfId="9" applyNumberFormat="1" applyFont="1" applyFill="1" applyBorder="1" applyProtection="1"/>
    <xf numFmtId="3" fontId="4" fillId="6" borderId="103" xfId="9" applyNumberFormat="1" applyFont="1" applyFill="1" applyBorder="1" applyProtection="1"/>
    <xf numFmtId="3" fontId="4" fillId="6" borderId="11" xfId="9" applyNumberFormat="1" applyFont="1" applyFill="1" applyBorder="1" applyProtection="1"/>
    <xf numFmtId="3" fontId="4" fillId="6" borderId="142" xfId="9" applyNumberFormat="1" applyFont="1" applyFill="1" applyBorder="1" applyProtection="1"/>
    <xf numFmtId="3" fontId="4" fillId="4" borderId="143" xfId="0" applyNumberFormat="1" applyFont="1" applyFill="1" applyBorder="1" applyAlignment="1" applyProtection="1">
      <alignment horizontal="right"/>
    </xf>
    <xf numFmtId="3" fontId="6" fillId="15" borderId="144" xfId="0" applyNumberFormat="1" applyFont="1" applyFill="1" applyBorder="1" applyProtection="1"/>
    <xf numFmtId="3" fontId="6" fillId="15" borderId="12" xfId="0" applyNumberFormat="1" applyFont="1" applyFill="1" applyBorder="1" applyProtection="1"/>
    <xf numFmtId="0" fontId="4" fillId="7" borderId="0" xfId="0" quotePrefix="1" applyFont="1" applyFill="1" applyBorder="1" applyAlignment="1" applyProtection="1">
      <alignment horizontal="left"/>
    </xf>
    <xf numFmtId="0" fontId="4" fillId="16" borderId="102" xfId="0" quotePrefix="1" applyFont="1" applyFill="1" applyBorder="1" applyAlignment="1" applyProtection="1">
      <alignment horizontal="left"/>
    </xf>
    <xf numFmtId="3" fontId="4" fillId="17" borderId="0" xfId="9" applyNumberFormat="1" applyFont="1" applyFill="1" applyBorder="1" applyProtection="1"/>
    <xf numFmtId="3" fontId="4" fillId="13" borderId="145" xfId="9" applyNumberFormat="1" applyFont="1" applyFill="1" applyBorder="1" applyProtection="1"/>
    <xf numFmtId="9" fontId="4" fillId="18" borderId="145" xfId="9" quotePrefix="1" applyFont="1" applyFill="1" applyBorder="1" applyAlignment="1" applyProtection="1">
      <alignment horizontal="left"/>
    </xf>
    <xf numFmtId="3" fontId="4" fillId="4" borderId="80" xfId="0" applyNumberFormat="1" applyFont="1" applyFill="1" applyBorder="1" applyProtection="1"/>
    <xf numFmtId="0" fontId="76" fillId="6" borderId="19" xfId="0" applyFont="1" applyFill="1" applyBorder="1" applyProtection="1"/>
    <xf numFmtId="0" fontId="77" fillId="6" borderId="69" xfId="0" applyFont="1" applyFill="1" applyBorder="1" applyProtection="1"/>
    <xf numFmtId="0" fontId="76" fillId="3" borderId="29" xfId="0" applyFont="1" applyFill="1" applyBorder="1" applyAlignment="1" applyProtection="1">
      <alignment horizontal="left"/>
    </xf>
    <xf numFmtId="0" fontId="8" fillId="7" borderId="0" xfId="0" applyFont="1" applyFill="1" applyAlignment="1" applyProtection="1">
      <alignment wrapText="1"/>
    </xf>
    <xf numFmtId="0" fontId="67" fillId="7" borderId="0" xfId="0" applyFont="1" applyFill="1" applyAlignment="1" applyProtection="1">
      <alignment wrapText="1"/>
    </xf>
    <xf numFmtId="9" fontId="67" fillId="6" borderId="3" xfId="0" applyNumberFormat="1" applyFont="1" applyFill="1" applyBorder="1" applyProtection="1"/>
    <xf numFmtId="0" fontId="67" fillId="6" borderId="0" xfId="0" applyFont="1" applyFill="1" applyBorder="1" applyProtection="1"/>
    <xf numFmtId="9" fontId="4" fillId="6" borderId="127" xfId="9" applyNumberFormat="1" applyFont="1" applyFill="1" applyBorder="1" applyProtection="1"/>
    <xf numFmtId="9" fontId="4" fillId="6" borderId="95" xfId="9" applyNumberFormat="1" applyFont="1" applyFill="1" applyBorder="1" applyProtection="1"/>
    <xf numFmtId="9" fontId="4" fillId="6" borderId="97" xfId="9" applyNumberFormat="1" applyFont="1" applyFill="1" applyBorder="1" applyProtection="1"/>
    <xf numFmtId="3" fontId="4" fillId="6" borderId="94" xfId="9" applyNumberFormat="1" applyFont="1" applyFill="1" applyBorder="1" applyProtection="1"/>
    <xf numFmtId="3" fontId="4" fillId="6" borderId="129" xfId="9" applyNumberFormat="1" applyFont="1" applyFill="1" applyBorder="1" applyProtection="1"/>
    <xf numFmtId="3" fontId="4" fillId="6" borderId="97" xfId="9" applyNumberFormat="1" applyFont="1" applyFill="1" applyBorder="1" applyProtection="1"/>
    <xf numFmtId="3" fontId="2" fillId="6" borderId="65" xfId="0" applyNumberFormat="1" applyFont="1" applyFill="1" applyBorder="1" applyProtection="1"/>
    <xf numFmtId="3" fontId="2" fillId="6" borderId="28" xfId="0" applyNumberFormat="1" applyFont="1" applyFill="1" applyBorder="1" applyProtection="1"/>
    <xf numFmtId="3" fontId="2" fillId="7" borderId="0" xfId="0" applyNumberFormat="1" applyFont="1" applyFill="1" applyBorder="1" applyProtection="1"/>
    <xf numFmtId="3" fontId="2" fillId="7" borderId="0" xfId="9" applyNumberFormat="1" applyFont="1" applyFill="1" applyBorder="1" applyProtection="1"/>
    <xf numFmtId="0" fontId="6" fillId="6" borderId="110" xfId="0" applyFont="1" applyFill="1" applyBorder="1" applyAlignment="1" applyProtection="1">
      <alignment wrapText="1"/>
    </xf>
    <xf numFmtId="3" fontId="4" fillId="6" borderId="41" xfId="0" applyNumberFormat="1" applyFont="1" applyFill="1" applyBorder="1" applyProtection="1"/>
    <xf numFmtId="3" fontId="6" fillId="6" borderId="70" xfId="9" applyNumberFormat="1" applyFont="1" applyFill="1" applyBorder="1" applyProtection="1"/>
    <xf numFmtId="3" fontId="67" fillId="6" borderId="89" xfId="0" applyNumberFormat="1" applyFont="1" applyFill="1" applyBorder="1" applyProtection="1"/>
    <xf numFmtId="3" fontId="67" fillId="6" borderId="90" xfId="9" applyNumberFormat="1" applyFont="1" applyFill="1" applyBorder="1" applyProtection="1"/>
    <xf numFmtId="0" fontId="4" fillId="6" borderId="10" xfId="0" applyFont="1" applyFill="1" applyBorder="1" applyAlignment="1" applyProtection="1">
      <alignment vertical="top"/>
    </xf>
    <xf numFmtId="0" fontId="4" fillId="6" borderId="12" xfId="0" quotePrefix="1" applyFont="1" applyFill="1" applyBorder="1" applyAlignment="1" applyProtection="1">
      <alignment wrapText="1"/>
    </xf>
    <xf numFmtId="3" fontId="4" fillId="17" borderId="0" xfId="9" applyNumberFormat="1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0" xfId="0" quotePrefix="1" applyFont="1" applyFill="1" applyBorder="1" applyAlignment="1" applyProtection="1">
      <alignment horizontal="left" vertical="center"/>
    </xf>
    <xf numFmtId="0" fontId="69" fillId="6" borderId="59" xfId="0" applyFont="1" applyFill="1" applyBorder="1" applyProtection="1"/>
    <xf numFmtId="0" fontId="6" fillId="3" borderId="39" xfId="0" applyFont="1" applyFill="1" applyBorder="1" applyAlignment="1" applyProtection="1">
      <alignment horizontal="left"/>
    </xf>
    <xf numFmtId="49" fontId="6" fillId="7" borderId="36" xfId="0" applyNumberFormat="1" applyFont="1" applyFill="1" applyBorder="1" applyProtection="1"/>
    <xf numFmtId="0" fontId="4" fillId="3" borderId="28" xfId="0" applyFont="1" applyFill="1" applyBorder="1" applyAlignment="1" applyProtection="1">
      <alignment horizontal="left"/>
    </xf>
    <xf numFmtId="0" fontId="70" fillId="3" borderId="47" xfId="0" applyFont="1" applyFill="1" applyBorder="1" applyAlignment="1" applyProtection="1">
      <alignment horizontal="left"/>
    </xf>
    <xf numFmtId="3" fontId="4" fillId="6" borderId="34" xfId="0" applyNumberFormat="1" applyFont="1" applyFill="1" applyBorder="1" applyAlignment="1" applyProtection="1">
      <alignment horizontal="right"/>
    </xf>
    <xf numFmtId="3" fontId="4" fillId="6" borderId="60" xfId="0" applyNumberFormat="1" applyFont="1" applyFill="1" applyBorder="1" applyAlignment="1" applyProtection="1">
      <alignment horizontal="right"/>
    </xf>
    <xf numFmtId="3" fontId="26" fillId="6" borderId="47" xfId="0" applyNumberFormat="1" applyFont="1" applyFill="1" applyBorder="1" applyProtection="1"/>
    <xf numFmtId="9" fontId="4" fillId="6" borderId="132" xfId="0" applyNumberFormat="1" applyFont="1" applyFill="1" applyBorder="1" applyProtection="1"/>
    <xf numFmtId="9" fontId="4" fillId="6" borderId="18" xfId="0" applyNumberFormat="1" applyFont="1" applyFill="1" applyBorder="1" applyProtection="1"/>
    <xf numFmtId="0" fontId="4" fillId="6" borderId="1" xfId="0" applyFont="1" applyFill="1" applyBorder="1" applyAlignment="1" applyProtection="1">
      <alignment wrapText="1"/>
    </xf>
    <xf numFmtId="0" fontId="22" fillId="7" borderId="0" xfId="3" applyFill="1" applyBorder="1" applyAlignment="1" applyProtection="1">
      <alignment horizontal="left" vertical="center"/>
    </xf>
    <xf numFmtId="0" fontId="6" fillId="7" borderId="0" xfId="0" quotePrefix="1" applyFont="1" applyFill="1" applyBorder="1" applyAlignment="1" applyProtection="1">
      <alignment horizontal="left" vertical="center"/>
    </xf>
    <xf numFmtId="0" fontId="4" fillId="7" borderId="126" xfId="0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9" fontId="4" fillId="18" borderId="145" xfId="9" quotePrefix="1" applyFont="1" applyFill="1" applyBorder="1" applyAlignment="1" applyProtection="1">
      <alignment horizontal="left" vertical="center"/>
    </xf>
    <xf numFmtId="0" fontId="56" fillId="7" borderId="0" xfId="0" quotePrefix="1" applyFont="1" applyFill="1" applyBorder="1" applyAlignment="1" applyProtection="1">
      <alignment horizontal="left" vertical="center"/>
    </xf>
    <xf numFmtId="0" fontId="4" fillId="16" borderId="102" xfId="0" quotePrefix="1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 wrapText="1"/>
    </xf>
    <xf numFmtId="0" fontId="4" fillId="3" borderId="24" xfId="0" applyFont="1" applyFill="1" applyBorder="1" applyAlignment="1" applyProtection="1">
      <alignment horizontal="left" vertical="center"/>
    </xf>
    <xf numFmtId="0" fontId="4" fillId="12" borderId="24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/>
    </xf>
    <xf numFmtId="0" fontId="4" fillId="6" borderId="13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 vertical="center"/>
    </xf>
    <xf numFmtId="49" fontId="6" fillId="6" borderId="47" xfId="0" applyNumberFormat="1" applyFont="1" applyFill="1" applyBorder="1" applyProtection="1"/>
    <xf numFmtId="0" fontId="4" fillId="7" borderId="36" xfId="0" applyFont="1" applyFill="1" applyBorder="1" applyProtection="1"/>
    <xf numFmtId="3" fontId="4" fillId="14" borderId="102" xfId="0" applyNumberFormat="1" applyFont="1" applyFill="1" applyBorder="1" applyAlignment="1" applyProtection="1">
      <alignment vertical="center"/>
    </xf>
    <xf numFmtId="3" fontId="4" fillId="4" borderId="80" xfId="0" applyNumberFormat="1" applyFont="1" applyFill="1" applyBorder="1" applyAlignment="1" applyProtection="1">
      <alignment vertical="center"/>
    </xf>
    <xf numFmtId="0" fontId="9" fillId="7" borderId="0" xfId="0" applyFont="1" applyFill="1" applyAlignment="1" applyProtection="1">
      <alignment vertical="center"/>
    </xf>
    <xf numFmtId="0" fontId="4" fillId="6" borderId="54" xfId="0" quotePrefix="1" applyFont="1" applyFill="1" applyBorder="1" applyAlignment="1" applyProtection="1">
      <alignment wrapText="1"/>
    </xf>
    <xf numFmtId="3" fontId="4" fillId="14" borderId="80" xfId="0" applyNumberFormat="1" applyFont="1" applyFill="1" applyBorder="1" applyProtection="1"/>
    <xf numFmtId="0" fontId="55" fillId="7" borderId="14" xfId="0" quotePrefix="1" applyFont="1" applyFill="1" applyBorder="1" applyAlignment="1" applyProtection="1">
      <alignment horizontal="left"/>
    </xf>
    <xf numFmtId="3" fontId="4" fillId="14" borderId="41" xfId="0" applyNumberFormat="1" applyFont="1" applyFill="1" applyBorder="1" applyProtection="1"/>
    <xf numFmtId="3" fontId="4" fillId="14" borderId="111" xfId="0" applyNumberFormat="1" applyFont="1" applyFill="1" applyBorder="1" applyAlignment="1" applyProtection="1">
      <alignment vertical="center"/>
    </xf>
    <xf numFmtId="3" fontId="4" fillId="6" borderId="142" xfId="0" applyNumberFormat="1" applyFont="1" applyFill="1" applyBorder="1" applyAlignment="1" applyProtection="1">
      <alignment horizontal="right" vertical="center"/>
    </xf>
    <xf numFmtId="3" fontId="4" fillId="6" borderId="106" xfId="0" applyNumberFormat="1" applyFont="1" applyFill="1" applyBorder="1" applyAlignment="1" applyProtection="1">
      <alignment horizontal="right" vertical="center"/>
    </xf>
    <xf numFmtId="3" fontId="4" fillId="6" borderId="141" xfId="0" applyNumberFormat="1" applyFont="1" applyFill="1" applyBorder="1" applyAlignment="1" applyProtection="1">
      <alignment vertical="top"/>
    </xf>
    <xf numFmtId="0" fontId="6" fillId="12" borderId="20" xfId="0" applyFont="1" applyFill="1" applyBorder="1" applyProtection="1"/>
    <xf numFmtId="0" fontId="68" fillId="0" borderId="0" xfId="0" applyFont="1" applyFill="1" applyProtection="1"/>
    <xf numFmtId="0" fontId="4" fillId="12" borderId="11" xfId="0" applyFont="1" applyFill="1" applyBorder="1" applyProtection="1"/>
    <xf numFmtId="3" fontId="6" fillId="14" borderId="106" xfId="0" applyNumberFormat="1" applyFont="1" applyFill="1" applyBorder="1" applyProtection="1"/>
    <xf numFmtId="0" fontId="2" fillId="12" borderId="0" xfId="0" applyFont="1" applyFill="1" applyBorder="1" applyProtection="1"/>
    <xf numFmtId="0" fontId="53" fillId="7" borderId="19" xfId="0" quotePrefix="1" applyFont="1" applyFill="1" applyBorder="1" applyAlignment="1" applyProtection="1">
      <alignment horizontal="left"/>
    </xf>
    <xf numFmtId="0" fontId="2" fillId="12" borderId="0" xfId="0" applyFont="1" applyFill="1" applyBorder="1" applyAlignment="1" applyProtection="1">
      <alignment horizontal="right"/>
    </xf>
    <xf numFmtId="3" fontId="2" fillId="12" borderId="103" xfId="0" applyNumberFormat="1" applyFont="1" applyFill="1" applyBorder="1" applyProtection="1"/>
    <xf numFmtId="0" fontId="75" fillId="12" borderId="31" xfId="0" applyFont="1" applyFill="1" applyBorder="1" applyProtection="1"/>
    <xf numFmtId="0" fontId="2" fillId="12" borderId="31" xfId="0" applyFont="1" applyFill="1" applyBorder="1" applyAlignment="1" applyProtection="1">
      <alignment horizontal="right"/>
    </xf>
    <xf numFmtId="0" fontId="75" fillId="12" borderId="31" xfId="0" applyFont="1" applyFill="1" applyBorder="1" applyAlignment="1" applyProtection="1">
      <alignment horizontal="right"/>
    </xf>
    <xf numFmtId="1" fontId="2" fillId="12" borderId="106" xfId="0" applyNumberFormat="1" applyFont="1" applyFill="1" applyBorder="1" applyProtection="1"/>
    <xf numFmtId="0" fontId="23" fillId="12" borderId="100" xfId="0" applyFont="1" applyFill="1" applyBorder="1" applyProtection="1"/>
    <xf numFmtId="0" fontId="2" fillId="12" borderId="133" xfId="0" applyFont="1" applyFill="1" applyBorder="1" applyAlignment="1" applyProtection="1">
      <alignment horizontal="right"/>
    </xf>
    <xf numFmtId="0" fontId="2" fillId="12" borderId="89" xfId="0" applyFont="1" applyFill="1" applyBorder="1" applyAlignment="1" applyProtection="1">
      <alignment horizontal="right"/>
    </xf>
    <xf numFmtId="3" fontId="2" fillId="12" borderId="106" xfId="0" applyNumberFormat="1" applyFont="1" applyFill="1" applyBorder="1" applyProtection="1"/>
    <xf numFmtId="0" fontId="68" fillId="7" borderId="0" xfId="0" applyFont="1" applyFill="1"/>
    <xf numFmtId="3" fontId="4" fillId="6" borderId="147" xfId="9" applyNumberFormat="1" applyFont="1" applyFill="1" applyBorder="1" applyProtection="1"/>
    <xf numFmtId="3" fontId="4" fillId="6" borderId="62" xfId="9" applyNumberFormat="1" applyFont="1" applyFill="1" applyBorder="1" applyProtection="1"/>
    <xf numFmtId="3" fontId="4" fillId="6" borderId="148" xfId="9" applyNumberFormat="1" applyFont="1" applyFill="1" applyBorder="1" applyProtection="1"/>
    <xf numFmtId="3" fontId="68" fillId="7" borderId="19" xfId="0" applyNumberFormat="1" applyFont="1" applyFill="1" applyBorder="1" applyAlignment="1" applyProtection="1"/>
    <xf numFmtId="0" fontId="6" fillId="6" borderId="149" xfId="0" applyFont="1" applyFill="1" applyBorder="1" applyProtection="1"/>
    <xf numFmtId="0" fontId="23" fillId="6" borderId="80" xfId="0" applyFont="1" applyFill="1" applyBorder="1" applyProtection="1"/>
    <xf numFmtId="0" fontId="23" fillId="6" borderId="114" xfId="0" applyFont="1" applyFill="1" applyBorder="1" applyProtection="1"/>
    <xf numFmtId="0" fontId="67" fillId="7" borderId="0" xfId="0" applyFont="1" applyFill="1" applyBorder="1" applyProtection="1"/>
    <xf numFmtId="0" fontId="23" fillId="6" borderId="100" xfId="0" applyFont="1" applyFill="1" applyBorder="1" applyProtection="1"/>
    <xf numFmtId="3" fontId="26" fillId="6" borderId="3" xfId="0" applyNumberFormat="1" applyFont="1" applyFill="1" applyBorder="1" applyProtection="1"/>
    <xf numFmtId="3" fontId="26" fillId="6" borderId="24" xfId="0" applyNumberFormat="1" applyFont="1" applyFill="1" applyBorder="1" applyProtection="1"/>
    <xf numFmtId="164" fontId="68" fillId="0" borderId="0" xfId="0" applyNumberFormat="1" applyFont="1" applyFill="1" applyBorder="1" applyProtection="1"/>
    <xf numFmtId="0" fontId="4" fillId="19" borderId="27" xfId="0" applyFont="1" applyFill="1" applyBorder="1" applyProtection="1"/>
    <xf numFmtId="0" fontId="2" fillId="6" borderId="150" xfId="0" applyFont="1" applyFill="1" applyBorder="1" applyProtection="1"/>
    <xf numFmtId="3" fontId="2" fillId="20" borderId="33" xfId="0" applyNumberFormat="1" applyFont="1" applyFill="1" applyBorder="1" applyProtection="1"/>
    <xf numFmtId="0" fontId="78" fillId="7" borderId="0" xfId="0" applyFont="1" applyFill="1" applyBorder="1" applyProtection="1"/>
    <xf numFmtId="3" fontId="4" fillId="7" borderId="94" xfId="0" applyNumberFormat="1" applyFont="1" applyFill="1" applyBorder="1" applyProtection="1">
      <protection locked="0"/>
    </xf>
    <xf numFmtId="3" fontId="4" fillId="7" borderId="103" xfId="0" applyNumberFormat="1" applyFont="1" applyFill="1" applyBorder="1" applyProtection="1">
      <protection locked="0"/>
    </xf>
    <xf numFmtId="0" fontId="2" fillId="7" borderId="0" xfId="0" applyFont="1" applyFill="1" applyAlignment="1" applyProtection="1">
      <alignment vertical="top"/>
    </xf>
    <xf numFmtId="0" fontId="6" fillId="12" borderId="40" xfId="0" applyFont="1" applyFill="1" applyBorder="1" applyAlignment="1" applyProtection="1">
      <alignment horizontal="left"/>
    </xf>
    <xf numFmtId="49" fontId="4" fillId="12" borderId="28" xfId="0" applyNumberFormat="1" applyFont="1" applyFill="1" applyBorder="1" applyAlignment="1" applyProtection="1">
      <alignment wrapText="1"/>
    </xf>
    <xf numFmtId="49" fontId="4" fillId="12" borderId="28" xfId="0" applyNumberFormat="1" applyFont="1" applyFill="1" applyBorder="1" applyAlignment="1" applyProtection="1">
      <alignment horizontal="left" wrapText="1"/>
    </xf>
    <xf numFmtId="0" fontId="6" fillId="12" borderId="20" xfId="0" applyFont="1" applyFill="1" applyBorder="1" applyAlignment="1" applyProtection="1">
      <alignment wrapText="1"/>
    </xf>
    <xf numFmtId="0" fontId="4" fillId="12" borderId="20" xfId="0" applyFont="1" applyFill="1" applyBorder="1" applyAlignment="1" applyProtection="1">
      <alignment horizontal="left"/>
    </xf>
    <xf numFmtId="0" fontId="4" fillId="12" borderId="26" xfId="0" applyFont="1" applyFill="1" applyBorder="1" applyProtection="1"/>
    <xf numFmtId="0" fontId="4" fillId="12" borderId="3" xfId="0" applyFont="1" applyFill="1" applyBorder="1" applyProtection="1"/>
    <xf numFmtId="0" fontId="4" fillId="12" borderId="3" xfId="0" applyFont="1" applyFill="1" applyBorder="1" applyAlignment="1" applyProtection="1"/>
    <xf numFmtId="3" fontId="26" fillId="6" borderId="39" xfId="0" applyNumberFormat="1" applyFont="1" applyFill="1" applyBorder="1" applyAlignment="1" applyProtection="1">
      <alignment wrapText="1"/>
    </xf>
    <xf numFmtId="0" fontId="4" fillId="12" borderId="137" xfId="0" quotePrefix="1" applyFont="1" applyFill="1" applyBorder="1" applyProtection="1"/>
    <xf numFmtId="0" fontId="4" fillId="12" borderId="28" xfId="0" quotePrefix="1" applyFont="1" applyFill="1" applyBorder="1" applyProtection="1"/>
    <xf numFmtId="0" fontId="2" fillId="0" borderId="0" xfId="0" applyFont="1" applyFill="1" applyProtection="1"/>
    <xf numFmtId="3" fontId="4" fillId="0" borderId="0" xfId="0" applyNumberFormat="1" applyFont="1" applyFill="1" applyBorder="1" applyAlignment="1" applyProtection="1">
      <alignment horizontal="left" vertical="center"/>
    </xf>
    <xf numFmtId="0" fontId="4" fillId="12" borderId="64" xfId="0" applyFont="1" applyFill="1" applyBorder="1" applyAlignment="1" applyProtection="1">
      <alignment horizontal="left" vertical="center"/>
    </xf>
    <xf numFmtId="0" fontId="6" fillId="12" borderId="40" xfId="0" applyFont="1" applyFill="1" applyBorder="1" applyAlignment="1" applyProtection="1">
      <alignment horizontal="left" vertical="top"/>
    </xf>
    <xf numFmtId="0" fontId="4" fillId="12" borderId="14" xfId="0" applyFont="1" applyFill="1" applyBorder="1" applyProtection="1"/>
    <xf numFmtId="0" fontId="4" fillId="12" borderId="2" xfId="0" applyFont="1" applyFill="1" applyBorder="1" applyProtection="1"/>
    <xf numFmtId="0" fontId="6" fillId="12" borderId="6" xfId="0" applyFont="1" applyFill="1" applyBorder="1" applyProtection="1"/>
    <xf numFmtId="0" fontId="6" fillId="12" borderId="39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171" fontId="8" fillId="0" borderId="0" xfId="0" applyNumberFormat="1" applyFont="1" applyFill="1" applyProtection="1"/>
    <xf numFmtId="0" fontId="55" fillId="0" borderId="14" xfId="0" quotePrefix="1" applyFont="1" applyFill="1" applyBorder="1" applyAlignment="1" applyProtection="1">
      <alignment horizontal="left"/>
    </xf>
    <xf numFmtId="49" fontId="4" fillId="12" borderId="65" xfId="0" applyNumberFormat="1" applyFont="1" applyFill="1" applyBorder="1" applyAlignment="1" applyProtection="1">
      <alignment horizontal="left"/>
    </xf>
    <xf numFmtId="49" fontId="4" fillId="12" borderId="63" xfId="0" applyNumberFormat="1" applyFont="1" applyFill="1" applyBorder="1" applyAlignment="1" applyProtection="1">
      <alignment horizontal="left"/>
    </xf>
    <xf numFmtId="0" fontId="6" fillId="7" borderId="0" xfId="0" quotePrefix="1" applyFont="1" applyFill="1" applyBorder="1" applyAlignment="1" applyProtection="1">
      <alignment horizontal="right" vertical="center"/>
    </xf>
    <xf numFmtId="49" fontId="4" fillId="21" borderId="132" xfId="0" applyNumberFormat="1" applyFont="1" applyFill="1" applyBorder="1" applyAlignment="1" applyProtection="1">
      <alignment horizontal="left" vertical="center"/>
    </xf>
    <xf numFmtId="49" fontId="4" fillId="6" borderId="28" xfId="0" applyNumberFormat="1" applyFont="1" applyFill="1" applyBorder="1" applyAlignment="1" applyProtection="1">
      <alignment horizontal="left" wrapText="1"/>
    </xf>
    <xf numFmtId="0" fontId="4" fillId="6" borderId="1" xfId="0" quotePrefix="1" applyFont="1" applyFill="1" applyBorder="1" applyAlignment="1" applyProtection="1">
      <alignment vertical="top" wrapText="1"/>
    </xf>
    <xf numFmtId="0" fontId="4" fillId="0" borderId="0" xfId="0" applyFont="1" applyFill="1" applyProtection="1"/>
    <xf numFmtId="0" fontId="4" fillId="6" borderId="11" xfId="0" applyFont="1" applyFill="1" applyBorder="1" applyProtection="1"/>
    <xf numFmtId="0" fontId="4" fillId="6" borderId="142" xfId="0" applyFont="1" applyFill="1" applyBorder="1" applyProtection="1"/>
    <xf numFmtId="0" fontId="2" fillId="6" borderId="131" xfId="0" applyFont="1" applyFill="1" applyBorder="1" applyProtection="1"/>
    <xf numFmtId="0" fontId="78" fillId="6" borderId="0" xfId="0" applyFont="1" applyFill="1" applyProtection="1"/>
    <xf numFmtId="0" fontId="75" fillId="6" borderId="0" xfId="0" applyFont="1" applyFill="1" applyProtection="1"/>
    <xf numFmtId="0" fontId="60" fillId="6" borderId="0" xfId="0" applyFont="1" applyFill="1" applyBorder="1" applyProtection="1"/>
    <xf numFmtId="0" fontId="60" fillId="6" borderId="33" xfId="0" applyFont="1" applyFill="1" applyBorder="1" applyProtection="1"/>
    <xf numFmtId="0" fontId="60" fillId="6" borderId="7" xfId="0" applyFont="1" applyFill="1" applyBorder="1" applyProtection="1"/>
    <xf numFmtId="0" fontId="6" fillId="6" borderId="123" xfId="0" applyFont="1" applyFill="1" applyBorder="1" applyAlignment="1" applyProtection="1">
      <alignment wrapText="1"/>
    </xf>
    <xf numFmtId="0" fontId="60" fillId="6" borderId="8" xfId="0" applyFont="1" applyFill="1" applyBorder="1" applyProtection="1"/>
    <xf numFmtId="0" fontId="2" fillId="6" borderId="0" xfId="0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80" fillId="3" borderId="0" xfId="0" applyFont="1" applyFill="1" applyBorder="1" applyAlignment="1">
      <alignment horizontal="right" wrapText="1"/>
    </xf>
    <xf numFmtId="0" fontId="81" fillId="3" borderId="0" xfId="0" applyFont="1" applyFill="1" applyBorder="1" applyAlignment="1">
      <alignment wrapText="1"/>
    </xf>
    <xf numFmtId="0" fontId="82" fillId="3" borderId="44" xfId="0" applyFont="1" applyFill="1" applyBorder="1" applyAlignment="1"/>
    <xf numFmtId="0" fontId="82" fillId="3" borderId="0" xfId="0" applyFont="1" applyFill="1" applyBorder="1" applyAlignment="1">
      <alignment wrapText="1"/>
    </xf>
    <xf numFmtId="0" fontId="83" fillId="3" borderId="0" xfId="0" applyFont="1" applyFill="1" applyBorder="1" applyAlignment="1">
      <alignment wrapText="1"/>
    </xf>
    <xf numFmtId="0" fontId="83" fillId="3" borderId="44" xfId="0" applyFont="1" applyFill="1" applyBorder="1" applyAlignment="1"/>
    <xf numFmtId="0" fontId="10" fillId="3" borderId="0" xfId="0" applyFont="1" applyFill="1" applyBorder="1" applyAlignment="1"/>
    <xf numFmtId="0" fontId="82" fillId="3" borderId="0" xfId="0" applyFont="1" applyFill="1" applyBorder="1" applyAlignment="1"/>
    <xf numFmtId="0" fontId="22" fillId="6" borderId="0" xfId="3" applyFill="1" applyBorder="1" applyAlignment="1" applyProtection="1"/>
    <xf numFmtId="0" fontId="15" fillId="6" borderId="0" xfId="0" applyFont="1" applyFill="1" applyBorder="1" applyProtection="1"/>
    <xf numFmtId="0" fontId="16" fillId="6" borderId="0" xfId="0" applyFont="1" applyFill="1" applyBorder="1" applyProtection="1"/>
    <xf numFmtId="49" fontId="81" fillId="3" borderId="0" xfId="0" applyNumberFormat="1" applyFont="1" applyFill="1" applyBorder="1" applyAlignment="1">
      <alignment wrapText="1"/>
    </xf>
    <xf numFmtId="49" fontId="0" fillId="6" borderId="0" xfId="0" applyNumberFormat="1" applyFill="1" applyProtection="1"/>
    <xf numFmtId="0" fontId="4" fillId="6" borderId="24" xfId="0" applyFont="1" applyFill="1" applyBorder="1" applyAlignment="1" applyProtection="1">
      <alignment horizontal="left" vertical="center"/>
    </xf>
    <xf numFmtId="173" fontId="2" fillId="6" borderId="0" xfId="0" applyNumberFormat="1" applyFont="1" applyFill="1" applyProtection="1"/>
    <xf numFmtId="0" fontId="68" fillId="7" borderId="0" xfId="0" quotePrefix="1" applyFont="1" applyFill="1" applyBorder="1" applyAlignment="1" applyProtection="1">
      <alignment horizontal="left"/>
    </xf>
    <xf numFmtId="0" fontId="2" fillId="6" borderId="19" xfId="13" applyFont="1" applyFill="1" applyBorder="1" applyProtection="1"/>
    <xf numFmtId="0" fontId="2" fillId="6" borderId="69" xfId="13" applyFont="1" applyFill="1" applyBorder="1" applyProtection="1"/>
    <xf numFmtId="3" fontId="2" fillId="6" borderId="11" xfId="13" applyNumberFormat="1" applyFont="1" applyFill="1" applyBorder="1" applyProtection="1"/>
    <xf numFmtId="3" fontId="2" fillId="6" borderId="142" xfId="13" applyNumberFormat="1" applyFont="1" applyFill="1" applyBorder="1" applyProtection="1"/>
    <xf numFmtId="3" fontId="2" fillId="6" borderId="11" xfId="13" applyNumberFormat="1" applyFont="1" applyFill="1" applyBorder="1" applyProtection="1"/>
    <xf numFmtId="3" fontId="2" fillId="6" borderId="142" xfId="13" applyNumberFormat="1" applyFont="1" applyFill="1" applyBorder="1" applyProtection="1"/>
    <xf numFmtId="166" fontId="2" fillId="6" borderId="19" xfId="13" applyNumberFormat="1" applyFont="1" applyFill="1" applyBorder="1" applyAlignment="1" applyProtection="1">
      <alignment horizontal="right"/>
    </xf>
    <xf numFmtId="0" fontId="2" fillId="6" borderId="69" xfId="13" applyFont="1" applyFill="1" applyBorder="1" applyAlignment="1" applyProtection="1">
      <alignment horizontal="right"/>
    </xf>
    <xf numFmtId="166" fontId="68" fillId="7" borderId="0" xfId="0" applyNumberFormat="1" applyFont="1" applyFill="1" applyAlignment="1" applyProtection="1">
      <alignment horizontal="left"/>
    </xf>
    <xf numFmtId="0" fontId="0" fillId="22" borderId="0" xfId="0" applyFill="1"/>
    <xf numFmtId="0" fontId="28" fillId="21" borderId="50" xfId="0" applyFont="1" applyFill="1" applyBorder="1" applyAlignment="1" applyProtection="1">
      <alignment vertical="top" wrapText="1"/>
    </xf>
    <xf numFmtId="0" fontId="28" fillId="21" borderId="1" xfId="0" applyFont="1" applyFill="1" applyBorder="1" applyAlignment="1" applyProtection="1">
      <alignment vertical="top" wrapText="1"/>
    </xf>
    <xf numFmtId="0" fontId="68" fillId="7" borderId="0" xfId="0" applyFont="1" applyFill="1" applyAlignment="1" applyProtection="1">
      <alignment wrapText="1"/>
    </xf>
    <xf numFmtId="0" fontId="68" fillId="7" borderId="0" xfId="0" quotePrefix="1" applyFont="1" applyFill="1" applyBorder="1" applyAlignment="1" applyProtection="1">
      <alignment horizontal="left" wrapText="1"/>
    </xf>
    <xf numFmtId="0" fontId="68" fillId="6" borderId="44" xfId="0" applyFont="1" applyFill="1" applyBorder="1" applyProtection="1"/>
    <xf numFmtId="0" fontId="68" fillId="6" borderId="0" xfId="0" applyFont="1" applyFill="1"/>
    <xf numFmtId="0" fontId="22" fillId="6" borderId="0" xfId="3" applyFill="1" applyBorder="1" applyAlignment="1" applyProtection="1"/>
    <xf numFmtId="0" fontId="22" fillId="0" borderId="0" xfId="3" applyBorder="1" applyAlignment="1" applyProtection="1"/>
    <xf numFmtId="0" fontId="0" fillId="0" borderId="0" xfId="0" applyBorder="1" applyAlignment="1"/>
    <xf numFmtId="0" fontId="82" fillId="3" borderId="44" xfId="0" applyFont="1" applyFill="1" applyBorder="1" applyAlignment="1">
      <alignment horizontal="left" vertical="top"/>
    </xf>
    <xf numFmtId="0" fontId="84" fillId="3" borderId="0" xfId="0" applyFont="1" applyFill="1" applyBorder="1" applyAlignment="1">
      <alignment horizontal="left" vertical="top"/>
    </xf>
    <xf numFmtId="0" fontId="2" fillId="0" borderId="0" xfId="0" applyFont="1" applyBorder="1" applyAlignment="1"/>
    <xf numFmtId="0" fontId="82" fillId="3" borderId="44" xfId="0" applyFont="1" applyFill="1" applyBorder="1" applyAlignment="1">
      <alignment horizontal="left" wrapText="1"/>
    </xf>
    <xf numFmtId="0" fontId="85" fillId="3" borderId="0" xfId="0" applyFont="1" applyFill="1" applyBorder="1" applyAlignment="1">
      <alignment horizontal="left" wrapText="1"/>
    </xf>
    <xf numFmtId="0" fontId="4" fillId="7" borderId="6" xfId="0" applyFont="1" applyFill="1" applyBorder="1" applyAlignment="1" applyProtection="1">
      <alignment horizontal="left" vertical="top" wrapText="1"/>
      <protection locked="0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4" fillId="7" borderId="6" xfId="0" applyNumberFormat="1" applyFont="1" applyFill="1" applyBorder="1" applyAlignment="1" applyProtection="1">
      <alignment horizontal="left" vertical="top" wrapText="1"/>
      <protection locked="0"/>
    </xf>
    <xf numFmtId="0" fontId="4" fillId="7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6" borderId="151" xfId="0" applyFont="1" applyFill="1" applyBorder="1" applyAlignment="1" applyProtection="1">
      <alignment horizontal="center"/>
    </xf>
    <xf numFmtId="0" fontId="2" fillId="6" borderId="31" xfId="0" applyFont="1" applyFill="1" applyBorder="1" applyAlignment="1" applyProtection="1">
      <alignment horizontal="center"/>
    </xf>
    <xf numFmtId="0" fontId="6" fillId="6" borderId="37" xfId="0" applyFont="1" applyFill="1" applyBorder="1" applyAlignment="1" applyProtection="1">
      <alignment horizontal="left" vertical="top" wrapText="1"/>
    </xf>
    <xf numFmtId="0" fontId="6" fillId="6" borderId="39" xfId="0" applyFont="1" applyFill="1" applyBorder="1" applyAlignment="1" applyProtection="1">
      <alignment horizontal="left" vertical="top" wrapText="1"/>
    </xf>
    <xf numFmtId="0" fontId="6" fillId="6" borderId="40" xfId="0" applyFont="1" applyFill="1" applyBorder="1" applyAlignment="1" applyProtection="1">
      <alignment horizontal="left" vertical="top" wrapText="1"/>
    </xf>
    <xf numFmtId="0" fontId="6" fillId="6" borderId="53" xfId="0" applyFont="1" applyFill="1" applyBorder="1" applyAlignment="1" applyProtection="1"/>
    <xf numFmtId="0" fontId="6" fillId="6" borderId="56" xfId="0" applyFont="1" applyFill="1" applyBorder="1" applyAlignment="1"/>
    <xf numFmtId="0" fontId="6" fillId="6" borderId="146" xfId="0" applyFont="1" applyFill="1" applyBorder="1" applyAlignment="1"/>
    <xf numFmtId="0" fontId="0" fillId="0" borderId="1" xfId="0" applyNumberFormat="1" applyBorder="1" applyAlignment="1" applyProtection="1">
      <alignment horizontal="left" vertical="top" wrapText="1"/>
      <protection locked="0"/>
    </xf>
    <xf numFmtId="0" fontId="4" fillId="7" borderId="3" xfId="0" applyFont="1" applyFill="1" applyBorder="1" applyAlignment="1" applyProtection="1">
      <alignment horizontal="left" vertical="top" wrapText="1"/>
      <protection locked="0"/>
    </xf>
    <xf numFmtId="3" fontId="64" fillId="6" borderId="6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wrapText="1"/>
    </xf>
    <xf numFmtId="171" fontId="4" fillId="6" borderId="8" xfId="0" applyNumberFormat="1" applyFont="1" applyFill="1" applyBorder="1" applyAlignment="1" applyProtection="1">
      <alignment vertical="top" wrapText="1"/>
    </xf>
    <xf numFmtId="171" fontId="4" fillId="6" borderId="27" xfId="0" applyNumberFormat="1" applyFont="1" applyFill="1" applyBorder="1" applyAlignment="1">
      <alignment vertical="top" wrapText="1"/>
    </xf>
    <xf numFmtId="171" fontId="4" fillId="6" borderId="10" xfId="0" applyNumberFormat="1" applyFont="1" applyFill="1" applyBorder="1" applyAlignment="1">
      <alignment vertical="top" wrapText="1"/>
    </xf>
    <xf numFmtId="0" fontId="6" fillId="6" borderId="55" xfId="0" applyFont="1" applyFill="1" applyBorder="1" applyAlignment="1" applyProtection="1"/>
    <xf numFmtId="0" fontId="4" fillId="7" borderId="6" xfId="0" applyFont="1" applyFill="1" applyBorder="1" applyAlignment="1" applyProtection="1">
      <alignment horizontal="left" vertical="top"/>
      <protection locked="0"/>
    </xf>
    <xf numFmtId="0" fontId="4" fillId="7" borderId="3" xfId="0" applyFont="1" applyFill="1" applyBorder="1" applyAlignment="1" applyProtection="1">
      <alignment horizontal="left" vertical="top"/>
      <protection locked="0"/>
    </xf>
    <xf numFmtId="0" fontId="4" fillId="7" borderId="1" xfId="0" applyFont="1" applyFill="1" applyBorder="1" applyAlignment="1" applyProtection="1">
      <alignment horizontal="left" vertical="top"/>
      <protection locked="0"/>
    </xf>
    <xf numFmtId="0" fontId="4" fillId="0" borderId="81" xfId="0" applyFont="1" applyFill="1" applyBorder="1" applyAlignment="1" applyProtection="1">
      <alignment vertical="top" wrapText="1"/>
      <protection locked="0"/>
    </xf>
    <xf numFmtId="0" fontId="4" fillId="0" borderId="82" xfId="0" applyFont="1" applyFill="1" applyBorder="1" applyAlignment="1" applyProtection="1">
      <alignment vertical="top" wrapText="1"/>
      <protection locked="0"/>
    </xf>
    <xf numFmtId="0" fontId="4" fillId="0" borderId="49" xfId="0" applyFont="1" applyFill="1" applyBorder="1" applyAlignment="1" applyProtection="1">
      <alignment vertical="top" wrapText="1"/>
      <protection locked="0"/>
    </xf>
    <xf numFmtId="0" fontId="4" fillId="0" borderId="44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14" xfId="0" applyFont="1" applyFill="1" applyBorder="1" applyAlignment="1" applyProtection="1">
      <alignment vertical="top" wrapText="1"/>
      <protection locked="0"/>
    </xf>
    <xf numFmtId="0" fontId="4" fillId="0" borderId="50" xfId="0" applyFont="1" applyFill="1" applyBorder="1" applyAlignment="1" applyProtection="1">
      <alignment vertical="top" wrapText="1"/>
      <protection locked="0"/>
    </xf>
    <xf numFmtId="0" fontId="4" fillId="0" borderId="46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28" fillId="6" borderId="55" xfId="0" applyFont="1" applyFill="1" applyBorder="1" applyAlignment="1" applyProtection="1">
      <alignment vertical="top" wrapText="1"/>
    </xf>
    <xf numFmtId="0" fontId="0" fillId="6" borderId="146" xfId="0" applyFill="1" applyBorder="1" applyAlignment="1">
      <alignment vertical="top" wrapText="1"/>
    </xf>
    <xf numFmtId="0" fontId="68" fillId="7" borderId="19" xfId="0" applyFont="1" applyFill="1" applyBorder="1" applyAlignment="1" applyProtection="1">
      <alignment horizontal="left" wrapText="1"/>
    </xf>
    <xf numFmtId="171" fontId="23" fillId="7" borderId="19" xfId="0" applyNumberFormat="1" applyFont="1" applyFill="1" applyBorder="1" applyAlignment="1" applyProtection="1">
      <alignment horizontal="left" wrapText="1"/>
    </xf>
    <xf numFmtId="0" fontId="8" fillId="0" borderId="82" xfId="0" applyFont="1" applyFill="1" applyBorder="1" applyAlignment="1" applyProtection="1">
      <alignment vertical="top" wrapText="1"/>
      <protection locked="0"/>
    </xf>
    <xf numFmtId="0" fontId="8" fillId="0" borderId="49" xfId="0" applyFont="1" applyFill="1" applyBorder="1" applyAlignment="1" applyProtection="1">
      <alignment vertical="top" wrapText="1"/>
      <protection locked="0"/>
    </xf>
    <xf numFmtId="0" fontId="8" fillId="0" borderId="44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14" xfId="0" applyFont="1" applyFill="1" applyBorder="1" applyAlignment="1" applyProtection="1">
      <alignment vertical="top" wrapText="1"/>
      <protection locked="0"/>
    </xf>
    <xf numFmtId="0" fontId="8" fillId="0" borderId="50" xfId="0" applyFont="1" applyFill="1" applyBorder="1" applyAlignment="1" applyProtection="1">
      <alignment vertical="top" wrapText="1"/>
      <protection locked="0"/>
    </xf>
    <xf numFmtId="0" fontId="8" fillId="0" borderId="46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</cellXfs>
  <cellStyles count="16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2 2" xfId="14" xr:uid="{283B1760-B822-4949-BA0E-E4D2050A7575}"/>
    <cellStyle name="Normal 3" xfId="13" xr:uid="{63FAE6B5-1243-480E-89FC-AD2B680923DA}"/>
    <cellStyle name="Normal 6" xfId="7" xr:uid="{00000000-0005-0000-0000-000007000000}"/>
    <cellStyle name="Normal 6 2" xfId="15" xr:uid="{511E6611-1E8C-41FC-A2D9-F7E20B30D3D2}"/>
    <cellStyle name="Normal_Blankett 1" xfId="8" xr:uid="{00000000-0005-0000-0000-000008000000}"/>
    <cellStyle name="Procent" xfId="9" builtinId="5"/>
    <cellStyle name="Procent 2" xfId="10" xr:uid="{00000000-0005-0000-0000-00000A000000}"/>
    <cellStyle name="Tusental (0)_1999 (2)" xfId="11" xr:uid="{00000000-0005-0000-0000-00000B000000}"/>
    <cellStyle name="Valuta (0)_1999 (2)" xfId="12" xr:uid="{00000000-0005-0000-0000-00000C000000}"/>
  </cellStyles>
  <dxfs count="143">
    <dxf>
      <fill>
        <patternFill>
          <bgColor rgb="FFFF808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lor auto="1"/>
        <name val="Cambria"/>
        <scheme val="none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ndense val="0"/>
        <extend val="0"/>
        <color indexed="10"/>
      </font>
    </dxf>
    <dxf>
      <font>
        <b val="0"/>
        <i val="0"/>
        <color auto="1"/>
        <name val="Cambria"/>
        <scheme val="none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lor indexed="10"/>
      </font>
    </dxf>
    <dxf>
      <font>
        <condense val="0"/>
        <extend val="0"/>
        <color indexed="10"/>
      </font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lor auto="1"/>
        <name val="Cambria"/>
        <scheme val="none"/>
      </font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/>
        <i val="0"/>
        <color auto="1"/>
        <name val="Cambria"/>
        <scheme val="none"/>
      </font>
    </dxf>
    <dxf>
      <font>
        <color rgb="FFFFFFCC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fgColor theme="0"/>
          <bgColor rgb="FFFFFFCC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  <name val="Cambria"/>
        <scheme val="none"/>
      </font>
    </dxf>
    <dxf>
      <font>
        <b val="0"/>
        <i val="0"/>
        <color rgb="FFFFFFCC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lor rgb="FFFFFFCC"/>
        <name val="Cambria"/>
        <scheme val="none"/>
      </font>
      <fill>
        <patternFill patternType="solid"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 val="0"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</dxfs>
  <tableStyles count="0" defaultTableStyle="TableStyleMedium9" defaultPivotStyle="PivotStyleLight16"/>
  <colors>
    <mruColors>
      <color rgb="FFFF0000"/>
      <color rgb="FFFFFFCC"/>
      <color rgb="FFFF5050"/>
      <color rgb="FFFF7C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rsregione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81"/>
  <sheetViews>
    <sheetView tabSelected="1" zoomScaleNormal="100" workbookViewId="0"/>
  </sheetViews>
  <sheetFormatPr defaultColWidth="0" defaultRowHeight="12.5" zeroHeight="1" x14ac:dyDescent="0.25"/>
  <cols>
    <col min="1" max="1" width="12.54296875" style="152" customWidth="1"/>
    <col min="2" max="2" width="3.54296875" style="152" customWidth="1"/>
    <col min="3" max="3" width="29.453125" style="152" customWidth="1"/>
    <col min="4" max="4" width="10.54296875" style="152" customWidth="1"/>
    <col min="5" max="5" width="11.453125" style="152" customWidth="1"/>
    <col min="6" max="7" width="9.453125" style="152" customWidth="1"/>
    <col min="8" max="8" width="1.54296875" style="152" customWidth="1"/>
    <col min="9" max="9" width="3" style="152" customWidth="1"/>
    <col min="10" max="16384" width="0" style="152" hidden="1"/>
  </cols>
  <sheetData>
    <row r="1" spans="1:9" ht="21" customHeight="1" x14ac:dyDescent="0.35">
      <c r="A1" s="387" t="str">
        <f>"Räkenskapssammandrag för regioner "&amp;År&amp;""</f>
        <v>Räkenskapssammandrag för regioner 2024</v>
      </c>
      <c r="B1" s="372"/>
      <c r="C1" s="372"/>
      <c r="D1" s="372"/>
      <c r="E1" s="372"/>
      <c r="F1" s="387"/>
      <c r="G1" s="372"/>
      <c r="H1" s="372"/>
      <c r="I1" s="372"/>
    </row>
    <row r="2" spans="1:9" x14ac:dyDescent="0.25">
      <c r="A2" s="372"/>
      <c r="B2" s="372"/>
      <c r="C2" s="372"/>
      <c r="D2" s="372"/>
      <c r="E2" s="372"/>
      <c r="F2" s="372"/>
      <c r="G2" s="372"/>
      <c r="H2" s="372"/>
      <c r="I2" s="375"/>
    </row>
    <row r="3" spans="1:9" ht="13" x14ac:dyDescent="0.3">
      <c r="A3" s="388" t="s">
        <v>561</v>
      </c>
      <c r="B3" s="936"/>
      <c r="C3" s="936"/>
      <c r="D3" s="936"/>
      <c r="E3" s="936"/>
      <c r="F3" s="936"/>
      <c r="G3" s="372"/>
      <c r="H3" s="372"/>
      <c r="I3" s="372"/>
    </row>
    <row r="4" spans="1:9" x14ac:dyDescent="0.25">
      <c r="A4" s="953" t="s">
        <v>548</v>
      </c>
      <c r="B4" s="936"/>
      <c r="C4" s="936"/>
      <c r="D4" s="936"/>
      <c r="E4" s="670"/>
      <c r="F4" s="936"/>
      <c r="G4" s="957"/>
      <c r="H4" s="372"/>
      <c r="I4" s="372"/>
    </row>
    <row r="5" spans="1:9" ht="13" x14ac:dyDescent="0.3">
      <c r="A5" s="937"/>
      <c r="B5" s="937"/>
      <c r="C5" s="937"/>
      <c r="D5" s="372"/>
      <c r="E5" s="372"/>
      <c r="F5" s="372"/>
      <c r="G5" s="372"/>
      <c r="H5" s="372"/>
      <c r="I5" s="372"/>
    </row>
    <row r="6" spans="1:9" ht="17.149999999999999" customHeight="1" x14ac:dyDescent="0.3">
      <c r="A6" s="950" t="s">
        <v>556</v>
      </c>
      <c r="B6" s="951"/>
      <c r="C6" s="945"/>
      <c r="D6" s="946"/>
      <c r="E6" s="372"/>
      <c r="F6" s="372"/>
      <c r="G6" s="372"/>
      <c r="H6" s="372"/>
      <c r="I6" s="372"/>
    </row>
    <row r="7" spans="1:9" s="383" customFormat="1" x14ac:dyDescent="0.25">
      <c r="A7" s="980" t="s">
        <v>557</v>
      </c>
      <c r="B7" s="981"/>
      <c r="C7" s="982"/>
      <c r="D7" s="956"/>
      <c r="E7" s="389"/>
      <c r="F7" s="389"/>
      <c r="G7" s="389"/>
      <c r="H7" s="389"/>
      <c r="I7" s="389"/>
    </row>
    <row r="8" spans="1:9" ht="15" customHeight="1" x14ac:dyDescent="0.3">
      <c r="A8" s="947" t="s">
        <v>558</v>
      </c>
      <c r="B8" s="948"/>
      <c r="C8" s="948"/>
      <c r="D8" s="949"/>
      <c r="E8" s="372"/>
      <c r="F8" s="372"/>
      <c r="G8" s="372"/>
      <c r="H8" s="372"/>
      <c r="I8" s="372"/>
    </row>
    <row r="9" spans="1:9" ht="14.25" customHeight="1" x14ac:dyDescent="0.25">
      <c r="A9" s="983" t="s">
        <v>559</v>
      </c>
      <c r="B9" s="984"/>
      <c r="C9" s="984"/>
      <c r="D9" s="984"/>
      <c r="E9" s="372"/>
      <c r="F9" s="372"/>
      <c r="G9" s="372"/>
      <c r="H9" s="372"/>
      <c r="I9" s="372"/>
    </row>
    <row r="10" spans="1:9" ht="16.5" customHeight="1" x14ac:dyDescent="0.25">
      <c r="A10" s="952" t="s">
        <v>563</v>
      </c>
      <c r="B10" s="946"/>
      <c r="C10" s="946"/>
      <c r="D10" s="946"/>
      <c r="E10" s="372"/>
      <c r="F10" s="372"/>
      <c r="G10" s="372"/>
      <c r="H10" s="372"/>
      <c r="I10" s="372"/>
    </row>
    <row r="11" spans="1:9" ht="15" customHeight="1" x14ac:dyDescent="0.3">
      <c r="A11" s="952" t="s">
        <v>560</v>
      </c>
      <c r="B11" s="374"/>
      <c r="C11" s="943"/>
      <c r="D11" s="374"/>
      <c r="E11" s="372"/>
      <c r="F11" s="372"/>
      <c r="G11" s="372"/>
      <c r="H11" s="372"/>
      <c r="I11" s="372"/>
    </row>
    <row r="12" spans="1:9" ht="4.5" customHeight="1" x14ac:dyDescent="0.35">
      <c r="A12" s="373"/>
      <c r="B12" s="374"/>
      <c r="C12" s="385"/>
      <c r="D12" s="374"/>
      <c r="E12" s="372"/>
      <c r="F12" s="387"/>
      <c r="G12" s="390"/>
      <c r="H12" s="372"/>
      <c r="I12" s="372"/>
    </row>
    <row r="13" spans="1:9" ht="15" customHeight="1" x14ac:dyDescent="0.35">
      <c r="A13" s="384"/>
      <c r="B13" s="375"/>
      <c r="C13" s="944"/>
      <c r="D13" s="375"/>
      <c r="E13" s="372"/>
      <c r="F13" s="387"/>
      <c r="G13" s="390"/>
      <c r="H13" s="372"/>
      <c r="I13" s="372"/>
    </row>
    <row r="14" spans="1:9" ht="15.5" x14ac:dyDescent="0.35">
      <c r="A14" s="670" t="s">
        <v>562</v>
      </c>
      <c r="B14" s="375"/>
      <c r="C14" s="375"/>
      <c r="D14" s="375"/>
      <c r="E14" s="372"/>
      <c r="F14" s="390"/>
      <c r="G14" s="390"/>
      <c r="H14" s="372"/>
      <c r="I14" s="372"/>
    </row>
    <row r="15" spans="1:9" ht="15" customHeight="1" x14ac:dyDescent="0.25">
      <c r="A15" s="384"/>
      <c r="B15" s="372"/>
      <c r="C15" s="944"/>
      <c r="D15" s="372"/>
      <c r="E15" s="372"/>
      <c r="F15" s="372"/>
      <c r="G15" s="372"/>
      <c r="H15" s="372"/>
      <c r="I15" s="372"/>
    </row>
    <row r="16" spans="1:9" ht="4.5" customHeight="1" x14ac:dyDescent="0.25">
      <c r="A16" s="384"/>
      <c r="B16" s="372"/>
      <c r="C16" s="375"/>
      <c r="D16" s="372"/>
      <c r="E16" s="372"/>
      <c r="F16" s="372"/>
      <c r="G16" s="372"/>
      <c r="H16" s="372"/>
      <c r="I16" s="372"/>
    </row>
    <row r="17" spans="1:10" ht="15" customHeight="1" x14ac:dyDescent="0.25">
      <c r="A17" s="373"/>
      <c r="B17" s="372"/>
      <c r="C17" s="944"/>
      <c r="D17" s="372"/>
      <c r="E17" s="372"/>
      <c r="F17" s="372"/>
      <c r="G17" s="372"/>
      <c r="H17" s="372"/>
      <c r="I17" s="372"/>
    </row>
    <row r="18" spans="1:10" x14ac:dyDescent="0.25">
      <c r="A18" s="372"/>
      <c r="B18" s="372"/>
      <c r="C18" s="372"/>
      <c r="D18" s="372"/>
      <c r="E18" s="372"/>
      <c r="F18" s="372"/>
      <c r="G18" s="372"/>
      <c r="H18" s="372"/>
      <c r="I18" s="372"/>
    </row>
    <row r="19" spans="1:10" x14ac:dyDescent="0.25">
      <c r="A19" s="372"/>
      <c r="B19" s="372"/>
      <c r="C19" s="372"/>
      <c r="D19" s="372"/>
      <c r="E19" s="372"/>
      <c r="F19" s="372"/>
      <c r="G19" s="372"/>
      <c r="H19" s="372"/>
      <c r="I19" s="372"/>
    </row>
    <row r="20" spans="1:10" x14ac:dyDescent="0.25">
      <c r="A20" s="372"/>
      <c r="B20" s="372"/>
      <c r="C20" s="372"/>
      <c r="D20" s="372"/>
      <c r="E20" s="372"/>
      <c r="F20" s="375"/>
      <c r="G20" s="375"/>
      <c r="H20" s="375"/>
      <c r="I20" s="375"/>
      <c r="J20" s="189"/>
    </row>
    <row r="21" spans="1:10" ht="17" x14ac:dyDescent="0.35">
      <c r="A21" s="954"/>
      <c r="B21" s="375"/>
      <c r="C21" s="375"/>
      <c r="D21" s="954"/>
      <c r="E21" s="955"/>
      <c r="F21" s="955"/>
      <c r="G21" s="955"/>
      <c r="H21" s="375"/>
      <c r="I21" s="375"/>
      <c r="J21" s="189"/>
    </row>
    <row r="22" spans="1:10" ht="18" customHeight="1" x14ac:dyDescent="0.3">
      <c r="A22" s="375"/>
      <c r="B22" s="977"/>
      <c r="C22" s="978"/>
      <c r="D22" s="384"/>
      <c r="E22" s="385"/>
      <c r="F22" s="385"/>
      <c r="G22" s="385"/>
      <c r="H22" s="375"/>
      <c r="I22" s="375"/>
      <c r="J22" s="189"/>
    </row>
    <row r="23" spans="1:10" ht="13" x14ac:dyDescent="0.3">
      <c r="A23" s="673"/>
      <c r="B23" s="673"/>
      <c r="C23" s="673"/>
      <c r="D23" s="386"/>
      <c r="E23" s="385"/>
      <c r="F23" s="385"/>
      <c r="G23" s="385"/>
      <c r="H23" s="375"/>
      <c r="I23" s="375"/>
      <c r="J23" s="189"/>
    </row>
    <row r="24" spans="1:10" ht="22.5" customHeight="1" x14ac:dyDescent="0.3">
      <c r="A24" s="375"/>
      <c r="B24" s="375"/>
      <c r="C24" s="375"/>
      <c r="D24" s="977"/>
      <c r="E24" s="979"/>
      <c r="F24" s="375"/>
      <c r="G24" s="385"/>
      <c r="H24" s="375"/>
      <c r="I24" s="375"/>
      <c r="J24" s="189"/>
    </row>
    <row r="25" spans="1:10" ht="13.5" customHeight="1" x14ac:dyDescent="0.3">
      <c r="A25" s="372"/>
      <c r="B25" s="372"/>
      <c r="C25" s="372"/>
      <c r="D25" s="373"/>
      <c r="E25" s="374"/>
      <c r="F25" s="374"/>
      <c r="G25" s="374"/>
      <c r="H25" s="372"/>
      <c r="I25" s="375"/>
      <c r="J25" s="189"/>
    </row>
    <row r="26" spans="1:10" x14ac:dyDescent="0.25">
      <c r="A26" s="372"/>
      <c r="B26" s="372"/>
      <c r="C26" s="372"/>
      <c r="D26" s="372"/>
      <c r="E26" s="372"/>
      <c r="F26" s="375"/>
      <c r="G26" s="375"/>
      <c r="H26" s="375"/>
      <c r="I26" s="375"/>
      <c r="J26" s="189"/>
    </row>
    <row r="27" spans="1:10" x14ac:dyDescent="0.25">
      <c r="A27" s="372"/>
      <c r="B27" s="372"/>
      <c r="C27" s="372"/>
      <c r="D27" s="372"/>
      <c r="E27" s="372"/>
      <c r="F27" s="375"/>
      <c r="G27" s="375"/>
      <c r="H27" s="375"/>
      <c r="I27" s="375"/>
      <c r="J27" s="189"/>
    </row>
    <row r="28" spans="1:10" x14ac:dyDescent="0.25">
      <c r="A28" s="372"/>
      <c r="B28" s="372"/>
      <c r="C28" s="372"/>
      <c r="D28" s="372"/>
      <c r="E28" s="372"/>
      <c r="F28" s="375"/>
      <c r="G28" s="375"/>
      <c r="H28" s="375"/>
      <c r="I28" s="375"/>
      <c r="J28" s="189"/>
    </row>
    <row r="29" spans="1:10" x14ac:dyDescent="0.25">
      <c r="A29" s="372"/>
      <c r="B29" s="372"/>
      <c r="C29" s="372"/>
      <c r="D29" s="372"/>
      <c r="E29" s="372"/>
      <c r="F29" s="372"/>
      <c r="G29" s="372"/>
      <c r="H29" s="372"/>
      <c r="I29" s="375"/>
      <c r="J29" s="189"/>
    </row>
    <row r="30" spans="1:10" x14ac:dyDescent="0.25">
      <c r="A30" s="372"/>
      <c r="B30" s="372"/>
      <c r="C30" s="372"/>
      <c r="D30" s="372"/>
      <c r="E30" s="372"/>
      <c r="F30" s="372"/>
      <c r="G30" s="372"/>
      <c r="H30" s="372"/>
      <c r="I30" s="375"/>
      <c r="J30" s="189"/>
    </row>
    <row r="31" spans="1:10" x14ac:dyDescent="0.25">
      <c r="A31" s="959" t="s">
        <v>590</v>
      </c>
      <c r="B31" s="372"/>
      <c r="C31" s="372"/>
      <c r="D31" s="372"/>
      <c r="E31" s="372"/>
      <c r="F31" s="372"/>
      <c r="G31" s="372"/>
      <c r="H31" s="372"/>
      <c r="I31" s="375"/>
      <c r="J31" s="189"/>
    </row>
    <row r="32" spans="1:10" x14ac:dyDescent="0.25">
      <c r="A32" s="372"/>
      <c r="B32" s="372"/>
      <c r="C32" s="372"/>
      <c r="D32" s="372"/>
      <c r="E32" s="372"/>
      <c r="F32" s="372"/>
      <c r="G32" s="372"/>
      <c r="H32" s="372"/>
      <c r="I32" s="375"/>
      <c r="J32" s="189"/>
    </row>
    <row r="33" spans="1:9" x14ac:dyDescent="0.25">
      <c r="A33" s="372"/>
      <c r="B33" s="372"/>
      <c r="C33" s="372"/>
      <c r="D33" s="372"/>
      <c r="E33" s="372"/>
      <c r="F33" s="372"/>
      <c r="G33" s="372"/>
      <c r="H33" s="372"/>
      <c r="I33" s="372"/>
    </row>
    <row r="34" spans="1:9" x14ac:dyDescent="0.25">
      <c r="A34" s="372"/>
      <c r="B34" s="372"/>
      <c r="C34" s="372"/>
      <c r="D34" s="372"/>
      <c r="E34" s="372"/>
      <c r="F34" s="372"/>
      <c r="G34" s="372"/>
      <c r="H34" s="372"/>
      <c r="I34" s="375"/>
    </row>
    <row r="35" spans="1:9" x14ac:dyDescent="0.25">
      <c r="A35" s="372"/>
      <c r="B35" s="372"/>
      <c r="C35" s="372"/>
      <c r="D35" s="372"/>
      <c r="E35" s="372"/>
      <c r="F35" s="372"/>
      <c r="G35" s="372"/>
      <c r="H35" s="372"/>
      <c r="I35" s="375"/>
    </row>
    <row r="39" spans="1:9" ht="15.5" hidden="1" x14ac:dyDescent="0.35">
      <c r="A39" s="376"/>
      <c r="B39" s="377"/>
      <c r="C39" s="377"/>
      <c r="D39" s="377"/>
      <c r="E39" s="377"/>
      <c r="F39" s="378"/>
      <c r="G39" s="378"/>
      <c r="H39" s="378"/>
    </row>
    <row r="43" spans="1:9" ht="15.5" hidden="1" x14ac:dyDescent="0.35">
      <c r="I43" s="378"/>
    </row>
    <row r="49" spans="1:9" ht="15.5" hidden="1" x14ac:dyDescent="0.35">
      <c r="A49" s="376"/>
      <c r="B49" s="379"/>
      <c r="C49" s="379"/>
      <c r="D49" s="379"/>
      <c r="E49" s="379"/>
      <c r="F49" s="379"/>
      <c r="G49" s="379"/>
      <c r="H49" s="379"/>
    </row>
    <row r="50" spans="1:9" ht="15.5" hidden="1" x14ac:dyDescent="0.35">
      <c r="A50" s="380"/>
      <c r="B50" s="379"/>
      <c r="C50" s="379"/>
      <c r="D50" s="379"/>
      <c r="E50" s="379"/>
      <c r="F50" s="379"/>
      <c r="G50" s="379"/>
      <c r="H50" s="379"/>
    </row>
    <row r="51" spans="1:9" ht="15.5" hidden="1" x14ac:dyDescent="0.35">
      <c r="A51" s="380"/>
      <c r="B51" s="379"/>
      <c r="C51" s="379"/>
      <c r="D51" s="379"/>
      <c r="E51" s="379"/>
      <c r="F51" s="379"/>
      <c r="G51" s="379"/>
      <c r="H51" s="379"/>
    </row>
    <row r="52" spans="1:9" ht="15.5" hidden="1" x14ac:dyDescent="0.35">
      <c r="A52" s="381"/>
      <c r="B52" s="379"/>
      <c r="C52" s="379"/>
      <c r="D52" s="379"/>
      <c r="E52" s="379"/>
      <c r="F52" s="379"/>
      <c r="G52" s="379"/>
      <c r="H52" s="379"/>
    </row>
    <row r="53" spans="1:9" ht="15.5" hidden="1" x14ac:dyDescent="0.35">
      <c r="A53" s="381"/>
      <c r="B53" s="379"/>
      <c r="C53" s="379"/>
      <c r="D53" s="379"/>
      <c r="E53" s="379"/>
      <c r="F53" s="379"/>
      <c r="G53" s="379"/>
      <c r="H53" s="379"/>
      <c r="I53" s="379"/>
    </row>
    <row r="54" spans="1:9" ht="15.5" hidden="1" x14ac:dyDescent="0.35">
      <c r="B54" s="381"/>
      <c r="C54" s="381"/>
      <c r="D54" s="381"/>
      <c r="E54" s="381"/>
      <c r="F54" s="381"/>
      <c r="G54" s="381"/>
      <c r="H54" s="381"/>
      <c r="I54" s="379"/>
    </row>
    <row r="55" spans="1:9" ht="15.5" hidden="1" x14ac:dyDescent="0.35">
      <c r="I55" s="379"/>
    </row>
    <row r="56" spans="1:9" ht="15.5" hidden="1" x14ac:dyDescent="0.35">
      <c r="I56" s="379"/>
    </row>
    <row r="57" spans="1:9" ht="15.5" hidden="1" x14ac:dyDescent="0.35">
      <c r="I57" s="379"/>
    </row>
    <row r="58" spans="1:9" hidden="1" x14ac:dyDescent="0.25">
      <c r="I58" s="381"/>
    </row>
    <row r="59" spans="1:9" ht="15.5" hidden="1" x14ac:dyDescent="0.35">
      <c r="A59" s="376"/>
      <c r="B59" s="376"/>
      <c r="C59" s="376"/>
      <c r="D59" s="376"/>
      <c r="E59" s="376"/>
      <c r="F59" s="379"/>
      <c r="G59" s="379"/>
      <c r="H59" s="379"/>
    </row>
    <row r="60" spans="1:9" hidden="1" x14ac:dyDescent="0.25">
      <c r="A60" s="380"/>
      <c r="B60" s="380"/>
      <c r="C60" s="380"/>
      <c r="D60" s="380"/>
      <c r="E60" s="380"/>
      <c r="F60" s="380"/>
      <c r="G60" s="380"/>
      <c r="H60" s="380"/>
    </row>
    <row r="61" spans="1:9" hidden="1" x14ac:dyDescent="0.25">
      <c r="A61" s="380"/>
      <c r="B61" s="380"/>
      <c r="C61" s="380"/>
      <c r="D61" s="380"/>
      <c r="E61" s="380"/>
      <c r="F61" s="380"/>
      <c r="G61" s="380"/>
      <c r="H61" s="380"/>
    </row>
    <row r="62" spans="1:9" ht="15.5" hidden="1" x14ac:dyDescent="0.35">
      <c r="A62" s="380"/>
      <c r="B62" s="376"/>
      <c r="C62" s="376"/>
      <c r="D62" s="376"/>
      <c r="E62" s="376"/>
      <c r="F62" s="379"/>
      <c r="G62" s="379"/>
      <c r="H62" s="379"/>
    </row>
    <row r="63" spans="1:9" ht="15.5" hidden="1" x14ac:dyDescent="0.35">
      <c r="A63" s="380"/>
      <c r="B63" s="376"/>
      <c r="C63" s="376"/>
      <c r="D63" s="376"/>
      <c r="E63" s="376"/>
      <c r="F63" s="379"/>
      <c r="G63" s="379"/>
      <c r="H63" s="379"/>
      <c r="I63" s="379"/>
    </row>
    <row r="64" spans="1:9" ht="15.5" hidden="1" x14ac:dyDescent="0.35">
      <c r="A64" s="380"/>
      <c r="B64" s="376"/>
      <c r="C64" s="376"/>
      <c r="D64" s="376"/>
      <c r="E64" s="376"/>
      <c r="F64" s="379"/>
      <c r="G64" s="379"/>
      <c r="H64" s="379"/>
      <c r="I64" s="380"/>
    </row>
    <row r="65" spans="1:9" ht="15.5" hidden="1" x14ac:dyDescent="0.35">
      <c r="B65" s="376"/>
      <c r="C65" s="376"/>
      <c r="D65" s="376"/>
      <c r="E65" s="376"/>
      <c r="F65" s="379"/>
      <c r="G65" s="379"/>
      <c r="H65" s="379"/>
      <c r="I65" s="380"/>
    </row>
    <row r="66" spans="1:9" ht="15.5" hidden="1" x14ac:dyDescent="0.35">
      <c r="A66" s="380"/>
      <c r="B66" s="376"/>
      <c r="C66" s="376"/>
      <c r="D66" s="376"/>
      <c r="E66" s="376"/>
      <c r="F66" s="379"/>
      <c r="G66" s="379"/>
      <c r="H66" s="379"/>
      <c r="I66" s="379"/>
    </row>
    <row r="67" spans="1:9" ht="15.5" hidden="1" x14ac:dyDescent="0.35">
      <c r="B67" s="376"/>
      <c r="C67" s="376"/>
      <c r="D67" s="376"/>
      <c r="E67" s="376"/>
      <c r="F67" s="379"/>
      <c r="G67" s="379"/>
      <c r="H67" s="379"/>
      <c r="I67" s="379"/>
    </row>
    <row r="68" spans="1:9" ht="15.5" hidden="1" x14ac:dyDescent="0.35">
      <c r="A68" s="380"/>
      <c r="I68" s="379"/>
    </row>
    <row r="69" spans="1:9" ht="15.5" hidden="1" x14ac:dyDescent="0.35">
      <c r="I69" s="379"/>
    </row>
    <row r="70" spans="1:9" ht="15.5" hidden="1" x14ac:dyDescent="0.35">
      <c r="A70" s="376"/>
      <c r="B70" s="376"/>
      <c r="C70" s="376"/>
      <c r="D70" s="379"/>
      <c r="E70" s="379"/>
      <c r="F70" s="379"/>
      <c r="G70" s="379"/>
      <c r="H70" s="379"/>
      <c r="I70" s="379"/>
    </row>
    <row r="71" spans="1:9" ht="15.5" hidden="1" x14ac:dyDescent="0.35">
      <c r="I71" s="379"/>
    </row>
    <row r="73" spans="1:9" ht="13" hidden="1" x14ac:dyDescent="0.3">
      <c r="A73" s="382"/>
    </row>
    <row r="74" spans="1:9" ht="15.5" hidden="1" x14ac:dyDescent="0.35">
      <c r="A74" s="382"/>
      <c r="I74" s="379"/>
    </row>
    <row r="75" spans="1:9" x14ac:dyDescent="0.25"/>
    <row r="81" s="152" customFormat="1" hidden="1" x14ac:dyDescent="0.25"/>
  </sheetData>
  <mergeCells count="4">
    <mergeCell ref="B22:C22"/>
    <mergeCell ref="D24:E24"/>
    <mergeCell ref="A7:C7"/>
    <mergeCell ref="A9:D9"/>
  </mergeCells>
  <phoneticPr fontId="0" type="noConversion"/>
  <hyperlinks>
    <hyperlink ref="A4" r:id="rId1" xr:uid="{00000000-0004-0000-0000-000000000000}"/>
  </hyperlinks>
  <pageMargins left="0.66" right="0.51" top="0.63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64"/>
  <sheetViews>
    <sheetView zoomScaleNormal="100" workbookViewId="0"/>
  </sheetViews>
  <sheetFormatPr defaultColWidth="0" defaultRowHeight="12.5" zeroHeight="1" x14ac:dyDescent="0.25"/>
  <cols>
    <col min="1" max="1" width="10.54296875" style="152" customWidth="1"/>
    <col min="2" max="2" width="46.54296875" style="152" customWidth="1"/>
    <col min="3" max="12" width="11.54296875" style="152" customWidth="1"/>
    <col min="13" max="13" width="33.453125" style="288" customWidth="1"/>
    <col min="14" max="14" width="14.54296875" style="152" customWidth="1"/>
    <col min="15" max="15" width="0" style="152" hidden="1" customWidth="1"/>
    <col min="16" max="16384" width="26.54296875" style="152" hidden="1"/>
  </cols>
  <sheetData>
    <row r="1" spans="1:14" ht="24.75" customHeight="1" x14ac:dyDescent="0.4">
      <c r="A1" s="2" t="s">
        <v>356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45" customFormat="1" ht="13.4" customHeight="1" x14ac:dyDescent="0.25">
      <c r="A2" s="842"/>
      <c r="B2" s="843"/>
      <c r="C2" s="857"/>
      <c r="D2" s="845" t="s">
        <v>473</v>
      </c>
      <c r="E2" s="846"/>
      <c r="F2" s="829" t="s">
        <v>514</v>
      </c>
      <c r="I2" s="843"/>
    </row>
    <row r="3" spans="1:14" s="845" customFormat="1" ht="13.4" customHeight="1" x14ac:dyDescent="0.25">
      <c r="A3" s="847"/>
      <c r="B3" s="843"/>
      <c r="C3" s="858"/>
      <c r="D3" s="845" t="s">
        <v>461</v>
      </c>
      <c r="E3" s="848"/>
      <c r="F3" s="843" t="s">
        <v>515</v>
      </c>
      <c r="I3" s="843"/>
    </row>
    <row r="4" spans="1:14" s="845" customFormat="1" ht="15" customHeight="1" x14ac:dyDescent="0.25">
      <c r="A4" s="859"/>
      <c r="B4" s="847"/>
      <c r="C4" s="843"/>
      <c r="D4" s="843"/>
      <c r="E4" s="843"/>
      <c r="F4" s="830" t="s">
        <v>516</v>
      </c>
      <c r="G4" s="843"/>
      <c r="H4" s="843"/>
      <c r="I4" s="843"/>
    </row>
    <row r="5" spans="1:14" s="518" customFormat="1" ht="13" thickBot="1" x14ac:dyDescent="0.3">
      <c r="A5" s="519" t="s">
        <v>228</v>
      </c>
      <c r="B5" s="519" t="s">
        <v>237</v>
      </c>
      <c r="C5" s="519" t="s">
        <v>238</v>
      </c>
      <c r="D5" s="519" t="s">
        <v>239</v>
      </c>
      <c r="E5" s="519" t="s">
        <v>240</v>
      </c>
      <c r="F5" s="519" t="s">
        <v>249</v>
      </c>
      <c r="G5" s="519" t="s">
        <v>250</v>
      </c>
      <c r="H5" s="519" t="s">
        <v>251</v>
      </c>
      <c r="I5" s="519" t="s">
        <v>253</v>
      </c>
      <c r="J5" s="519" t="s">
        <v>254</v>
      </c>
      <c r="K5" s="509" t="s">
        <v>264</v>
      </c>
      <c r="L5" s="509" t="s">
        <v>256</v>
      </c>
      <c r="M5" s="509"/>
    </row>
    <row r="6" spans="1:14" ht="15.75" customHeight="1" x14ac:dyDescent="0.25">
      <c r="A6" s="101" t="s">
        <v>115</v>
      </c>
      <c r="B6" s="12" t="s">
        <v>32</v>
      </c>
      <c r="C6" s="123" t="s">
        <v>165</v>
      </c>
      <c r="D6" s="123"/>
      <c r="E6" s="124"/>
      <c r="F6" s="124"/>
      <c r="G6" s="124"/>
      <c r="H6" s="124"/>
      <c r="I6" s="124"/>
      <c r="J6" s="124"/>
      <c r="K6" s="124"/>
      <c r="L6" s="125"/>
      <c r="M6" s="1022" t="str">
        <f>IF(COUNTIF(D10:L49, "&lt;0")&gt;0, "Minusbelopp förekommer, var vänlig kommentera i kommentarsrutan längst ned!", "")</f>
        <v/>
      </c>
    </row>
    <row r="7" spans="1:14" ht="15.75" customHeight="1" x14ac:dyDescent="0.25">
      <c r="A7" s="413"/>
      <c r="B7" s="11"/>
      <c r="C7" s="699" t="s">
        <v>99</v>
      </c>
      <c r="D7" s="910" t="s">
        <v>534</v>
      </c>
      <c r="E7" s="919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2" t="s">
        <v>306</v>
      </c>
      <c r="M7" s="1022"/>
    </row>
    <row r="8" spans="1:14" ht="15.75" customHeight="1" x14ac:dyDescent="0.25">
      <c r="A8" s="413"/>
      <c r="B8" s="11"/>
      <c r="C8" s="110"/>
      <c r="D8" s="910"/>
      <c r="E8" s="910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431</v>
      </c>
      <c r="K8" s="6" t="s">
        <v>102</v>
      </c>
      <c r="L8" s="562"/>
      <c r="M8" s="1022"/>
    </row>
    <row r="9" spans="1:14" ht="15.75" customHeight="1" x14ac:dyDescent="0.25">
      <c r="A9" s="414"/>
      <c r="B9" s="10"/>
      <c r="C9" s="5"/>
      <c r="D9" s="920"/>
      <c r="E9" s="920" t="s">
        <v>178</v>
      </c>
      <c r="F9" s="5"/>
      <c r="G9" s="5"/>
      <c r="H9" s="5" t="s">
        <v>105</v>
      </c>
      <c r="I9" s="5"/>
      <c r="J9" s="5" t="s">
        <v>428</v>
      </c>
      <c r="K9" s="5"/>
      <c r="L9" s="563"/>
      <c r="M9" s="286"/>
    </row>
    <row r="10" spans="1:14" s="282" customFormat="1" ht="15.75" customHeight="1" x14ac:dyDescent="0.3">
      <c r="A10" s="100" t="s">
        <v>179</v>
      </c>
      <c r="B10" s="39" t="s">
        <v>364</v>
      </c>
      <c r="C10" s="337">
        <f>'3. Drift. kostnader'!E12</f>
        <v>0</v>
      </c>
      <c r="D10" s="629">
        <f>SUM(D11:D18)</f>
        <v>0</v>
      </c>
      <c r="E10" s="622">
        <f t="shared" ref="E10:L10" si="0">SUM(E11:E18)</f>
        <v>0</v>
      </c>
      <c r="F10" s="622">
        <f t="shared" si="0"/>
        <v>0</v>
      </c>
      <c r="G10" s="622">
        <f t="shared" si="0"/>
        <v>0</v>
      </c>
      <c r="H10" s="622">
        <f t="shared" si="0"/>
        <v>0</v>
      </c>
      <c r="I10" s="622">
        <f t="shared" si="0"/>
        <v>0</v>
      </c>
      <c r="J10" s="622">
        <f t="shared" si="0"/>
        <v>0</v>
      </c>
      <c r="K10" s="622">
        <f t="shared" si="0"/>
        <v>0</v>
      </c>
      <c r="L10" s="592">
        <f t="shared" si="0"/>
        <v>0</v>
      </c>
      <c r="M10" s="281" t="str">
        <f>IF(ABS(C10-SUM(C11:C18))&gt;2.99,(ROUND(C10-SUM(C11:C18),0))&amp;" mkr diff i kolumn C: därav-rader 010-090 &lt;&gt; totalrad 0","")</f>
        <v/>
      </c>
      <c r="N10" s="391"/>
    </row>
    <row r="11" spans="1:14" ht="15.75" customHeight="1" x14ac:dyDescent="0.25">
      <c r="A11" s="46" t="s">
        <v>301</v>
      </c>
      <c r="B11" s="18" t="s">
        <v>456</v>
      </c>
      <c r="C11" s="632">
        <f>D11+E11+F11+G11+H11+I11+J11+K11+L11</f>
        <v>0</v>
      </c>
      <c r="D11" s="444"/>
      <c r="E11" s="432"/>
      <c r="F11" s="432"/>
      <c r="G11" s="432"/>
      <c r="H11" s="432"/>
      <c r="I11" s="432"/>
      <c r="J11" s="432"/>
      <c r="K11" s="432"/>
      <c r="L11" s="433"/>
      <c r="M11" s="281" t="str">
        <f t="shared" ref="M11:M18" si="1">IF(ABS(C11-SUM(D11:L11))&gt;2.99,(ROUND(C11-SUM(D11:L11),0))&amp;" mkr diff.mellan kol C och kol D-L, måste elimineras!","")</f>
        <v/>
      </c>
      <c r="N11" s="391"/>
    </row>
    <row r="12" spans="1:14" ht="15.75" customHeight="1" x14ac:dyDescent="0.25">
      <c r="A12" s="46" t="s">
        <v>227</v>
      </c>
      <c r="B12" s="18" t="s">
        <v>457</v>
      </c>
      <c r="C12" s="632">
        <f t="shared" ref="C12:C22" si="2">D12+E12+F12+G12+H12+I12+J12+K12+L12</f>
        <v>0</v>
      </c>
      <c r="D12" s="444"/>
      <c r="E12" s="432"/>
      <c r="F12" s="432"/>
      <c r="G12" s="432"/>
      <c r="H12" s="432"/>
      <c r="I12" s="432"/>
      <c r="J12" s="432"/>
      <c r="K12" s="432"/>
      <c r="L12" s="433"/>
      <c r="M12" s="281" t="str">
        <f t="shared" si="1"/>
        <v/>
      </c>
      <c r="N12" s="391"/>
    </row>
    <row r="13" spans="1:14" ht="15.75" customHeight="1" x14ac:dyDescent="0.25">
      <c r="A13" s="46" t="s">
        <v>229</v>
      </c>
      <c r="B13" s="18" t="s">
        <v>38</v>
      </c>
      <c r="C13" s="632">
        <f t="shared" si="2"/>
        <v>0</v>
      </c>
      <c r="D13" s="444"/>
      <c r="E13" s="432"/>
      <c r="F13" s="432"/>
      <c r="G13" s="432"/>
      <c r="H13" s="432"/>
      <c r="I13" s="432"/>
      <c r="J13" s="432"/>
      <c r="K13" s="432"/>
      <c r="L13" s="433"/>
      <c r="M13" s="281" t="str">
        <f t="shared" si="1"/>
        <v/>
      </c>
      <c r="N13" s="391"/>
    </row>
    <row r="14" spans="1:14" ht="15.75" customHeight="1" x14ac:dyDescent="0.25">
      <c r="A14" s="46" t="s">
        <v>230</v>
      </c>
      <c r="B14" s="18" t="s">
        <v>39</v>
      </c>
      <c r="C14" s="632">
        <f t="shared" si="2"/>
        <v>0</v>
      </c>
      <c r="D14" s="444"/>
      <c r="E14" s="432"/>
      <c r="F14" s="432"/>
      <c r="G14" s="432"/>
      <c r="H14" s="432"/>
      <c r="I14" s="432"/>
      <c r="J14" s="432"/>
      <c r="K14" s="432"/>
      <c r="L14" s="433"/>
      <c r="M14" s="281" t="str">
        <f t="shared" si="1"/>
        <v/>
      </c>
      <c r="N14" s="391"/>
    </row>
    <row r="15" spans="1:14" ht="15.75" customHeight="1" x14ac:dyDescent="0.25">
      <c r="A15" s="46" t="s">
        <v>302</v>
      </c>
      <c r="B15" s="18" t="s">
        <v>470</v>
      </c>
      <c r="C15" s="632">
        <f t="shared" si="2"/>
        <v>0</v>
      </c>
      <c r="D15" s="444"/>
      <c r="E15" s="432"/>
      <c r="F15" s="432"/>
      <c r="G15" s="432"/>
      <c r="H15" s="432"/>
      <c r="I15" s="432"/>
      <c r="J15" s="432"/>
      <c r="K15" s="432"/>
      <c r="L15" s="433"/>
      <c r="M15" s="281" t="str">
        <f t="shared" si="1"/>
        <v/>
      </c>
      <c r="N15" s="391"/>
    </row>
    <row r="16" spans="1:14" ht="15.75" customHeight="1" x14ac:dyDescent="0.25">
      <c r="A16" s="46" t="s">
        <v>231</v>
      </c>
      <c r="B16" s="112" t="s">
        <v>1</v>
      </c>
      <c r="C16" s="624">
        <f t="shared" si="2"/>
        <v>0</v>
      </c>
      <c r="D16" s="444"/>
      <c r="E16" s="432"/>
      <c r="F16" s="432"/>
      <c r="G16" s="432"/>
      <c r="H16" s="432"/>
      <c r="I16" s="432"/>
      <c r="J16" s="432"/>
      <c r="K16" s="432"/>
      <c r="L16" s="433"/>
      <c r="M16" s="281" t="str">
        <f t="shared" si="1"/>
        <v/>
      </c>
      <c r="N16" s="391"/>
    </row>
    <row r="17" spans="1:14" ht="15.75" customHeight="1" x14ac:dyDescent="0.25">
      <c r="A17" s="46" t="s">
        <v>141</v>
      </c>
      <c r="B17" s="18" t="s">
        <v>0</v>
      </c>
      <c r="C17" s="117">
        <f>'3. Drift. kostnader'!E13</f>
        <v>0</v>
      </c>
      <c r="D17" s="444"/>
      <c r="E17" s="432"/>
      <c r="F17" s="432"/>
      <c r="G17" s="432"/>
      <c r="H17" s="432"/>
      <c r="I17" s="432"/>
      <c r="J17" s="432"/>
      <c r="K17" s="432"/>
      <c r="L17" s="433"/>
      <c r="M17" s="281" t="str">
        <f t="shared" si="1"/>
        <v/>
      </c>
      <c r="N17" s="391"/>
    </row>
    <row r="18" spans="1:14" ht="15.75" customHeight="1" x14ac:dyDescent="0.25">
      <c r="A18" s="46" t="s">
        <v>232</v>
      </c>
      <c r="B18" s="18" t="s">
        <v>150</v>
      </c>
      <c r="C18" s="624">
        <f t="shared" si="2"/>
        <v>0</v>
      </c>
      <c r="D18" s="444"/>
      <c r="E18" s="432"/>
      <c r="F18" s="432"/>
      <c r="G18" s="432"/>
      <c r="H18" s="432"/>
      <c r="I18" s="432"/>
      <c r="J18" s="432"/>
      <c r="K18" s="432"/>
      <c r="L18" s="433"/>
      <c r="M18" s="281" t="str">
        <f t="shared" si="1"/>
        <v/>
      </c>
      <c r="N18" s="391"/>
    </row>
    <row r="19" spans="1:14" s="282" customFormat="1" ht="15.75" customHeight="1" x14ac:dyDescent="0.3">
      <c r="A19" s="100" t="s">
        <v>180</v>
      </c>
      <c r="B19" s="39" t="s">
        <v>365</v>
      </c>
      <c r="C19" s="338">
        <f>'3. Drift. kostnader'!E14</f>
        <v>0</v>
      </c>
      <c r="D19" s="632">
        <f>SUM(D20:D23)</f>
        <v>0</v>
      </c>
      <c r="E19" s="624">
        <f t="shared" ref="E19:L19" si="3">SUM(E20:E23)</f>
        <v>0</v>
      </c>
      <c r="F19" s="624">
        <f t="shared" si="3"/>
        <v>0</v>
      </c>
      <c r="G19" s="624">
        <f t="shared" si="3"/>
        <v>0</v>
      </c>
      <c r="H19" s="624">
        <f t="shared" si="3"/>
        <v>0</v>
      </c>
      <c r="I19" s="624">
        <f t="shared" si="3"/>
        <v>0</v>
      </c>
      <c r="J19" s="624">
        <f t="shared" si="3"/>
        <v>0</v>
      </c>
      <c r="K19" s="624">
        <f t="shared" si="3"/>
        <v>0</v>
      </c>
      <c r="L19" s="592">
        <f t="shared" si="3"/>
        <v>0</v>
      </c>
      <c r="M19" s="281" t="str">
        <f>IF(ABS(C19-SUM(C20:C23))&gt;2.99,(ROUND(C19-SUM(C20:C23),0))&amp;" mkr diff i kolumn C: därav-rader 110-180 &lt;&gt; totalrad 1","")</f>
        <v/>
      </c>
      <c r="N19" s="391"/>
    </row>
    <row r="20" spans="1:14" ht="15.75" customHeight="1" x14ac:dyDescent="0.25">
      <c r="A20" s="46" t="s">
        <v>184</v>
      </c>
      <c r="B20" s="18" t="s">
        <v>106</v>
      </c>
      <c r="C20" s="632">
        <f t="shared" si="2"/>
        <v>0</v>
      </c>
      <c r="D20" s="444"/>
      <c r="E20" s="432"/>
      <c r="F20" s="432"/>
      <c r="G20" s="432"/>
      <c r="H20" s="432"/>
      <c r="I20" s="432"/>
      <c r="J20" s="432"/>
      <c r="K20" s="432"/>
      <c r="L20" s="433"/>
      <c r="M20" s="281" t="str">
        <f>IF(ABS(C20-SUM(D20:L20))&gt;2.99,(ROUND(C20-SUM(D20:L20),0))&amp;" mkr diff.mellan kol C och kol D-L, måste elimineras!","")</f>
        <v/>
      </c>
      <c r="N20" s="391"/>
    </row>
    <row r="21" spans="1:14" ht="15.75" customHeight="1" x14ac:dyDescent="0.25">
      <c r="A21" s="46" t="s">
        <v>185</v>
      </c>
      <c r="B21" s="18" t="s">
        <v>107</v>
      </c>
      <c r="C21" s="632">
        <f t="shared" si="2"/>
        <v>0</v>
      </c>
      <c r="D21" s="444"/>
      <c r="E21" s="432"/>
      <c r="F21" s="432"/>
      <c r="G21" s="432"/>
      <c r="H21" s="432"/>
      <c r="I21" s="432"/>
      <c r="J21" s="432"/>
      <c r="K21" s="432"/>
      <c r="L21" s="433"/>
      <c r="M21" s="281" t="str">
        <f>IF(ABS(C21-SUM(D21:L21))&gt;2.99,(ROUND(C21-SUM(D21:L21),0))&amp;" mkr diff.mellan kol C och kol D-L, måste elimineras!","")</f>
        <v/>
      </c>
      <c r="N21" s="391"/>
    </row>
    <row r="22" spans="1:14" ht="15.75" customHeight="1" x14ac:dyDescent="0.25">
      <c r="A22" s="46" t="s">
        <v>186</v>
      </c>
      <c r="B22" s="18" t="s">
        <v>116</v>
      </c>
      <c r="C22" s="632">
        <f t="shared" si="2"/>
        <v>0</v>
      </c>
      <c r="D22" s="444"/>
      <c r="E22" s="432"/>
      <c r="F22" s="432"/>
      <c r="G22" s="432"/>
      <c r="H22" s="432"/>
      <c r="I22" s="432"/>
      <c r="J22" s="432"/>
      <c r="K22" s="432"/>
      <c r="L22" s="433"/>
      <c r="M22" s="281" t="str">
        <f>IF(ABS(C22-SUM(D22:L22))&gt;2.99,(ROUND(C22-SUM(D22:L22),0))&amp;" mkr diff.mellan kol C och kol D-L, måste elimineras!","")</f>
        <v/>
      </c>
      <c r="N22" s="391"/>
    </row>
    <row r="23" spans="1:14" ht="15.75" customHeight="1" x14ac:dyDescent="0.25">
      <c r="A23" s="46" t="s">
        <v>187</v>
      </c>
      <c r="B23" s="18" t="s">
        <v>108</v>
      </c>
      <c r="C23" s="117">
        <f>'3. Drift. kostnader'!E15</f>
        <v>0</v>
      </c>
      <c r="D23" s="444"/>
      <c r="E23" s="432"/>
      <c r="F23" s="432"/>
      <c r="G23" s="432"/>
      <c r="H23" s="432"/>
      <c r="I23" s="432"/>
      <c r="J23" s="432"/>
      <c r="K23" s="432"/>
      <c r="L23" s="433"/>
      <c r="M23" s="281" t="str">
        <f>IF(ABS(C23-SUM(D23:L23))&gt;2.99,(ROUND(C23-SUM(D23:L23),0))&amp;" mkr diff.mellan kol C och kol D-L, måste elimineras!","")</f>
        <v/>
      </c>
      <c r="N23" s="391"/>
    </row>
    <row r="24" spans="1:14" s="282" customFormat="1" ht="15.75" customHeight="1" x14ac:dyDescent="0.3">
      <c r="A24" s="100" t="s">
        <v>181</v>
      </c>
      <c r="B24" s="39" t="s">
        <v>366</v>
      </c>
      <c r="C24" s="338">
        <f>'3. Drift. kostnader'!E16</f>
        <v>0</v>
      </c>
      <c r="D24" s="632">
        <f>SUM(D25:D28)</f>
        <v>0</v>
      </c>
      <c r="E24" s="624">
        <f t="shared" ref="E24:L24" si="4">SUM(E25:E28)</f>
        <v>0</v>
      </c>
      <c r="F24" s="624">
        <f t="shared" si="4"/>
        <v>0</v>
      </c>
      <c r="G24" s="624">
        <f t="shared" si="4"/>
        <v>0</v>
      </c>
      <c r="H24" s="624">
        <f t="shared" si="4"/>
        <v>0</v>
      </c>
      <c r="I24" s="624">
        <f t="shared" si="4"/>
        <v>0</v>
      </c>
      <c r="J24" s="624">
        <f t="shared" si="4"/>
        <v>0</v>
      </c>
      <c r="K24" s="624">
        <f t="shared" si="4"/>
        <v>0</v>
      </c>
      <c r="L24" s="592">
        <f t="shared" si="4"/>
        <v>0</v>
      </c>
      <c r="M24" s="281" t="str">
        <f>IF(ABS(C24-SUM(C25:C28))&gt;2.99,(ROUND(C24-SUM(C25:C28),0))&amp;" mkr diff i kolumn C: därav-rader 210-280 &lt;&gt; totalrad 2","")</f>
        <v/>
      </c>
      <c r="N24" s="391"/>
    </row>
    <row r="25" spans="1:14" ht="15.75" customHeight="1" x14ac:dyDescent="0.25">
      <c r="A25" s="46" t="s">
        <v>188</v>
      </c>
      <c r="B25" s="18" t="s">
        <v>109</v>
      </c>
      <c r="C25" s="632">
        <f t="shared" ref="C25:C27" si="5">D25+E25+F25+G25+H25+I25+J25+K25+L25</f>
        <v>0</v>
      </c>
      <c r="D25" s="444"/>
      <c r="E25" s="432"/>
      <c r="F25" s="432"/>
      <c r="G25" s="432"/>
      <c r="H25" s="432"/>
      <c r="I25" s="432"/>
      <c r="J25" s="432"/>
      <c r="K25" s="432"/>
      <c r="L25" s="433"/>
      <c r="M25" s="281" t="str">
        <f>IF(ABS(C25-SUM(D25:L25))&gt;2.99,(ROUND(C25-SUM(D25:L25),0))&amp;" mkr diff.mellan kol C och kol D-L, måste elimineras!","")</f>
        <v/>
      </c>
      <c r="N25" s="391"/>
    </row>
    <row r="26" spans="1:14" ht="15.75" customHeight="1" x14ac:dyDescent="0.25">
      <c r="A26" s="46" t="s">
        <v>189</v>
      </c>
      <c r="B26" s="18" t="s">
        <v>110</v>
      </c>
      <c r="C26" s="632">
        <f t="shared" si="5"/>
        <v>0</v>
      </c>
      <c r="D26" s="444"/>
      <c r="E26" s="432"/>
      <c r="F26" s="432"/>
      <c r="G26" s="432"/>
      <c r="H26" s="432"/>
      <c r="I26" s="432"/>
      <c r="J26" s="432"/>
      <c r="K26" s="432"/>
      <c r="L26" s="433"/>
      <c r="M26" s="281" t="str">
        <f>IF(ABS(C26-SUM(D26:L26))&gt;2.99,(ROUND(C26-SUM(D26:L26),0))&amp;" mkr diff.mellan kol C och kol D-L, måste elimineras!","")</f>
        <v/>
      </c>
      <c r="N26" s="391"/>
    </row>
    <row r="27" spans="1:14" ht="15.75" customHeight="1" x14ac:dyDescent="0.25">
      <c r="A27" s="46" t="s">
        <v>190</v>
      </c>
      <c r="B27" s="18" t="s">
        <v>117</v>
      </c>
      <c r="C27" s="632">
        <f t="shared" si="5"/>
        <v>0</v>
      </c>
      <c r="D27" s="444"/>
      <c r="E27" s="432"/>
      <c r="F27" s="432"/>
      <c r="G27" s="432"/>
      <c r="H27" s="432"/>
      <c r="I27" s="432"/>
      <c r="J27" s="432"/>
      <c r="K27" s="432"/>
      <c r="L27" s="433"/>
      <c r="M27" s="281" t="str">
        <f>IF(ABS(C27-SUM(D27:L27))&gt;2.99,(ROUND(C27-SUM(D27:L27),0))&amp;" mkr diff.mellan kol C och kol D-L, måste elimineras!","")</f>
        <v/>
      </c>
      <c r="N27" s="391"/>
    </row>
    <row r="28" spans="1:14" ht="15.75" customHeight="1" x14ac:dyDescent="0.25">
      <c r="A28" s="46" t="s">
        <v>191</v>
      </c>
      <c r="B28" s="18" t="s">
        <v>111</v>
      </c>
      <c r="C28" s="117">
        <f>'3. Drift. kostnader'!E17</f>
        <v>0</v>
      </c>
      <c r="D28" s="444"/>
      <c r="E28" s="432"/>
      <c r="F28" s="432"/>
      <c r="G28" s="432"/>
      <c r="H28" s="432"/>
      <c r="I28" s="432"/>
      <c r="J28" s="432"/>
      <c r="K28" s="432"/>
      <c r="L28" s="433"/>
      <c r="M28" s="281" t="str">
        <f>IF(ABS(C28-SUM(D28:L28))&gt;2.99,(ROUND(C28-SUM(D28:L28),0))&amp;" mkr diff.mellan kol C och kol D-L, måste elimineras!","")</f>
        <v/>
      </c>
      <c r="N28" s="391"/>
    </row>
    <row r="29" spans="1:14" s="282" customFormat="1" ht="15.75" customHeight="1" x14ac:dyDescent="0.3">
      <c r="A29" s="100" t="s">
        <v>182</v>
      </c>
      <c r="B29" s="39" t="s">
        <v>403</v>
      </c>
      <c r="C29" s="338">
        <f>'3. Drift. kostnader'!E18</f>
        <v>0</v>
      </c>
      <c r="D29" s="632">
        <f>SUM(D30:D33)</f>
        <v>0</v>
      </c>
      <c r="E29" s="624">
        <f t="shared" ref="E29:L29" si="6">SUM(E30:E33)</f>
        <v>0</v>
      </c>
      <c r="F29" s="624">
        <f t="shared" si="6"/>
        <v>0</v>
      </c>
      <c r="G29" s="624">
        <f t="shared" si="6"/>
        <v>0</v>
      </c>
      <c r="H29" s="624">
        <f t="shared" si="6"/>
        <v>0</v>
      </c>
      <c r="I29" s="624">
        <f t="shared" si="6"/>
        <v>0</v>
      </c>
      <c r="J29" s="624">
        <f t="shared" si="6"/>
        <v>0</v>
      </c>
      <c r="K29" s="624">
        <f t="shared" si="6"/>
        <v>0</v>
      </c>
      <c r="L29" s="592">
        <f t="shared" si="6"/>
        <v>0</v>
      </c>
      <c r="M29" s="281" t="str">
        <f>IF(ABS(C29-SUM(C30:C33))&gt;2.99,(ROUND(C29-SUM(C30:C33),0))&amp;" mkr diff i kolumn C: därav-rader 310-340 &lt;&gt; totalrad 3","")</f>
        <v/>
      </c>
      <c r="N29" s="391"/>
    </row>
    <row r="30" spans="1:14" ht="15.75" customHeight="1" x14ac:dyDescent="0.25">
      <c r="A30" s="46" t="s">
        <v>192</v>
      </c>
      <c r="B30" s="18" t="s">
        <v>5</v>
      </c>
      <c r="C30" s="632">
        <f t="shared" ref="C30:C36" si="7">D30+E30+F30+G30+H30+I30+J30+K30+L30</f>
        <v>0</v>
      </c>
      <c r="D30" s="444"/>
      <c r="E30" s="432"/>
      <c r="F30" s="432"/>
      <c r="G30" s="432"/>
      <c r="H30" s="432"/>
      <c r="I30" s="432"/>
      <c r="J30" s="432"/>
      <c r="K30" s="432"/>
      <c r="L30" s="433"/>
      <c r="M30" s="281" t="str">
        <f>IF(ABS(C30-SUM(D30:L30))&gt;2.99,(ROUND(C30-SUM(D30:L30),0))&amp;" mkr diff.mellan kol C och kol D-L, måste elimineras!","")</f>
        <v/>
      </c>
      <c r="N30" s="391"/>
    </row>
    <row r="31" spans="1:14" ht="15.75" customHeight="1" x14ac:dyDescent="0.25">
      <c r="A31" s="46" t="s">
        <v>193</v>
      </c>
      <c r="B31" s="18" t="s">
        <v>583</v>
      </c>
      <c r="C31" s="632">
        <f t="shared" si="7"/>
        <v>0</v>
      </c>
      <c r="D31" s="444"/>
      <c r="E31" s="432"/>
      <c r="F31" s="432"/>
      <c r="G31" s="432"/>
      <c r="H31" s="432"/>
      <c r="I31" s="432"/>
      <c r="J31" s="432"/>
      <c r="K31" s="432"/>
      <c r="L31" s="433"/>
      <c r="M31" s="281" t="str">
        <f>IF(ABS(C31-SUM(D31:L31))&gt;2.99,(ROUND(C31-SUM(D31:L31),0))&amp;" mkr diff.mellan kol C och kol D-L, måste elimineras!","")</f>
        <v/>
      </c>
      <c r="N31" s="391"/>
    </row>
    <row r="32" spans="1:14" ht="15.75" customHeight="1" x14ac:dyDescent="0.25">
      <c r="A32" s="46" t="s">
        <v>194</v>
      </c>
      <c r="B32" s="18" t="s">
        <v>581</v>
      </c>
      <c r="C32" s="632">
        <f t="shared" si="7"/>
        <v>0</v>
      </c>
      <c r="D32" s="444"/>
      <c r="E32" s="432"/>
      <c r="F32" s="432"/>
      <c r="G32" s="432"/>
      <c r="H32" s="432"/>
      <c r="I32" s="432"/>
      <c r="J32" s="432"/>
      <c r="K32" s="432"/>
      <c r="L32" s="433"/>
      <c r="M32" s="281" t="str">
        <f>IF(ABS(C32-SUM(D32:L32))&gt;2.99,(ROUND(C32-SUM(D32:L32),0))&amp;" mkr diff.mellan kol C och kol D-L, måste elimineras!","")</f>
        <v/>
      </c>
      <c r="N32" s="391"/>
    </row>
    <row r="33" spans="1:14" ht="15.75" customHeight="1" x14ac:dyDescent="0.25">
      <c r="A33" s="46" t="s">
        <v>195</v>
      </c>
      <c r="B33" s="18" t="s">
        <v>34</v>
      </c>
      <c r="C33" s="632">
        <f t="shared" si="7"/>
        <v>0</v>
      </c>
      <c r="D33" s="444"/>
      <c r="E33" s="432"/>
      <c r="F33" s="432"/>
      <c r="G33" s="432"/>
      <c r="H33" s="432"/>
      <c r="I33" s="432"/>
      <c r="J33" s="432"/>
      <c r="K33" s="432"/>
      <c r="L33" s="433"/>
      <c r="M33" s="281" t="str">
        <f>IF(ABS(C33-SUM(D33:L33))&gt;2.99,(ROUND(C33-SUM(D33:L33),0))&amp;" mkr diff.mellan kol C och kol D-L, måste elimineras!","")</f>
        <v/>
      </c>
      <c r="N33" s="391"/>
    </row>
    <row r="34" spans="1:14" s="282" customFormat="1" ht="15.75" customHeight="1" x14ac:dyDescent="0.3">
      <c r="A34" s="99" t="s">
        <v>183</v>
      </c>
      <c r="B34" s="17" t="s">
        <v>368</v>
      </c>
      <c r="C34" s="338">
        <f>'3. Drift. kostnader'!E19</f>
        <v>0</v>
      </c>
      <c r="D34" s="632">
        <f>SUM(D35:D41)</f>
        <v>0</v>
      </c>
      <c r="E34" s="624">
        <f t="shared" ref="E34:L34" si="8">SUM(E35:E41)</f>
        <v>0</v>
      </c>
      <c r="F34" s="624">
        <f t="shared" si="8"/>
        <v>0</v>
      </c>
      <c r="G34" s="624">
        <f t="shared" si="8"/>
        <v>0</v>
      </c>
      <c r="H34" s="624">
        <f t="shared" si="8"/>
        <v>0</v>
      </c>
      <c r="I34" s="624">
        <f t="shared" si="8"/>
        <v>0</v>
      </c>
      <c r="J34" s="624">
        <f t="shared" si="8"/>
        <v>0</v>
      </c>
      <c r="K34" s="624">
        <f t="shared" si="8"/>
        <v>0</v>
      </c>
      <c r="L34" s="592">
        <f t="shared" si="8"/>
        <v>0</v>
      </c>
      <c r="M34" s="281" t="str">
        <f>IF(ABS(C34-SUM(C35:C41))&gt;2.99,(ROUND(C34-SUM(C35:C41),0))&amp;" mkr diff i kolumn C: därav-rader 410-490 &lt;&gt; totalrad 4","")</f>
        <v/>
      </c>
      <c r="N34" s="391"/>
    </row>
    <row r="35" spans="1:14" ht="15.75" customHeight="1" x14ac:dyDescent="0.25">
      <c r="A35" s="46" t="s">
        <v>196</v>
      </c>
      <c r="B35" s="18" t="s">
        <v>6</v>
      </c>
      <c r="C35" s="632">
        <f t="shared" si="7"/>
        <v>0</v>
      </c>
      <c r="D35" s="445"/>
      <c r="E35" s="435"/>
      <c r="F35" s="435"/>
      <c r="G35" s="435"/>
      <c r="H35" s="435"/>
      <c r="I35" s="435"/>
      <c r="J35" s="435"/>
      <c r="K35" s="435"/>
      <c r="L35" s="433"/>
      <c r="M35" s="281" t="str">
        <f t="shared" ref="M35:M49" si="9">IF(ABS(C35-SUM(D35:L35))&gt;2.99,(ROUND(C35-SUM(D35:L35),0))&amp;" mkr diff.mellan kol C och kol D-L, måste elimineras!","")</f>
        <v/>
      </c>
      <c r="N35" s="391"/>
    </row>
    <row r="36" spans="1:14" ht="15.75" customHeight="1" x14ac:dyDescent="0.25">
      <c r="A36" s="46" t="s">
        <v>197</v>
      </c>
      <c r="B36" s="18" t="s">
        <v>118</v>
      </c>
      <c r="C36" s="632">
        <f t="shared" si="7"/>
        <v>0</v>
      </c>
      <c r="D36" s="445"/>
      <c r="E36" s="435"/>
      <c r="F36" s="435"/>
      <c r="G36" s="435"/>
      <c r="H36" s="435"/>
      <c r="I36" s="435"/>
      <c r="J36" s="435"/>
      <c r="K36" s="435"/>
      <c r="L36" s="433"/>
      <c r="M36" s="281" t="str">
        <f t="shared" si="9"/>
        <v/>
      </c>
      <c r="N36" s="391"/>
    </row>
    <row r="37" spans="1:14" ht="15.75" customHeight="1" x14ac:dyDescent="0.25">
      <c r="A37" s="46" t="s">
        <v>198</v>
      </c>
      <c r="B37" s="18" t="s">
        <v>474</v>
      </c>
      <c r="C37" s="117">
        <f>'3. Drift. kostnader'!E20</f>
        <v>0</v>
      </c>
      <c r="D37" s="445"/>
      <c r="E37" s="435"/>
      <c r="F37" s="435"/>
      <c r="G37" s="435"/>
      <c r="H37" s="435"/>
      <c r="I37" s="435"/>
      <c r="J37" s="435"/>
      <c r="K37" s="435"/>
      <c r="L37" s="433"/>
      <c r="M37" s="281" t="str">
        <f t="shared" si="9"/>
        <v/>
      </c>
      <c r="N37" s="391"/>
    </row>
    <row r="38" spans="1:14" ht="15.75" customHeight="1" x14ac:dyDescent="0.25">
      <c r="A38" s="46" t="s">
        <v>199</v>
      </c>
      <c r="B38" s="18" t="s">
        <v>7</v>
      </c>
      <c r="C38" s="117">
        <f>'3. Drift. kostnader'!E21</f>
        <v>0</v>
      </c>
      <c r="D38" s="445"/>
      <c r="E38" s="435"/>
      <c r="F38" s="435"/>
      <c r="G38" s="435"/>
      <c r="H38" s="435"/>
      <c r="I38" s="435"/>
      <c r="J38" s="435"/>
      <c r="K38" s="435"/>
      <c r="L38" s="433"/>
      <c r="M38" s="281" t="str">
        <f t="shared" si="9"/>
        <v/>
      </c>
      <c r="N38" s="391"/>
    </row>
    <row r="39" spans="1:14" ht="15.75" customHeight="1" x14ac:dyDescent="0.25">
      <c r="A39" s="46" t="s">
        <v>200</v>
      </c>
      <c r="B39" s="18" t="s">
        <v>112</v>
      </c>
      <c r="C39" s="632">
        <f t="shared" ref="C39" si="10">D39+E39+F39+G39+H39+I39+J39+K39+L39</f>
        <v>0</v>
      </c>
      <c r="D39" s="445"/>
      <c r="E39" s="435"/>
      <c r="F39" s="435"/>
      <c r="G39" s="435"/>
      <c r="H39" s="435"/>
      <c r="I39" s="435"/>
      <c r="J39" s="435"/>
      <c r="K39" s="435"/>
      <c r="L39" s="433"/>
      <c r="M39" s="281" t="str">
        <f t="shared" si="9"/>
        <v/>
      </c>
      <c r="N39" s="391"/>
    </row>
    <row r="40" spans="1:14" ht="15.75" customHeight="1" x14ac:dyDescent="0.25">
      <c r="A40" s="46" t="s">
        <v>201</v>
      </c>
      <c r="B40" s="18" t="s">
        <v>157</v>
      </c>
      <c r="C40" s="117">
        <f>'3. Drift. kostnader'!E22</f>
        <v>0</v>
      </c>
      <c r="D40" s="445"/>
      <c r="E40" s="435"/>
      <c r="F40" s="435"/>
      <c r="G40" s="435"/>
      <c r="H40" s="435"/>
      <c r="I40" s="435"/>
      <c r="J40" s="435"/>
      <c r="K40" s="435"/>
      <c r="L40" s="433"/>
      <c r="M40" s="281" t="str">
        <f t="shared" si="9"/>
        <v/>
      </c>
      <c r="N40" s="391"/>
    </row>
    <row r="41" spans="1:14" ht="15.75" customHeight="1" x14ac:dyDescent="0.25">
      <c r="A41" s="46" t="s">
        <v>202</v>
      </c>
      <c r="B41" s="18" t="s">
        <v>155</v>
      </c>
      <c r="C41" s="632">
        <f t="shared" ref="C41" si="11">D41+E41+F41+G41+H41+I41+J41+K41+L41</f>
        <v>0</v>
      </c>
      <c r="D41" s="445"/>
      <c r="E41" s="435"/>
      <c r="F41" s="435"/>
      <c r="G41" s="435"/>
      <c r="H41" s="435"/>
      <c r="I41" s="435"/>
      <c r="J41" s="435"/>
      <c r="K41" s="435"/>
      <c r="L41" s="433"/>
      <c r="M41" s="281" t="str">
        <f t="shared" si="9"/>
        <v/>
      </c>
      <c r="N41" s="391"/>
    </row>
    <row r="42" spans="1:14" s="282" customFormat="1" ht="16.5" customHeight="1" x14ac:dyDescent="0.3">
      <c r="A42" s="347" t="s">
        <v>204</v>
      </c>
      <c r="B42" s="111" t="s">
        <v>478</v>
      </c>
      <c r="C42" s="338">
        <f>'3. Drift. kostnader'!E23</f>
        <v>0</v>
      </c>
      <c r="D42" s="446"/>
      <c r="E42" s="436"/>
      <c r="F42" s="436"/>
      <c r="G42" s="436"/>
      <c r="H42" s="436"/>
      <c r="I42" s="436"/>
      <c r="J42" s="436"/>
      <c r="K42" s="436"/>
      <c r="L42" s="437"/>
      <c r="M42" s="281" t="str">
        <f t="shared" si="9"/>
        <v/>
      </c>
      <c r="N42" s="391"/>
    </row>
    <row r="43" spans="1:14" s="282" customFormat="1" ht="15.75" customHeight="1" x14ac:dyDescent="0.3">
      <c r="A43" s="122" t="s">
        <v>72</v>
      </c>
      <c r="B43" s="17" t="s">
        <v>33</v>
      </c>
      <c r="C43" s="338">
        <f>'3. Drift. kostnader'!E25</f>
        <v>0</v>
      </c>
      <c r="D43" s="446"/>
      <c r="E43" s="436"/>
      <c r="F43" s="436"/>
      <c r="G43" s="436"/>
      <c r="H43" s="436"/>
      <c r="I43" s="436"/>
      <c r="J43" s="436"/>
      <c r="K43" s="436"/>
      <c r="L43" s="437"/>
      <c r="M43" s="281" t="str">
        <f t="shared" si="9"/>
        <v/>
      </c>
      <c r="N43" s="391"/>
    </row>
    <row r="44" spans="1:14" s="282" customFormat="1" ht="15.75" customHeight="1" x14ac:dyDescent="0.3">
      <c r="A44" s="532" t="s">
        <v>151</v>
      </c>
      <c r="B44" s="39" t="s">
        <v>11</v>
      </c>
      <c r="C44" s="338">
        <f>'3. Drift. kostnader'!E29</f>
        <v>0</v>
      </c>
      <c r="D44" s="446"/>
      <c r="E44" s="436"/>
      <c r="F44" s="436"/>
      <c r="G44" s="436"/>
      <c r="H44" s="436"/>
      <c r="I44" s="436"/>
      <c r="J44" s="436"/>
      <c r="K44" s="436"/>
      <c r="L44" s="437"/>
      <c r="M44" s="281" t="str">
        <f t="shared" si="9"/>
        <v/>
      </c>
      <c r="N44" s="391"/>
    </row>
    <row r="45" spans="1:14" s="282" customFormat="1" ht="15.75" customHeight="1" x14ac:dyDescent="0.3">
      <c r="A45" s="532" t="s">
        <v>152</v>
      </c>
      <c r="B45" s="39" t="s">
        <v>13</v>
      </c>
      <c r="C45" s="338">
        <f>'3. Drift. kostnader'!E30</f>
        <v>0</v>
      </c>
      <c r="D45" s="446"/>
      <c r="E45" s="436"/>
      <c r="F45" s="436"/>
      <c r="G45" s="436"/>
      <c r="H45" s="436"/>
      <c r="I45" s="436"/>
      <c r="J45" s="436"/>
      <c r="K45" s="436"/>
      <c r="L45" s="437"/>
      <c r="M45" s="281" t="str">
        <f t="shared" si="9"/>
        <v/>
      </c>
      <c r="N45" s="391"/>
    </row>
    <row r="46" spans="1:14" s="282" customFormat="1" ht="15.75" customHeight="1" x14ac:dyDescent="0.3">
      <c r="A46" s="532" t="s">
        <v>153</v>
      </c>
      <c r="B46" s="39" t="s">
        <v>16</v>
      </c>
      <c r="C46" s="338">
        <f>'3. Drift. kostnader'!E33</f>
        <v>0</v>
      </c>
      <c r="D46" s="446"/>
      <c r="E46" s="436"/>
      <c r="F46" s="436"/>
      <c r="G46" s="436"/>
      <c r="H46" s="436"/>
      <c r="I46" s="436"/>
      <c r="J46" s="436"/>
      <c r="K46" s="436"/>
      <c r="L46" s="437"/>
      <c r="M46" s="281" t="str">
        <f t="shared" si="9"/>
        <v/>
      </c>
      <c r="N46" s="391"/>
    </row>
    <row r="47" spans="1:14" s="282" customFormat="1" ht="15.75" customHeight="1" x14ac:dyDescent="0.3">
      <c r="A47" s="532" t="s">
        <v>219</v>
      </c>
      <c r="B47" s="39" t="s">
        <v>479</v>
      </c>
      <c r="C47" s="338">
        <f>'3. Drift. kostnader'!E35</f>
        <v>0</v>
      </c>
      <c r="D47" s="446"/>
      <c r="E47" s="436"/>
      <c r="F47" s="436"/>
      <c r="G47" s="436"/>
      <c r="H47" s="436"/>
      <c r="I47" s="436"/>
      <c r="J47" s="436"/>
      <c r="K47" s="436"/>
      <c r="L47" s="437"/>
      <c r="M47" s="281" t="str">
        <f t="shared" si="9"/>
        <v/>
      </c>
      <c r="N47" s="391"/>
    </row>
    <row r="48" spans="1:14" s="282" customFormat="1" ht="15.75" customHeight="1" x14ac:dyDescent="0.3">
      <c r="A48" s="99" t="s">
        <v>170</v>
      </c>
      <c r="B48" s="17" t="s">
        <v>320</v>
      </c>
      <c r="C48" s="338">
        <f>'3. Drift. kostnader'!E36</f>
        <v>0</v>
      </c>
      <c r="D48" s="715"/>
      <c r="E48" s="716"/>
      <c r="F48" s="716"/>
      <c r="G48" s="716"/>
      <c r="H48" s="716"/>
      <c r="I48" s="716"/>
      <c r="J48" s="716"/>
      <c r="K48" s="716"/>
      <c r="L48" s="717"/>
      <c r="M48" s="281" t="str">
        <f t="shared" si="9"/>
        <v/>
      </c>
      <c r="N48" s="391"/>
    </row>
    <row r="49" spans="1:14" s="282" customFormat="1" ht="15.75" customHeight="1" x14ac:dyDescent="0.3">
      <c r="A49" s="99" t="s">
        <v>321</v>
      </c>
      <c r="B49" s="564" t="s">
        <v>312</v>
      </c>
      <c r="C49" s="403">
        <f>'3. Drift. kostnader'!E40</f>
        <v>0</v>
      </c>
      <c r="D49" s="447"/>
      <c r="E49" s="438"/>
      <c r="F49" s="438"/>
      <c r="G49" s="438"/>
      <c r="H49" s="438"/>
      <c r="I49" s="438"/>
      <c r="J49" s="438"/>
      <c r="K49" s="438"/>
      <c r="L49" s="439"/>
      <c r="M49" s="281" t="str">
        <f t="shared" si="9"/>
        <v/>
      </c>
      <c r="N49" s="391"/>
    </row>
    <row r="50" spans="1:14" s="282" customFormat="1" ht="15.75" customHeight="1" x14ac:dyDescent="0.3">
      <c r="A50" s="99" t="s">
        <v>120</v>
      </c>
      <c r="B50" s="10" t="s">
        <v>142</v>
      </c>
      <c r="C50" s="339">
        <f>'3. Drift. kostnader'!E41</f>
        <v>0</v>
      </c>
      <c r="D50" s="643">
        <f>SUM(D10,D19,D24,D29,D34,D42:D49)</f>
        <v>0</v>
      </c>
      <c r="E50" s="643">
        <f t="shared" ref="E50:L50" si="12">SUM(E10,E19,E24,E29,E34,E42:E49)</f>
        <v>0</v>
      </c>
      <c r="F50" s="643">
        <f t="shared" si="12"/>
        <v>0</v>
      </c>
      <c r="G50" s="643">
        <f t="shared" si="12"/>
        <v>0</v>
      </c>
      <c r="H50" s="643">
        <f t="shared" si="12"/>
        <v>0</v>
      </c>
      <c r="I50" s="643">
        <f t="shared" si="12"/>
        <v>0</v>
      </c>
      <c r="J50" s="643">
        <f t="shared" si="12"/>
        <v>0</v>
      </c>
      <c r="K50" s="643">
        <f t="shared" si="12"/>
        <v>0</v>
      </c>
      <c r="L50" s="644">
        <f t="shared" si="12"/>
        <v>0</v>
      </c>
      <c r="M50" s="281"/>
      <c r="N50" s="391"/>
    </row>
    <row r="51" spans="1:14" s="288" customFormat="1" ht="15.75" customHeight="1" x14ac:dyDescent="0.25">
      <c r="A51" s="533"/>
      <c r="B51" s="663" t="str">
        <f>"Fördelning "&amp;År&amp;""</f>
        <v>Fördelning 2024</v>
      </c>
      <c r="C51" s="440"/>
      <c r="D51" s="441" t="str">
        <f>IF($C$50=0,"",D50/$C$50)</f>
        <v/>
      </c>
      <c r="E51" s="441" t="str">
        <f t="shared" ref="E51:L51" si="13">IF($C$50=0,"",E50/$C$50)</f>
        <v/>
      </c>
      <c r="F51" s="441" t="str">
        <f t="shared" si="13"/>
        <v/>
      </c>
      <c r="G51" s="441" t="str">
        <f t="shared" si="13"/>
        <v/>
      </c>
      <c r="H51" s="441" t="str">
        <f t="shared" si="13"/>
        <v/>
      </c>
      <c r="I51" s="441" t="str">
        <f t="shared" si="13"/>
        <v/>
      </c>
      <c r="J51" s="441" t="str">
        <f t="shared" si="13"/>
        <v/>
      </c>
      <c r="K51" s="441" t="str">
        <f t="shared" si="13"/>
        <v/>
      </c>
      <c r="L51" s="811" t="str">
        <f t="shared" si="13"/>
        <v/>
      </c>
      <c r="M51" s="287"/>
    </row>
    <row r="52" spans="1:14" ht="15.75" customHeight="1" x14ac:dyDescent="0.25">
      <c r="A52" s="534" t="s">
        <v>335</v>
      </c>
      <c r="B52" s="666" t="str">
        <f>"Fördelning "&amp;År-1&amp;""</f>
        <v>Fördelning 2023</v>
      </c>
      <c r="C52" s="75"/>
      <c r="D52" s="402"/>
      <c r="E52" s="402"/>
      <c r="F52" s="402"/>
      <c r="G52" s="402"/>
      <c r="H52" s="402"/>
      <c r="I52" s="402"/>
      <c r="J52" s="402"/>
      <c r="K52" s="402"/>
      <c r="L52" s="812"/>
    </row>
    <row r="53" spans="1:14" ht="15.75" customHeight="1" thickBot="1" x14ac:dyDescent="0.3">
      <c r="A53" s="535" t="s">
        <v>346</v>
      </c>
      <c r="B53" s="702" t="str">
        <f>"Skillnad i fördelning "&amp;År-1&amp; - År&amp;""</f>
        <v>Skillnad i fördelning 2023-2024</v>
      </c>
      <c r="C53" s="442"/>
      <c r="D53" s="443" t="str">
        <f>IF(D51="","",D51-D52)</f>
        <v/>
      </c>
      <c r="E53" s="443" t="str">
        <f>IF(E51="","",E51-E52)</f>
        <v/>
      </c>
      <c r="F53" s="443" t="str">
        <f t="shared" ref="F53:L53" si="14">IF(F51="","",F51-F52)</f>
        <v/>
      </c>
      <c r="G53" s="443" t="str">
        <f t="shared" si="14"/>
        <v/>
      </c>
      <c r="H53" s="443" t="str">
        <f t="shared" si="14"/>
        <v/>
      </c>
      <c r="I53" s="443" t="str">
        <f t="shared" si="14"/>
        <v/>
      </c>
      <c r="J53" s="443" t="str">
        <f t="shared" si="14"/>
        <v/>
      </c>
      <c r="K53" s="443" t="str">
        <f t="shared" si="14"/>
        <v/>
      </c>
      <c r="L53" s="813" t="str">
        <f t="shared" si="14"/>
        <v/>
      </c>
      <c r="N53" s="391"/>
    </row>
    <row r="54" spans="1:14" x14ac:dyDescent="0.25">
      <c r="B54" s="277"/>
      <c r="C54" s="289"/>
      <c r="D54" s="289"/>
      <c r="E54" s="289"/>
      <c r="F54" s="289"/>
      <c r="G54" s="289"/>
      <c r="H54" s="289"/>
      <c r="I54" s="289"/>
      <c r="J54" s="289"/>
      <c r="K54" s="289"/>
      <c r="L54" s="289"/>
    </row>
    <row r="55" spans="1:14" x14ac:dyDescent="0.25">
      <c r="B55" s="277"/>
      <c r="C55" s="289"/>
      <c r="D55" s="289"/>
      <c r="E55" s="289"/>
      <c r="F55" s="289"/>
      <c r="G55" s="289"/>
      <c r="H55" s="289"/>
      <c r="I55" s="289"/>
      <c r="J55" s="289"/>
      <c r="K55" s="289"/>
      <c r="L55" s="289"/>
    </row>
    <row r="56" spans="1:14" x14ac:dyDescent="0.25">
      <c r="B56" s="271" t="s">
        <v>396</v>
      </c>
      <c r="C56" s="129"/>
      <c r="D56" s="129"/>
      <c r="E56" s="129"/>
      <c r="F56" s="129"/>
      <c r="G56" s="289"/>
      <c r="H56" s="289"/>
      <c r="I56" s="289"/>
      <c r="J56" s="289"/>
      <c r="K56" s="289"/>
      <c r="L56" s="289"/>
    </row>
    <row r="57" spans="1:14" x14ac:dyDescent="0.25">
      <c r="B57" s="1011"/>
      <c r="C57" s="1012"/>
      <c r="D57" s="1012"/>
      <c r="E57" s="1013"/>
      <c r="F57" s="129"/>
      <c r="G57" s="289"/>
      <c r="H57" s="289"/>
      <c r="I57" s="289"/>
      <c r="J57" s="289"/>
      <c r="K57" s="289"/>
      <c r="L57" s="289"/>
    </row>
    <row r="58" spans="1:14" x14ac:dyDescent="0.25">
      <c r="B58" s="1014"/>
      <c r="C58" s="1015"/>
      <c r="D58" s="1015"/>
      <c r="E58" s="1016"/>
      <c r="F58" s="129"/>
      <c r="G58" s="289"/>
      <c r="H58" s="289"/>
      <c r="I58" s="289"/>
      <c r="J58" s="289"/>
      <c r="K58" s="289"/>
      <c r="L58" s="289"/>
    </row>
    <row r="59" spans="1:14" x14ac:dyDescent="0.25">
      <c r="B59" s="1014"/>
      <c r="C59" s="1015"/>
      <c r="D59" s="1015"/>
      <c r="E59" s="1016"/>
      <c r="F59" s="129"/>
      <c r="G59" s="289"/>
      <c r="H59" s="289"/>
      <c r="I59" s="289"/>
      <c r="J59" s="289"/>
      <c r="K59" s="289"/>
      <c r="L59" s="289"/>
    </row>
    <row r="60" spans="1:14" x14ac:dyDescent="0.25">
      <c r="B60" s="1014"/>
      <c r="C60" s="1015"/>
      <c r="D60" s="1015"/>
      <c r="E60" s="1016"/>
      <c r="F60" s="129"/>
      <c r="G60" s="289"/>
      <c r="H60" s="289"/>
      <c r="I60" s="289"/>
      <c r="J60" s="289"/>
      <c r="K60" s="289"/>
      <c r="L60" s="289"/>
    </row>
    <row r="61" spans="1:14" x14ac:dyDescent="0.25">
      <c r="B61" s="1017"/>
      <c r="C61" s="1018"/>
      <c r="D61" s="1018"/>
      <c r="E61" s="1019"/>
      <c r="F61" s="129"/>
      <c r="G61" s="289"/>
      <c r="H61" s="289"/>
      <c r="I61" s="289"/>
      <c r="J61" s="289"/>
      <c r="K61" s="289"/>
      <c r="L61" s="289"/>
    </row>
    <row r="62" spans="1:14" x14ac:dyDescent="0.25">
      <c r="G62" s="289"/>
      <c r="H62" s="289"/>
      <c r="I62" s="289"/>
      <c r="J62" s="289"/>
      <c r="K62" s="289"/>
      <c r="L62" s="289"/>
    </row>
    <row r="63" spans="1:14" hidden="1" x14ac:dyDescent="0.25">
      <c r="B63" s="277"/>
      <c r="C63" s="289"/>
      <c r="D63" s="289"/>
      <c r="E63" s="289"/>
      <c r="F63" s="289"/>
      <c r="G63" s="289"/>
      <c r="H63" s="289"/>
      <c r="I63" s="289"/>
      <c r="J63" s="289"/>
      <c r="K63" s="289"/>
      <c r="L63" s="289"/>
    </row>
    <row r="64" spans="1:14" x14ac:dyDescent="0.25"/>
  </sheetData>
  <mergeCells count="2">
    <mergeCell ref="B57:E61"/>
    <mergeCell ref="M6:M8"/>
  </mergeCells>
  <phoneticPr fontId="0" type="noConversion"/>
  <conditionalFormatting sqref="M10:M50">
    <cfRule type="cellIs" dxfId="6" priority="17" stopIfTrue="1" operator="notEqual">
      <formula>0</formula>
    </cfRule>
  </conditionalFormatting>
  <conditionalFormatting sqref="D20:L23 D25:L28 D11:L18 D35:L49 D30:L33">
    <cfRule type="cellIs" dxfId="5" priority="21" stopIfTrue="1" operator="lessThan">
      <formula>-1</formula>
    </cfRule>
  </conditionalFormatting>
  <dataValidations count="1">
    <dataValidation type="decimal" allowBlank="1" showErrorMessage="1" error="Endast tal får anges!" sqref="C39 D10:L50 C11:C16 C18 C20:C22 C25:C27 C30:C33 C35:C36 C41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39"/>
  <sheetViews>
    <sheetView zoomScaleNormal="100" workbookViewId="0"/>
  </sheetViews>
  <sheetFormatPr defaultColWidth="0" defaultRowHeight="12.5" zeroHeight="1" x14ac:dyDescent="0.25"/>
  <cols>
    <col min="1" max="1" width="10.54296875" style="152" customWidth="1"/>
    <col min="2" max="2" width="46.54296875" style="152" customWidth="1"/>
    <col min="3" max="12" width="11.54296875" style="152" customWidth="1"/>
    <col min="13" max="13" width="33.453125" style="152" customWidth="1"/>
    <col min="14" max="14" width="14.54296875" style="152" customWidth="1"/>
    <col min="15" max="16384" width="14" style="152" hidden="1"/>
  </cols>
  <sheetData>
    <row r="1" spans="1:14" ht="25.5" customHeight="1" x14ac:dyDescent="0.4">
      <c r="A1" s="2" t="s">
        <v>357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45" customFormat="1" ht="13.4" customHeight="1" x14ac:dyDescent="0.25">
      <c r="A2" s="842"/>
      <c r="B2" s="843"/>
      <c r="C2" s="857"/>
      <c r="D2" s="845" t="s">
        <v>473</v>
      </c>
      <c r="E2" s="846"/>
      <c r="F2" s="829" t="s">
        <v>514</v>
      </c>
      <c r="G2" s="843"/>
      <c r="H2" s="843"/>
      <c r="I2" s="843"/>
      <c r="J2" s="843"/>
    </row>
    <row r="3" spans="1:14" s="845" customFormat="1" ht="13.4" customHeight="1" x14ac:dyDescent="0.25">
      <c r="A3" s="847"/>
      <c r="B3" s="843"/>
      <c r="C3" s="858"/>
      <c r="D3" s="845" t="s">
        <v>461</v>
      </c>
      <c r="E3" s="848"/>
      <c r="F3" s="843" t="s">
        <v>515</v>
      </c>
      <c r="G3" s="843"/>
      <c r="H3" s="843"/>
      <c r="I3" s="843"/>
      <c r="J3" s="843"/>
    </row>
    <row r="4" spans="1:14" s="845" customFormat="1" ht="15" customHeight="1" x14ac:dyDescent="0.25">
      <c r="A4" s="847"/>
      <c r="B4" s="847"/>
      <c r="C4" s="843"/>
      <c r="D4" s="843"/>
      <c r="E4" s="843"/>
      <c r="F4" s="830" t="s">
        <v>516</v>
      </c>
      <c r="G4" s="859"/>
      <c r="H4" s="843"/>
      <c r="I4" s="843"/>
      <c r="J4" s="843"/>
    </row>
    <row r="5" spans="1:14" s="518" customFormat="1" ht="13" thickBot="1" x14ac:dyDescent="0.3">
      <c r="A5" s="519" t="s">
        <v>336</v>
      </c>
      <c r="B5" s="519" t="s">
        <v>237</v>
      </c>
      <c r="C5" s="519" t="s">
        <v>238</v>
      </c>
      <c r="D5" s="519" t="s">
        <v>239</v>
      </c>
      <c r="E5" s="519" t="s">
        <v>240</v>
      </c>
      <c r="F5" s="519" t="s">
        <v>249</v>
      </c>
      <c r="G5" s="519" t="s">
        <v>250</v>
      </c>
      <c r="H5" s="519" t="s">
        <v>251</v>
      </c>
      <c r="I5" s="519" t="s">
        <v>252</v>
      </c>
      <c r="J5" s="519" t="s">
        <v>253</v>
      </c>
      <c r="K5" s="519" t="s">
        <v>254</v>
      </c>
      <c r="L5" s="509" t="s">
        <v>265</v>
      </c>
      <c r="M5" s="509" t="s">
        <v>265</v>
      </c>
      <c r="N5" s="509"/>
    </row>
    <row r="6" spans="1:14" ht="15.75" customHeight="1" x14ac:dyDescent="0.25">
      <c r="A6" s="314" t="s">
        <v>115</v>
      </c>
      <c r="B6" s="42" t="s">
        <v>32</v>
      </c>
      <c r="C6" s="123" t="s">
        <v>134</v>
      </c>
      <c r="D6" s="123"/>
      <c r="E6" s="124"/>
      <c r="F6" s="124"/>
      <c r="G6" s="124"/>
      <c r="H6" s="124"/>
      <c r="I6" s="124"/>
      <c r="J6" s="124"/>
      <c r="K6" s="124"/>
      <c r="L6" s="125"/>
      <c r="M6" s="1022" t="str">
        <f>IF(COUNTIF(D10:L23, "&lt;0")&gt;0, "Minusbelopp förekommer, var vänlig kommentera i kommentarsrutan längst ned!", "")</f>
        <v/>
      </c>
      <c r="N6" s="189"/>
    </row>
    <row r="7" spans="1:14" ht="15.75" customHeight="1" x14ac:dyDescent="0.25">
      <c r="A7" s="413"/>
      <c r="B7" s="11"/>
      <c r="C7" s="699" t="s">
        <v>99</v>
      </c>
      <c r="D7" s="910" t="s">
        <v>534</v>
      </c>
      <c r="E7" s="919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2" t="s">
        <v>306</v>
      </c>
      <c r="M7" s="1022"/>
      <c r="N7" s="189"/>
    </row>
    <row r="8" spans="1:14" ht="15.75" customHeight="1" x14ac:dyDescent="0.25">
      <c r="A8" s="413"/>
      <c r="B8" s="11"/>
      <c r="C8" s="6" t="s">
        <v>283</v>
      </c>
      <c r="D8" s="910"/>
      <c r="E8" s="910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429</v>
      </c>
      <c r="K8" s="6" t="s">
        <v>102</v>
      </c>
      <c r="L8" s="562"/>
      <c r="M8" s="1022"/>
    </row>
    <row r="9" spans="1:14" ht="15.75" customHeight="1" x14ac:dyDescent="0.25">
      <c r="A9" s="413"/>
      <c r="B9" s="10"/>
      <c r="C9" s="113"/>
      <c r="D9" s="920"/>
      <c r="E9" s="920" t="s">
        <v>148</v>
      </c>
      <c r="F9" s="5"/>
      <c r="G9" s="5"/>
      <c r="H9" s="5" t="s">
        <v>105</v>
      </c>
      <c r="I9" s="5"/>
      <c r="J9" s="5" t="s">
        <v>428</v>
      </c>
      <c r="K9" s="5"/>
      <c r="L9" s="563"/>
      <c r="M9" s="290"/>
    </row>
    <row r="10" spans="1:14" s="282" customFormat="1" ht="15.75" customHeight="1" x14ac:dyDescent="0.3">
      <c r="A10" s="38" t="s">
        <v>233</v>
      </c>
      <c r="B10" s="38" t="s">
        <v>382</v>
      </c>
      <c r="C10" s="629">
        <f>C11+C12+C13+C14+C15</f>
        <v>0</v>
      </c>
      <c r="D10" s="629">
        <f>SUM(D11:D15)</f>
        <v>0</v>
      </c>
      <c r="E10" s="629">
        <f t="shared" ref="E10:L10" si="0">SUM(E11:E15)</f>
        <v>0</v>
      </c>
      <c r="F10" s="622">
        <f t="shared" si="0"/>
        <v>0</v>
      </c>
      <c r="G10" s="622">
        <f t="shared" si="0"/>
        <v>0</v>
      </c>
      <c r="H10" s="622">
        <f t="shared" si="0"/>
        <v>0</v>
      </c>
      <c r="I10" s="622">
        <f t="shared" si="0"/>
        <v>0</v>
      </c>
      <c r="J10" s="622">
        <f t="shared" si="0"/>
        <v>0</v>
      </c>
      <c r="K10" s="622">
        <f t="shared" si="0"/>
        <v>0</v>
      </c>
      <c r="L10" s="645">
        <f t="shared" si="0"/>
        <v>0</v>
      </c>
      <c r="M10" s="292"/>
      <c r="N10" s="391"/>
    </row>
    <row r="11" spans="1:14" ht="15.75" customHeight="1" x14ac:dyDescent="0.25">
      <c r="A11" s="46" t="s">
        <v>179</v>
      </c>
      <c r="B11" s="18" t="s">
        <v>40</v>
      </c>
      <c r="C11" s="117">
        <f>'3. Drift. kostnader'!F12</f>
        <v>0</v>
      </c>
      <c r="D11" s="444"/>
      <c r="E11" s="432"/>
      <c r="F11" s="432"/>
      <c r="G11" s="432"/>
      <c r="H11" s="432"/>
      <c r="I11" s="432"/>
      <c r="J11" s="432"/>
      <c r="K11" s="432"/>
      <c r="L11" s="448"/>
      <c r="M11" s="292" t="str">
        <f>IF(ABS(C11-SUM(D11:L11))&gt;2.99,(ROUND(C11-SUM(D11:L11),0))&amp;" mkr diff.mellan kol C och kol D-L, måste elimineras!","")</f>
        <v/>
      </c>
      <c r="N11" s="391"/>
    </row>
    <row r="12" spans="1:14" ht="15.75" customHeight="1" x14ac:dyDescent="0.25">
      <c r="A12" s="46" t="s">
        <v>180</v>
      </c>
      <c r="B12" s="18" t="s">
        <v>2</v>
      </c>
      <c r="C12" s="117">
        <f>'3. Drift. kostnader'!F14</f>
        <v>0</v>
      </c>
      <c r="D12" s="444"/>
      <c r="E12" s="432"/>
      <c r="F12" s="432"/>
      <c r="G12" s="432"/>
      <c r="H12" s="432"/>
      <c r="I12" s="432"/>
      <c r="J12" s="432"/>
      <c r="K12" s="432"/>
      <c r="L12" s="448"/>
      <c r="M12" s="292" t="str">
        <f>IF(ABS(C12-SUM(D12:L12))&gt;2.99,(ROUND(C12-SUM(D12:L12),0))&amp;" mkr diff.mellan kol C och kol D-L, måste elimineras!","")</f>
        <v/>
      </c>
      <c r="N12" s="391"/>
    </row>
    <row r="13" spans="1:14" ht="15.75" customHeight="1" x14ac:dyDescent="0.25">
      <c r="A13" s="46" t="s">
        <v>181</v>
      </c>
      <c r="B13" s="18" t="s">
        <v>3</v>
      </c>
      <c r="C13" s="117">
        <f>'3. Drift. kostnader'!F16</f>
        <v>0</v>
      </c>
      <c r="D13" s="444"/>
      <c r="E13" s="432"/>
      <c r="F13" s="432"/>
      <c r="G13" s="432"/>
      <c r="H13" s="432"/>
      <c r="I13" s="432"/>
      <c r="J13" s="432"/>
      <c r="K13" s="432"/>
      <c r="L13" s="448"/>
      <c r="M13" s="292" t="str">
        <f>IF(ABS(C13-SUM(D13:L13))&gt;2.99,(ROUND(C13-SUM(D13:L13),0))&amp;" mkr diff.mellan kol C och kol D-L, måste elimineras!","")</f>
        <v/>
      </c>
      <c r="N13" s="391"/>
    </row>
    <row r="14" spans="1:14" ht="15.75" customHeight="1" x14ac:dyDescent="0.25">
      <c r="A14" s="46" t="s">
        <v>182</v>
      </c>
      <c r="B14" s="18" t="s">
        <v>4</v>
      </c>
      <c r="C14" s="117">
        <f>'3. Drift. kostnader'!F18</f>
        <v>0</v>
      </c>
      <c r="D14" s="444"/>
      <c r="E14" s="432"/>
      <c r="F14" s="432"/>
      <c r="G14" s="432"/>
      <c r="H14" s="432"/>
      <c r="I14" s="432"/>
      <c r="J14" s="432"/>
      <c r="K14" s="432"/>
      <c r="L14" s="448"/>
      <c r="M14" s="292" t="str">
        <f>IF(ABS(C14-SUM(D14:L14))&gt;2.99,(ROUND(C14-SUM(D14:L14),0))&amp;" mkr diff.mellan kol C och kol D-L, måste elimineras!","")</f>
        <v/>
      </c>
      <c r="N14" s="391"/>
    </row>
    <row r="15" spans="1:14" ht="15.75" customHeight="1" x14ac:dyDescent="0.25">
      <c r="A15" s="46" t="s">
        <v>183</v>
      </c>
      <c r="B15" s="32" t="s">
        <v>35</v>
      </c>
      <c r="C15" s="117">
        <f>'3. Drift. kostnader'!F19</f>
        <v>0</v>
      </c>
      <c r="D15" s="444"/>
      <c r="E15" s="432"/>
      <c r="F15" s="432"/>
      <c r="G15" s="432"/>
      <c r="H15" s="432"/>
      <c r="I15" s="432"/>
      <c r="J15" s="432"/>
      <c r="K15" s="432"/>
      <c r="L15" s="448"/>
      <c r="M15" s="292" t="str">
        <f>IF(ABS(C15-SUM(D15:L15))&gt;2.99,(ROUND(C15-SUM(D15:L15),0))&amp;" mkr diff.mellan kol C och kol D-L, måste elimineras!","")</f>
        <v/>
      </c>
      <c r="N15" s="391"/>
    </row>
    <row r="16" spans="1:14" s="282" customFormat="1" ht="15.75" customHeight="1" x14ac:dyDescent="0.3">
      <c r="A16" s="99" t="s">
        <v>234</v>
      </c>
      <c r="B16" s="39" t="s">
        <v>135</v>
      </c>
      <c r="C16" s="632">
        <f>C17+C18+C19+C20</f>
        <v>0</v>
      </c>
      <c r="D16" s="632">
        <f>SUM(D17:D20)</f>
        <v>0</v>
      </c>
      <c r="E16" s="624">
        <f t="shared" ref="E16:L16" si="1">SUM(E17:E20)</f>
        <v>0</v>
      </c>
      <c r="F16" s="624">
        <f t="shared" si="1"/>
        <v>0</v>
      </c>
      <c r="G16" s="624">
        <f t="shared" si="1"/>
        <v>0</v>
      </c>
      <c r="H16" s="624">
        <f t="shared" si="1"/>
        <v>0</v>
      </c>
      <c r="I16" s="624">
        <f t="shared" si="1"/>
        <v>0</v>
      </c>
      <c r="J16" s="624">
        <f t="shared" si="1"/>
        <v>0</v>
      </c>
      <c r="K16" s="624">
        <f t="shared" si="1"/>
        <v>0</v>
      </c>
      <c r="L16" s="645">
        <f t="shared" si="1"/>
        <v>0</v>
      </c>
      <c r="M16" s="292"/>
      <c r="N16" s="391"/>
    </row>
    <row r="17" spans="1:14" ht="15.75" customHeight="1" x14ac:dyDescent="0.25">
      <c r="A17" s="47" t="s">
        <v>72</v>
      </c>
      <c r="B17" s="18" t="s">
        <v>33</v>
      </c>
      <c r="C17" s="117">
        <f>'3. Drift. kostnader'!F25</f>
        <v>0</v>
      </c>
      <c r="D17" s="444"/>
      <c r="E17" s="432"/>
      <c r="F17" s="432"/>
      <c r="G17" s="432"/>
      <c r="H17" s="432"/>
      <c r="I17" s="432"/>
      <c r="J17" s="432"/>
      <c r="K17" s="432"/>
      <c r="L17" s="448"/>
      <c r="M17" s="292" t="str">
        <f t="shared" ref="M17:M23" si="2">IF(ABS(C17-SUM(D17:L17))&gt;2.99,(ROUND(C17-SUM(D17:L17),0))&amp;" mkr diff.mellan kol C och kol D-L, måste elimineras!","")</f>
        <v/>
      </c>
      <c r="N17" s="391"/>
    </row>
    <row r="18" spans="1:14" ht="15.75" customHeight="1" x14ac:dyDescent="0.25">
      <c r="A18" s="46" t="s">
        <v>151</v>
      </c>
      <c r="B18" s="18" t="s">
        <v>11</v>
      </c>
      <c r="C18" s="117">
        <f>'3. Drift. kostnader'!F29</f>
        <v>0</v>
      </c>
      <c r="D18" s="444"/>
      <c r="E18" s="432"/>
      <c r="F18" s="432"/>
      <c r="G18" s="432"/>
      <c r="H18" s="432"/>
      <c r="I18" s="432"/>
      <c r="J18" s="432"/>
      <c r="K18" s="432"/>
      <c r="L18" s="448"/>
      <c r="M18" s="292" t="str">
        <f t="shared" si="2"/>
        <v/>
      </c>
      <c r="N18" s="391"/>
    </row>
    <row r="19" spans="1:14" ht="15.75" customHeight="1" x14ac:dyDescent="0.25">
      <c r="A19" s="46" t="s">
        <v>152</v>
      </c>
      <c r="B19" s="18" t="s">
        <v>13</v>
      </c>
      <c r="C19" s="117">
        <f>'3. Drift. kostnader'!F30</f>
        <v>0</v>
      </c>
      <c r="D19" s="444"/>
      <c r="E19" s="432"/>
      <c r="F19" s="432"/>
      <c r="G19" s="432"/>
      <c r="H19" s="432"/>
      <c r="I19" s="432"/>
      <c r="J19" s="432"/>
      <c r="K19" s="432"/>
      <c r="L19" s="448"/>
      <c r="M19" s="292" t="str">
        <f t="shared" si="2"/>
        <v/>
      </c>
      <c r="N19" s="391"/>
    </row>
    <row r="20" spans="1:14" ht="15.75" customHeight="1" x14ac:dyDescent="0.25">
      <c r="A20" s="46" t="s">
        <v>153</v>
      </c>
      <c r="B20" s="18" t="s">
        <v>16</v>
      </c>
      <c r="C20" s="117">
        <f>'3. Drift. kostnader'!F33</f>
        <v>0</v>
      </c>
      <c r="D20" s="444"/>
      <c r="E20" s="432"/>
      <c r="F20" s="432"/>
      <c r="G20" s="432"/>
      <c r="H20" s="432"/>
      <c r="I20" s="432"/>
      <c r="J20" s="432"/>
      <c r="K20" s="432"/>
      <c r="L20" s="448"/>
      <c r="M20" s="292" t="str">
        <f t="shared" si="2"/>
        <v/>
      </c>
      <c r="N20" s="391"/>
    </row>
    <row r="21" spans="1:14" s="282" customFormat="1" ht="15.75" customHeight="1" x14ac:dyDescent="0.3">
      <c r="A21" s="99" t="s">
        <v>162</v>
      </c>
      <c r="B21" s="17" t="s">
        <v>161</v>
      </c>
      <c r="C21" s="117">
        <f>'3. Drift. kostnader'!F23+'3. Drift. kostnader'!F35</f>
        <v>0</v>
      </c>
      <c r="D21" s="444"/>
      <c r="E21" s="432"/>
      <c r="F21" s="432"/>
      <c r="G21" s="432"/>
      <c r="H21" s="432"/>
      <c r="I21" s="432"/>
      <c r="J21" s="432"/>
      <c r="K21" s="432"/>
      <c r="L21" s="448"/>
      <c r="M21" s="292" t="str">
        <f t="shared" si="2"/>
        <v/>
      </c>
      <c r="N21" s="391"/>
    </row>
    <row r="22" spans="1:14" s="282" customFormat="1" ht="15.75" customHeight="1" x14ac:dyDescent="0.3">
      <c r="A22" s="99" t="s">
        <v>170</v>
      </c>
      <c r="B22" s="17" t="s">
        <v>320</v>
      </c>
      <c r="C22" s="117">
        <f>'3. Drift. kostnader'!F36</f>
        <v>0</v>
      </c>
      <c r="D22" s="444"/>
      <c r="E22" s="432"/>
      <c r="F22" s="432"/>
      <c r="G22" s="432"/>
      <c r="H22" s="432"/>
      <c r="I22" s="432"/>
      <c r="J22" s="432"/>
      <c r="K22" s="432"/>
      <c r="L22" s="714"/>
      <c r="M22" s="292" t="str">
        <f t="shared" si="2"/>
        <v/>
      </c>
      <c r="N22" s="391"/>
    </row>
    <row r="23" spans="1:14" s="282" customFormat="1" ht="15.75" customHeight="1" x14ac:dyDescent="0.3">
      <c r="A23" s="786" t="s">
        <v>321</v>
      </c>
      <c r="B23" s="564" t="s">
        <v>312</v>
      </c>
      <c r="C23" s="404">
        <f>'3. Drift. kostnader'!F40</f>
        <v>0</v>
      </c>
      <c r="D23" s="449"/>
      <c r="E23" s="449"/>
      <c r="F23" s="449"/>
      <c r="G23" s="449"/>
      <c r="H23" s="449"/>
      <c r="I23" s="449"/>
      <c r="J23" s="449"/>
      <c r="K23" s="449"/>
      <c r="L23" s="450"/>
      <c r="M23" s="292" t="str">
        <f t="shared" si="2"/>
        <v/>
      </c>
      <c r="N23" s="391"/>
    </row>
    <row r="24" spans="1:14" s="282" customFormat="1" ht="15.75" customHeight="1" x14ac:dyDescent="0.3">
      <c r="A24" s="787" t="s">
        <v>120</v>
      </c>
      <c r="B24" s="10" t="s">
        <v>25</v>
      </c>
      <c r="C24" s="339">
        <f>'3. Drift. kostnader'!F41</f>
        <v>0</v>
      </c>
      <c r="D24" s="643">
        <f>SUM(D10,D16,D21:D23)</f>
        <v>0</v>
      </c>
      <c r="E24" s="643">
        <f t="shared" ref="E24:L24" si="3">SUM(E10,E16,E21:E23)</f>
        <v>0</v>
      </c>
      <c r="F24" s="643">
        <f t="shared" si="3"/>
        <v>0</v>
      </c>
      <c r="G24" s="643">
        <f t="shared" si="3"/>
        <v>0</v>
      </c>
      <c r="H24" s="643">
        <f t="shared" si="3"/>
        <v>0</v>
      </c>
      <c r="I24" s="643">
        <f t="shared" si="3"/>
        <v>0</v>
      </c>
      <c r="J24" s="643">
        <f t="shared" si="3"/>
        <v>0</v>
      </c>
      <c r="K24" s="643">
        <f t="shared" si="3"/>
        <v>0</v>
      </c>
      <c r="L24" s="644">
        <f t="shared" si="3"/>
        <v>0</v>
      </c>
      <c r="M24" s="292"/>
      <c r="N24" s="391"/>
    </row>
    <row r="25" spans="1:14" ht="15.75" customHeight="1" x14ac:dyDescent="0.25">
      <c r="A25" s="533"/>
      <c r="B25" s="663" t="str">
        <f>"Fördelning "&amp;År&amp;""</f>
        <v>Fördelning 2024</v>
      </c>
      <c r="C25" s="440"/>
      <c r="D25" s="441" t="str">
        <f t="shared" ref="D25:L25" si="4">IF($C$24=0,"",D24/$C$24)</f>
        <v/>
      </c>
      <c r="E25" s="441" t="str">
        <f t="shared" si="4"/>
        <v/>
      </c>
      <c r="F25" s="441" t="str">
        <f t="shared" si="4"/>
        <v/>
      </c>
      <c r="G25" s="441" t="str">
        <f t="shared" si="4"/>
        <v/>
      </c>
      <c r="H25" s="441" t="str">
        <f t="shared" si="4"/>
        <v/>
      </c>
      <c r="I25" s="441" t="str">
        <f t="shared" si="4"/>
        <v/>
      </c>
      <c r="J25" s="441" t="str">
        <f t="shared" si="4"/>
        <v/>
      </c>
      <c r="K25" s="441" t="str">
        <f t="shared" si="4"/>
        <v/>
      </c>
      <c r="L25" s="811" t="str">
        <f t="shared" si="4"/>
        <v/>
      </c>
    </row>
    <row r="26" spans="1:14" ht="15.75" customHeight="1" x14ac:dyDescent="0.25">
      <c r="A26" s="534" t="s">
        <v>336</v>
      </c>
      <c r="B26" s="666" t="str">
        <f>"Fördelning "&amp;År-1&amp;""</f>
        <v>Fördelning 2023</v>
      </c>
      <c r="C26" s="75"/>
      <c r="D26" s="402"/>
      <c r="E26" s="402"/>
      <c r="F26" s="402"/>
      <c r="G26" s="402"/>
      <c r="H26" s="402"/>
      <c r="I26" s="402"/>
      <c r="J26" s="402"/>
      <c r="K26" s="402"/>
      <c r="L26" s="812"/>
    </row>
    <row r="27" spans="1:14" ht="15.75" customHeight="1" thickBot="1" x14ac:dyDescent="0.3">
      <c r="A27" s="535" t="s">
        <v>347</v>
      </c>
      <c r="B27" s="702" t="str">
        <f>"Skillnad i fördelning "&amp;År-1&amp; - År&amp;""</f>
        <v>Skillnad i fördelning 2023-2024</v>
      </c>
      <c r="C27" s="442"/>
      <c r="D27" s="443" t="str">
        <f>IF(D25="","",D25-D26)</f>
        <v/>
      </c>
      <c r="E27" s="443" t="str">
        <f t="shared" ref="E27:L27" si="5">IF(E25="","",E25-E26)</f>
        <v/>
      </c>
      <c r="F27" s="443" t="str">
        <f t="shared" si="5"/>
        <v/>
      </c>
      <c r="G27" s="443" t="str">
        <f t="shared" si="5"/>
        <v/>
      </c>
      <c r="H27" s="443" t="str">
        <f t="shared" si="5"/>
        <v/>
      </c>
      <c r="I27" s="443" t="str">
        <f t="shared" si="5"/>
        <v/>
      </c>
      <c r="J27" s="443" t="str">
        <f t="shared" si="5"/>
        <v/>
      </c>
      <c r="K27" s="443" t="str">
        <f t="shared" si="5"/>
        <v/>
      </c>
      <c r="L27" s="813" t="str">
        <f t="shared" si="5"/>
        <v/>
      </c>
      <c r="N27" s="391"/>
    </row>
    <row r="28" spans="1:14" x14ac:dyDescent="0.25">
      <c r="B28" s="293"/>
      <c r="C28" s="289"/>
      <c r="D28" s="289"/>
      <c r="E28" s="289"/>
      <c r="F28" s="289"/>
      <c r="G28" s="289"/>
      <c r="H28" s="289"/>
      <c r="I28" s="289"/>
      <c r="J28" s="289"/>
      <c r="K28" s="289"/>
      <c r="L28" s="289"/>
    </row>
    <row r="29" spans="1:14" x14ac:dyDescent="0.25">
      <c r="B29" s="293"/>
      <c r="C29" s="289"/>
      <c r="D29" s="289"/>
      <c r="E29" s="289"/>
      <c r="F29" s="289"/>
      <c r="G29" s="289"/>
      <c r="H29" s="289"/>
      <c r="I29" s="289"/>
      <c r="J29" s="289"/>
      <c r="K29" s="289"/>
      <c r="L29" s="289"/>
    </row>
    <row r="30" spans="1:14" x14ac:dyDescent="0.25">
      <c r="B30" s="271" t="s">
        <v>396</v>
      </c>
      <c r="C30" s="129"/>
      <c r="D30" s="129"/>
      <c r="E30" s="129"/>
      <c r="F30" s="129"/>
      <c r="G30" s="289"/>
      <c r="H30" s="289"/>
      <c r="I30" s="289"/>
      <c r="J30" s="289"/>
      <c r="K30" s="289"/>
      <c r="L30" s="289"/>
    </row>
    <row r="31" spans="1:14" x14ac:dyDescent="0.25">
      <c r="B31" s="1011"/>
      <c r="C31" s="1024"/>
      <c r="D31" s="1024"/>
      <c r="E31" s="1025"/>
      <c r="F31" s="129"/>
      <c r="G31" s="289"/>
      <c r="H31" s="289"/>
      <c r="I31" s="289"/>
      <c r="J31" s="289"/>
      <c r="K31" s="289"/>
      <c r="L31" s="289"/>
    </row>
    <row r="32" spans="1:14" x14ac:dyDescent="0.25">
      <c r="B32" s="1026"/>
      <c r="C32" s="1027"/>
      <c r="D32" s="1027"/>
      <c r="E32" s="1028"/>
      <c r="F32" s="129"/>
      <c r="G32" s="289"/>
      <c r="H32" s="289"/>
      <c r="I32" s="289"/>
      <c r="J32" s="289"/>
      <c r="K32" s="289"/>
      <c r="L32" s="289"/>
    </row>
    <row r="33" spans="2:12" x14ac:dyDescent="0.25">
      <c r="B33" s="1026"/>
      <c r="C33" s="1027"/>
      <c r="D33" s="1027"/>
      <c r="E33" s="1028"/>
      <c r="F33" s="129"/>
      <c r="G33" s="289"/>
      <c r="H33" s="289"/>
      <c r="I33" s="289"/>
      <c r="J33" s="289"/>
      <c r="K33" s="289"/>
      <c r="L33" s="289"/>
    </row>
    <row r="34" spans="2:12" x14ac:dyDescent="0.25">
      <c r="B34" s="1026"/>
      <c r="C34" s="1027"/>
      <c r="D34" s="1027"/>
      <c r="E34" s="1028"/>
      <c r="F34" s="129"/>
      <c r="G34" s="289"/>
      <c r="H34" s="289"/>
      <c r="I34" s="289"/>
      <c r="J34" s="289"/>
      <c r="K34" s="289"/>
      <c r="L34" s="289"/>
    </row>
    <row r="35" spans="2:12" x14ac:dyDescent="0.25">
      <c r="B35" s="1029"/>
      <c r="C35" s="1030"/>
      <c r="D35" s="1030"/>
      <c r="E35" s="1031"/>
      <c r="F35" s="129"/>
      <c r="G35" s="289"/>
      <c r="H35" s="289"/>
      <c r="I35" s="289"/>
      <c r="J35" s="289"/>
      <c r="K35" s="289"/>
      <c r="L35" s="289"/>
    </row>
    <row r="36" spans="2:12" x14ac:dyDescent="0.25">
      <c r="G36" s="289"/>
      <c r="H36" s="289"/>
      <c r="I36" s="289"/>
      <c r="J36" s="289"/>
      <c r="K36" s="289"/>
      <c r="L36" s="289"/>
    </row>
    <row r="37" spans="2:12" hidden="1" x14ac:dyDescent="0.25">
      <c r="B37" s="293"/>
      <c r="C37" s="289"/>
      <c r="D37" s="289"/>
      <c r="E37" s="289"/>
      <c r="F37" s="289"/>
      <c r="G37" s="289"/>
      <c r="H37" s="289"/>
      <c r="I37" s="289"/>
      <c r="J37" s="289"/>
      <c r="K37" s="289"/>
      <c r="L37" s="289"/>
    </row>
    <row r="38" spans="2:12" hidden="1" x14ac:dyDescent="0.25">
      <c r="B38" s="293"/>
      <c r="C38" s="289"/>
      <c r="D38" s="289"/>
      <c r="E38" s="289"/>
      <c r="F38" s="289"/>
      <c r="G38" s="289"/>
      <c r="H38" s="289"/>
      <c r="I38" s="289"/>
      <c r="J38" s="289"/>
      <c r="K38" s="289"/>
      <c r="L38" s="289"/>
    </row>
    <row r="39" spans="2:12" x14ac:dyDescent="0.25"/>
  </sheetData>
  <mergeCells count="2">
    <mergeCell ref="B31:E35"/>
    <mergeCell ref="M6:M8"/>
  </mergeCells>
  <phoneticPr fontId="0" type="noConversion"/>
  <conditionalFormatting sqref="M10:M24">
    <cfRule type="cellIs" dxfId="4" priority="10" stopIfTrue="1" operator="notEqual">
      <formula>0</formula>
    </cfRule>
  </conditionalFormatting>
  <conditionalFormatting sqref="D11:L15 D17:L23">
    <cfRule type="cellIs" dxfId="3" priority="12" stopIfTrue="1" operator="lessThan">
      <formula>-1</formula>
    </cfRule>
  </conditionalFormatting>
  <dataValidations count="1">
    <dataValidation type="decimal" allowBlank="1" showErrorMessage="1" error="Endast tal får anges!" sqref="D10:L24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zoomScaleNormal="100" workbookViewId="0"/>
  </sheetViews>
  <sheetFormatPr defaultColWidth="0" defaultRowHeight="12.5" zeroHeight="1" x14ac:dyDescent="0.25"/>
  <cols>
    <col min="1" max="1" width="10.54296875" style="152" customWidth="1"/>
    <col min="2" max="2" width="46.54296875" style="152" customWidth="1"/>
    <col min="3" max="12" width="11.54296875" style="152" customWidth="1"/>
    <col min="13" max="13" width="37.54296875" style="152" customWidth="1"/>
    <col min="14" max="14" width="10.54296875" style="152" customWidth="1"/>
    <col min="15" max="16384" width="25.453125" style="152" hidden="1"/>
  </cols>
  <sheetData>
    <row r="1" spans="1:16" ht="24.75" customHeight="1" x14ac:dyDescent="0.4">
      <c r="A1" s="2" t="s">
        <v>424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5" customFormat="1" ht="13.4" customHeight="1" x14ac:dyDescent="0.25">
      <c r="A2" s="842"/>
      <c r="B2" s="843"/>
      <c r="C2" s="857"/>
      <c r="D2" s="845" t="s">
        <v>473</v>
      </c>
      <c r="E2" s="846"/>
      <c r="F2" s="829" t="s">
        <v>514</v>
      </c>
      <c r="J2" s="843"/>
    </row>
    <row r="3" spans="1:16" s="845" customFormat="1" ht="13.4" customHeight="1" x14ac:dyDescent="0.25">
      <c r="A3" s="847"/>
      <c r="B3" s="843"/>
      <c r="C3" s="858"/>
      <c r="D3" s="845" t="s">
        <v>461</v>
      </c>
      <c r="E3" s="848"/>
      <c r="F3" s="843" t="s">
        <v>515</v>
      </c>
      <c r="J3" s="843"/>
    </row>
    <row r="4" spans="1:16" s="845" customFormat="1" ht="15" customHeight="1" x14ac:dyDescent="0.25">
      <c r="A4" s="847"/>
      <c r="B4" s="847"/>
      <c r="C4" s="843"/>
      <c r="D4" s="843"/>
      <c r="E4" s="843"/>
      <c r="F4" s="830" t="s">
        <v>516</v>
      </c>
      <c r="G4" s="843"/>
      <c r="H4" s="843"/>
      <c r="I4" s="843"/>
      <c r="J4" s="843"/>
    </row>
    <row r="5" spans="1:16" s="538" customFormat="1" ht="13" thickBot="1" x14ac:dyDescent="0.3">
      <c r="A5" s="537" t="s">
        <v>228</v>
      </c>
      <c r="B5" s="538" t="s">
        <v>237</v>
      </c>
      <c r="C5" s="538" t="s">
        <v>238</v>
      </c>
      <c r="D5" s="538" t="s">
        <v>239</v>
      </c>
      <c r="E5" s="538" t="s">
        <v>240</v>
      </c>
      <c r="F5" s="538" t="s">
        <v>249</v>
      </c>
      <c r="G5" s="538" t="s">
        <v>250</v>
      </c>
      <c r="H5" s="538" t="s">
        <v>251</v>
      </c>
      <c r="I5" s="538" t="s">
        <v>252</v>
      </c>
      <c r="J5" s="538" t="s">
        <v>253</v>
      </c>
      <c r="K5" s="538" t="s">
        <v>254</v>
      </c>
      <c r="L5" s="538" t="s">
        <v>265</v>
      </c>
    </row>
    <row r="6" spans="1:16" ht="15.75" customHeight="1" x14ac:dyDescent="0.25">
      <c r="A6" s="12" t="str">
        <f>"R-BAS "&amp;År-2000&amp;""</f>
        <v>R-BAS 24</v>
      </c>
      <c r="B6" s="12"/>
      <c r="C6" s="700" t="s">
        <v>99</v>
      </c>
      <c r="D6" s="123"/>
      <c r="E6" s="124"/>
      <c r="F6" s="124"/>
      <c r="G6" s="124"/>
      <c r="H6" s="124"/>
      <c r="I6" s="124"/>
      <c r="J6" s="124"/>
      <c r="K6" s="124"/>
      <c r="L6" s="125"/>
      <c r="M6" s="1022" t="str">
        <f>IF(COUNTIF(D10:L13, "&lt;0")&gt;0, "Minusbelopp förekommer, var vänlig kommentera i kommentarsrutan längst ned!", "")</f>
        <v/>
      </c>
    </row>
    <row r="7" spans="1:16" ht="16.5" customHeight="1" x14ac:dyDescent="0.25">
      <c r="A7" s="922"/>
      <c r="B7" s="11"/>
      <c r="C7" s="6" t="s">
        <v>282</v>
      </c>
      <c r="D7" s="910" t="s">
        <v>534</v>
      </c>
      <c r="E7" s="919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2" t="s">
        <v>306</v>
      </c>
      <c r="M7" s="1022"/>
    </row>
    <row r="8" spans="1:16" ht="15.75" customHeight="1" x14ac:dyDescent="0.25">
      <c r="A8" s="413"/>
      <c r="B8" s="11"/>
      <c r="C8" s="20"/>
      <c r="D8" s="910"/>
      <c r="E8" s="910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431</v>
      </c>
      <c r="K8" s="6" t="s">
        <v>102</v>
      </c>
      <c r="L8" s="562"/>
      <c r="M8" s="1022"/>
    </row>
    <row r="9" spans="1:16" ht="15.75" customHeight="1" x14ac:dyDescent="0.25">
      <c r="A9" s="413"/>
      <c r="B9" s="10"/>
      <c r="C9" s="114"/>
      <c r="D9" s="920"/>
      <c r="E9" s="920" t="s">
        <v>178</v>
      </c>
      <c r="F9" s="5"/>
      <c r="G9" s="5"/>
      <c r="H9" s="5" t="s">
        <v>105</v>
      </c>
      <c r="I9" s="5"/>
      <c r="J9" s="5" t="s">
        <v>428</v>
      </c>
      <c r="K9" s="5"/>
      <c r="L9" s="563"/>
      <c r="M9" s="280"/>
    </row>
    <row r="10" spans="1:16" s="293" customFormat="1" ht="15.75" customHeight="1" x14ac:dyDescent="0.25">
      <c r="A10" s="817" t="s">
        <v>19</v>
      </c>
      <c r="B10" s="9" t="s">
        <v>51</v>
      </c>
      <c r="C10" s="16">
        <f>'2. Drift.  intäkter'!E40</f>
        <v>0</v>
      </c>
      <c r="D10" s="451"/>
      <c r="E10" s="451"/>
      <c r="F10" s="451"/>
      <c r="G10" s="451"/>
      <c r="H10" s="451"/>
      <c r="I10" s="451"/>
      <c r="J10" s="451"/>
      <c r="K10" s="451"/>
      <c r="L10" s="448"/>
      <c r="M10" s="292" t="str">
        <f>IF(ABS(C10-SUM(D10:L10))&gt;2.99,(ROUND(C10-SUM(D10:L10),0))&amp;" mkr diff.mellan kol C och kol D-L, måste elimineras!","")</f>
        <v/>
      </c>
    </row>
    <row r="11" spans="1:16" ht="15.75" customHeight="1" x14ac:dyDescent="0.25">
      <c r="A11" s="818" t="s">
        <v>57</v>
      </c>
      <c r="B11" s="9" t="s">
        <v>404</v>
      </c>
      <c r="C11" s="16">
        <f>'2. Drift.  intäkter'!G40</f>
        <v>0</v>
      </c>
      <c r="D11" s="432"/>
      <c r="E11" s="432"/>
      <c r="F11" s="432"/>
      <c r="G11" s="432"/>
      <c r="H11" s="432"/>
      <c r="I11" s="432"/>
      <c r="J11" s="432"/>
      <c r="K11" s="432"/>
      <c r="L11" s="452"/>
      <c r="M11" s="924" t="str">
        <f>IF(ABS(C11-SUM(D11:L11))&gt;2.99,(ROUND(C11-SUM(D11:L11),0))&amp;" mkr diff.mellan kol C och kol D-L, måste elimineras!","")</f>
        <v/>
      </c>
      <c r="N11" s="293"/>
      <c r="O11" s="153"/>
    </row>
    <row r="12" spans="1:16" ht="15.75" customHeight="1" x14ac:dyDescent="0.25">
      <c r="A12" s="818" t="s">
        <v>74</v>
      </c>
      <c r="B12" s="921" t="s">
        <v>526</v>
      </c>
      <c r="C12" s="16">
        <f>'7. Spec kostnader'!C20</f>
        <v>0</v>
      </c>
      <c r="D12" s="432"/>
      <c r="E12" s="432"/>
      <c r="F12" s="432"/>
      <c r="G12" s="432"/>
      <c r="H12" s="432"/>
      <c r="I12" s="432"/>
      <c r="J12" s="432"/>
      <c r="K12" s="432"/>
      <c r="L12" s="452"/>
      <c r="M12" s="292" t="str">
        <f>IF(ABS(C12-SUM(D12:L12))&gt;2.99,(ROUND(C12-SUM(D12:L12),0))&amp;" mkr diff.mellan kol C och kol D-L, måste elimineras!","")</f>
        <v/>
      </c>
      <c r="N12" s="293"/>
      <c r="O12" s="296"/>
    </row>
    <row r="13" spans="1:16" ht="15.75" customHeight="1" thickBot="1" x14ac:dyDescent="0.35">
      <c r="A13" s="536" t="s">
        <v>266</v>
      </c>
      <c r="B13" s="415" t="s">
        <v>425</v>
      </c>
      <c r="C13" s="646">
        <f>SUM(D13:L13)</f>
        <v>0</v>
      </c>
      <c r="D13" s="453"/>
      <c r="E13" s="453"/>
      <c r="F13" s="453"/>
      <c r="G13" s="453"/>
      <c r="H13" s="453"/>
      <c r="I13" s="453"/>
      <c r="J13" s="453"/>
      <c r="K13" s="453"/>
      <c r="L13" s="454"/>
      <c r="M13" s="292"/>
      <c r="N13" s="297"/>
      <c r="O13" s="296"/>
      <c r="P13" s="272" t="str">
        <f>IF(O13&gt;O12,"Observera att däravbelopp större än huvudbelopp","")</f>
        <v/>
      </c>
    </row>
    <row r="14" spans="1:16" ht="15.75" customHeight="1" x14ac:dyDescent="0.3">
      <c r="A14" s="416"/>
      <c r="B14" s="129"/>
      <c r="C14" s="819"/>
      <c r="D14" s="819"/>
      <c r="E14" s="819"/>
      <c r="F14" s="819"/>
      <c r="G14" s="819"/>
      <c r="H14" s="819"/>
      <c r="I14" s="819"/>
      <c r="J14" s="819"/>
      <c r="K14" s="819"/>
      <c r="L14" s="820"/>
      <c r="M14" s="280"/>
      <c r="N14" s="297"/>
      <c r="O14" s="296"/>
      <c r="P14" s="272"/>
    </row>
    <row r="15" spans="1:16" ht="15.75" customHeight="1" thickBot="1" x14ac:dyDescent="0.4">
      <c r="A15" s="138" t="s">
        <v>342</v>
      </c>
      <c r="B15" s="419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280"/>
      <c r="N15" s="297"/>
      <c r="O15" s="296"/>
      <c r="P15" s="272"/>
    </row>
    <row r="16" spans="1:16" ht="15.75" customHeight="1" x14ac:dyDescent="0.25">
      <c r="A16" s="706" t="s">
        <v>433</v>
      </c>
      <c r="B16" s="701" t="str">
        <f>"Försäljning av tjänster ("&amp;År-1&amp;")"</f>
        <v>Försäljning av tjänster (2023)</v>
      </c>
      <c r="C16" s="455"/>
      <c r="D16" s="455"/>
      <c r="E16" s="455"/>
      <c r="F16" s="455"/>
      <c r="G16" s="455"/>
      <c r="H16" s="455"/>
      <c r="I16" s="455"/>
      <c r="J16" s="455"/>
      <c r="K16" s="455"/>
      <c r="L16" s="814"/>
      <c r="M16" s="294"/>
      <c r="O16" s="153"/>
    </row>
    <row r="17" spans="1:13" ht="15.75" customHeight="1" x14ac:dyDescent="0.25">
      <c r="A17" s="539" t="s">
        <v>339</v>
      </c>
      <c r="B17" s="666" t="str">
        <f>"Erhållna bidrag ("&amp;År-1&amp;")"</f>
        <v>Erhållna bidrag (2023)</v>
      </c>
      <c r="C17" s="75"/>
      <c r="D17" s="75"/>
      <c r="E17" s="75"/>
      <c r="F17" s="75"/>
      <c r="G17" s="75"/>
      <c r="H17" s="75"/>
      <c r="I17" s="75"/>
      <c r="J17" s="75"/>
      <c r="K17" s="75"/>
      <c r="L17" s="485"/>
      <c r="M17" s="295"/>
    </row>
    <row r="18" spans="1:13" ht="15.75" customHeight="1" x14ac:dyDescent="0.25">
      <c r="A18" s="539" t="s">
        <v>340</v>
      </c>
      <c r="B18" s="666" t="str">
        <f>"Verksamhetsanknutna tjänster ("&amp;År-1&amp;")"</f>
        <v>Verksamhetsanknutna tjänster (2023)</v>
      </c>
      <c r="C18" s="75"/>
      <c r="D18" s="75"/>
      <c r="E18" s="75"/>
      <c r="F18" s="75"/>
      <c r="G18" s="75"/>
      <c r="H18" s="75"/>
      <c r="I18" s="75"/>
      <c r="J18" s="75"/>
      <c r="K18" s="75"/>
      <c r="L18" s="485"/>
      <c r="M18" s="295"/>
    </row>
    <row r="19" spans="1:13" ht="15.75" customHeight="1" x14ac:dyDescent="0.25">
      <c r="A19" s="540" t="s">
        <v>341</v>
      </c>
      <c r="B19" s="667" t="str">
        <f>"   därav inhyrd personal  ("&amp;År-1&amp;")"</f>
        <v xml:space="preserve">   därav inhyrd personal  (2023)</v>
      </c>
      <c r="C19" s="719"/>
      <c r="D19" s="719"/>
      <c r="E19" s="719"/>
      <c r="F19" s="719"/>
      <c r="G19" s="719"/>
      <c r="H19" s="719"/>
      <c r="I19" s="719"/>
      <c r="J19" s="719"/>
      <c r="K19" s="719"/>
      <c r="L19" s="815"/>
      <c r="M19" s="295"/>
    </row>
    <row r="20" spans="1:13" ht="15.75" customHeight="1" x14ac:dyDescent="0.25">
      <c r="A20" s="539" t="s">
        <v>434</v>
      </c>
      <c r="B20" s="663" t="str">
        <f>"Försäljning av tjänster (förändring "&amp;År-1&amp;-År&amp;")"</f>
        <v>Försäljning av tjänster (förändring 2023-2024)</v>
      </c>
      <c r="C20" s="52">
        <f>C10-C16</f>
        <v>0</v>
      </c>
      <c r="D20" s="52">
        <f t="shared" ref="D20:L20" si="0">D10-D16</f>
        <v>0</v>
      </c>
      <c r="E20" s="52">
        <f t="shared" si="0"/>
        <v>0</v>
      </c>
      <c r="F20" s="52">
        <f t="shared" si="0"/>
        <v>0</v>
      </c>
      <c r="G20" s="52">
        <f t="shared" si="0"/>
        <v>0</v>
      </c>
      <c r="H20" s="52">
        <f t="shared" si="0"/>
        <v>0</v>
      </c>
      <c r="I20" s="52">
        <f t="shared" si="0"/>
        <v>0</v>
      </c>
      <c r="J20" s="52">
        <f t="shared" si="0"/>
        <v>0</v>
      </c>
      <c r="K20" s="52">
        <f t="shared" si="0"/>
        <v>0</v>
      </c>
      <c r="L20" s="485">
        <f t="shared" si="0"/>
        <v>0</v>
      </c>
      <c r="M20" s="391"/>
    </row>
    <row r="21" spans="1:13" ht="15.75" customHeight="1" x14ac:dyDescent="0.25">
      <c r="A21" s="539" t="s">
        <v>435</v>
      </c>
      <c r="B21" s="666" t="str">
        <f>"Erhållna bidrag (förändring "&amp;År-1&amp;-År&amp;")"</f>
        <v>Erhållna bidrag (förändring 2023-2024)</v>
      </c>
      <c r="C21" s="75">
        <f t="shared" ref="C21:L23" si="1">C11-C17</f>
        <v>0</v>
      </c>
      <c r="D21" s="75">
        <f t="shared" si="1"/>
        <v>0</v>
      </c>
      <c r="E21" s="75">
        <f t="shared" si="1"/>
        <v>0</v>
      </c>
      <c r="F21" s="75">
        <f t="shared" si="1"/>
        <v>0</v>
      </c>
      <c r="G21" s="75">
        <f t="shared" si="1"/>
        <v>0</v>
      </c>
      <c r="H21" s="75">
        <f t="shared" si="1"/>
        <v>0</v>
      </c>
      <c r="I21" s="75">
        <f t="shared" si="1"/>
        <v>0</v>
      </c>
      <c r="J21" s="75">
        <f t="shared" si="1"/>
        <v>0</v>
      </c>
      <c r="K21" s="75">
        <f t="shared" si="1"/>
        <v>0</v>
      </c>
      <c r="L21" s="485">
        <f t="shared" si="1"/>
        <v>0</v>
      </c>
      <c r="M21" s="391"/>
    </row>
    <row r="22" spans="1:13" ht="15.75" customHeight="1" x14ac:dyDescent="0.25">
      <c r="A22" s="539" t="s">
        <v>343</v>
      </c>
      <c r="B22" s="666" t="str">
        <f>"Verksamhetsanknutna tjänster (förändring "&amp;År-1&amp;-År&amp;")"</f>
        <v>Verksamhetsanknutna tjänster (förändring 2023-2024)</v>
      </c>
      <c r="C22" s="75">
        <f>C12-C18</f>
        <v>0</v>
      </c>
      <c r="D22" s="75">
        <f t="shared" ref="D22:L22" si="2">D12-D18</f>
        <v>0</v>
      </c>
      <c r="E22" s="75">
        <f t="shared" si="2"/>
        <v>0</v>
      </c>
      <c r="F22" s="75">
        <f t="shared" si="2"/>
        <v>0</v>
      </c>
      <c r="G22" s="75">
        <f t="shared" si="2"/>
        <v>0</v>
      </c>
      <c r="H22" s="75">
        <f t="shared" si="2"/>
        <v>0</v>
      </c>
      <c r="I22" s="75">
        <f t="shared" si="2"/>
        <v>0</v>
      </c>
      <c r="J22" s="75">
        <f t="shared" si="2"/>
        <v>0</v>
      </c>
      <c r="K22" s="75">
        <f t="shared" si="2"/>
        <v>0</v>
      </c>
      <c r="L22" s="485">
        <f t="shared" si="2"/>
        <v>0</v>
      </c>
      <c r="M22" s="391"/>
    </row>
    <row r="23" spans="1:13" ht="15.75" customHeight="1" thickBot="1" x14ac:dyDescent="0.3">
      <c r="A23" s="541" t="s">
        <v>344</v>
      </c>
      <c r="B23" s="702" t="str">
        <f>"   därav inhyrd personal (förändring "&amp;År-1&amp;-År&amp;")"</f>
        <v xml:space="preserve">   därav inhyrd personal (förändring 2023-2024)</v>
      </c>
      <c r="C23" s="442">
        <f t="shared" si="1"/>
        <v>0</v>
      </c>
      <c r="D23" s="442">
        <f t="shared" si="1"/>
        <v>0</v>
      </c>
      <c r="E23" s="442">
        <f t="shared" si="1"/>
        <v>0</v>
      </c>
      <c r="F23" s="442">
        <f t="shared" si="1"/>
        <v>0</v>
      </c>
      <c r="G23" s="442">
        <f t="shared" si="1"/>
        <v>0</v>
      </c>
      <c r="H23" s="442">
        <f t="shared" si="1"/>
        <v>0</v>
      </c>
      <c r="I23" s="442">
        <f t="shared" si="1"/>
        <v>0</v>
      </c>
      <c r="J23" s="442">
        <f t="shared" si="1"/>
        <v>0</v>
      </c>
      <c r="K23" s="442">
        <f t="shared" si="1"/>
        <v>0</v>
      </c>
      <c r="L23" s="816">
        <f t="shared" si="1"/>
        <v>0</v>
      </c>
      <c r="M23" s="391"/>
    </row>
    <row r="24" spans="1:13" x14ac:dyDescent="0.25">
      <c r="A24" s="275"/>
      <c r="B24" s="129"/>
      <c r="C24" s="131"/>
      <c r="D24" s="129"/>
      <c r="E24" s="129"/>
      <c r="F24" s="129"/>
      <c r="G24" s="129"/>
      <c r="H24" s="129"/>
      <c r="I24" s="129"/>
      <c r="J24" s="129"/>
      <c r="K24" s="129"/>
      <c r="L24" s="129"/>
      <c r="M24" s="295"/>
    </row>
    <row r="25" spans="1:13" ht="13" x14ac:dyDescent="0.3">
      <c r="A25" s="298"/>
      <c r="B25" s="129"/>
      <c r="C25" s="131"/>
      <c r="D25" s="129"/>
      <c r="E25" s="129"/>
      <c r="F25" s="129"/>
      <c r="G25" s="129"/>
      <c r="H25" s="129"/>
      <c r="I25" s="129"/>
      <c r="J25" s="129"/>
      <c r="K25" s="129"/>
      <c r="L25" s="129"/>
      <c r="M25" s="295"/>
    </row>
    <row r="26" spans="1:13" ht="13" x14ac:dyDescent="0.3">
      <c r="A26" s="298"/>
      <c r="B26" s="271" t="s">
        <v>396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295"/>
    </row>
    <row r="27" spans="1:13" ht="13" x14ac:dyDescent="0.3">
      <c r="A27" s="298"/>
      <c r="B27" s="1011"/>
      <c r="C27" s="1024"/>
      <c r="D27" s="1024"/>
      <c r="E27" s="1025"/>
      <c r="F27" s="923"/>
      <c r="G27" s="129"/>
      <c r="H27" s="129"/>
      <c r="I27" s="129"/>
      <c r="J27" s="129"/>
      <c r="K27" s="129"/>
      <c r="L27" s="129"/>
      <c r="M27" s="295"/>
    </row>
    <row r="28" spans="1:13" ht="13" x14ac:dyDescent="0.3">
      <c r="A28" s="298"/>
      <c r="B28" s="1026"/>
      <c r="C28" s="1027"/>
      <c r="D28" s="1027"/>
      <c r="E28" s="1028"/>
      <c r="F28" s="129"/>
      <c r="G28" s="129"/>
      <c r="H28" s="129"/>
      <c r="I28" s="129"/>
      <c r="J28" s="129"/>
      <c r="K28" s="129"/>
      <c r="L28" s="129"/>
      <c r="M28" s="295"/>
    </row>
    <row r="29" spans="1:13" ht="13" x14ac:dyDescent="0.3">
      <c r="A29" s="298"/>
      <c r="B29" s="1026"/>
      <c r="C29" s="1027"/>
      <c r="D29" s="1027"/>
      <c r="E29" s="1028"/>
      <c r="F29" s="129"/>
      <c r="G29" s="129"/>
      <c r="H29" s="129"/>
      <c r="I29" s="129"/>
      <c r="J29" s="129"/>
      <c r="K29" s="129"/>
      <c r="L29" s="129"/>
      <c r="M29" s="295"/>
    </row>
    <row r="30" spans="1:13" ht="13" x14ac:dyDescent="0.3">
      <c r="A30" s="298"/>
      <c r="B30" s="1026"/>
      <c r="C30" s="1027"/>
      <c r="D30" s="1027"/>
      <c r="E30" s="1028"/>
      <c r="F30" s="129"/>
      <c r="G30" s="129"/>
      <c r="H30" s="129"/>
      <c r="I30" s="129"/>
      <c r="J30" s="129"/>
      <c r="K30" s="129"/>
      <c r="L30" s="129"/>
      <c r="M30" s="295"/>
    </row>
    <row r="31" spans="1:13" ht="13" x14ac:dyDescent="0.3">
      <c r="A31" s="298"/>
      <c r="B31" s="1029"/>
      <c r="C31" s="1030"/>
      <c r="D31" s="1030"/>
      <c r="E31" s="1031"/>
      <c r="F31" s="129"/>
      <c r="G31" s="129"/>
      <c r="H31" s="129"/>
      <c r="I31" s="129"/>
      <c r="J31" s="129"/>
      <c r="K31" s="129"/>
      <c r="L31" s="129"/>
      <c r="M31" s="295"/>
    </row>
    <row r="32" spans="1:13" ht="13" x14ac:dyDescent="0.3">
      <c r="A32" s="298"/>
      <c r="G32" s="129"/>
      <c r="H32" s="129"/>
      <c r="I32" s="129"/>
      <c r="J32" s="129"/>
      <c r="K32" s="129"/>
      <c r="L32" s="129"/>
      <c r="M32" s="295"/>
    </row>
    <row r="33" spans="1:13" ht="13" hidden="1" x14ac:dyDescent="0.3">
      <c r="A33" s="298"/>
      <c r="B33" s="129"/>
      <c r="C33" s="131"/>
      <c r="D33" s="129"/>
      <c r="E33" s="129"/>
      <c r="F33" s="129"/>
      <c r="G33" s="129"/>
      <c r="H33" s="129"/>
      <c r="I33" s="129"/>
      <c r="J33" s="129"/>
      <c r="K33" s="129"/>
      <c r="L33" s="129"/>
      <c r="M33" s="295"/>
    </row>
    <row r="34" spans="1:13" ht="13" hidden="1" x14ac:dyDescent="0.3">
      <c r="A34" s="298"/>
      <c r="B34" s="129"/>
      <c r="C34" s="131"/>
      <c r="D34" s="129"/>
      <c r="E34" s="129"/>
      <c r="F34" s="129"/>
      <c r="G34" s="129"/>
      <c r="H34" s="129"/>
      <c r="I34" s="129"/>
      <c r="J34" s="129"/>
      <c r="K34" s="129"/>
      <c r="L34" s="129"/>
      <c r="M34" s="295"/>
    </row>
    <row r="35" spans="1:13" x14ac:dyDescent="0.25"/>
  </sheetData>
  <mergeCells count="2">
    <mergeCell ref="B27:E31"/>
    <mergeCell ref="M6:M8"/>
  </mergeCells>
  <phoneticPr fontId="0" type="noConversion"/>
  <conditionalFormatting sqref="D10:L12 A10:A12">
    <cfRule type="cellIs" dxfId="2" priority="13" stopIfTrue="1" operator="lessThan">
      <formula>-1</formula>
    </cfRule>
  </conditionalFormatting>
  <conditionalFormatting sqref="M10:M13">
    <cfRule type="cellIs" dxfId="1" priority="2" stopIfTrue="1" operator="notEqual">
      <formula>0</formula>
    </cfRule>
  </conditionalFormatting>
  <conditionalFormatting sqref="D13:L13">
    <cfRule type="expression" dxfId="0" priority="1" stopIfTrue="1">
      <formula>IF(AND(D13&gt;D12),"sant","falskt")</formula>
    </cfRule>
  </conditionalFormatting>
  <dataValidations count="1">
    <dataValidation type="decimal" allowBlank="1" showErrorMessage="1" error="Endast tal får anges!" sqref="D10:L14 C14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A3" sqref="A3"/>
    </sheetView>
  </sheetViews>
  <sheetFormatPr defaultRowHeight="12.5" x14ac:dyDescent="0.25"/>
  <cols>
    <col min="1" max="1" width="13.453125" customWidth="1"/>
    <col min="2" max="2" width="19.54296875" bestFit="1" customWidth="1"/>
  </cols>
  <sheetData>
    <row r="1" spans="1:5" x14ac:dyDescent="0.25">
      <c r="A1" s="970">
        <f>'1. Nettokostnader'!H81</f>
        <v>0</v>
      </c>
      <c r="B1" t="s">
        <v>492</v>
      </c>
      <c r="C1">
        <f>IF(AND(A1&lt;&gt;"",D1=0,E1=0), A1,"")</f>
        <v>0</v>
      </c>
      <c r="D1">
        <f>kom_1_jamf</f>
        <v>0</v>
      </c>
      <c r="E1">
        <f>kom_1_reg</f>
        <v>0</v>
      </c>
    </row>
    <row r="2" spans="1:5" x14ac:dyDescent="0.25">
      <c r="A2" s="970">
        <f>'1. Nettokostnader'!H82</f>
        <v>0</v>
      </c>
      <c r="B2" t="s">
        <v>492</v>
      </c>
      <c r="C2">
        <f>IF(AND(A2&lt;&gt;"",D2=0,E2=0), A2,"")</f>
        <v>0</v>
      </c>
      <c r="D2">
        <f>kom_1_jamf</f>
        <v>0</v>
      </c>
      <c r="E2">
        <f>kom_1_reg</f>
        <v>0</v>
      </c>
    </row>
    <row r="3" spans="1:5" x14ac:dyDescent="0.25">
      <c r="A3" s="970">
        <f>'1. Nettokostnader'!H83</f>
        <v>0</v>
      </c>
      <c r="B3" t="s">
        <v>493</v>
      </c>
      <c r="C3">
        <f t="shared" ref="C3:C10" si="0">IF(AND(A3&lt;&gt;"",D3=0,E3=0), A3,"")</f>
        <v>0</v>
      </c>
      <c r="D3">
        <f>kom_1_jamf</f>
        <v>0</v>
      </c>
      <c r="E3">
        <f>kom_1_reg</f>
        <v>0</v>
      </c>
    </row>
    <row r="4" spans="1:5" x14ac:dyDescent="0.25">
      <c r="A4">
        <f>'1. Nettokostnader'!H84</f>
        <v>0</v>
      </c>
      <c r="B4" t="s">
        <v>494</v>
      </c>
      <c r="C4">
        <f t="shared" si="0"/>
        <v>0</v>
      </c>
      <c r="D4">
        <f>kom_1_jamf</f>
        <v>0</v>
      </c>
      <c r="E4">
        <f>kom_1_reg</f>
        <v>0</v>
      </c>
    </row>
    <row r="5" spans="1:5" x14ac:dyDescent="0.25">
      <c r="A5" t="str">
        <f>'1. Nettokostnader'!E78</f>
        <v/>
      </c>
      <c r="B5" t="s">
        <v>495</v>
      </c>
      <c r="C5" t="str">
        <f t="shared" si="0"/>
        <v/>
      </c>
      <c r="D5">
        <f>kom_1_jamf</f>
        <v>0</v>
      </c>
      <c r="E5">
        <f>kom_1_reg</f>
        <v>0</v>
      </c>
    </row>
    <row r="6" spans="1:5" x14ac:dyDescent="0.25">
      <c r="A6" t="str">
        <f>'2. Drift.  intäkter'!L50</f>
        <v/>
      </c>
      <c r="B6" t="s">
        <v>496</v>
      </c>
      <c r="C6" t="str">
        <f t="shared" si="0"/>
        <v/>
      </c>
      <c r="D6">
        <f>kom_2_jamf</f>
        <v>0</v>
      </c>
      <c r="E6">
        <f>kom_2_reg</f>
        <v>0</v>
      </c>
    </row>
    <row r="7" spans="1:5" x14ac:dyDescent="0.25">
      <c r="A7" s="970" t="str">
        <f>'2. Drift.  intäkter'!L47</f>
        <v/>
      </c>
      <c r="B7" t="s">
        <v>497</v>
      </c>
      <c r="C7" t="str">
        <f t="shared" si="0"/>
        <v/>
      </c>
      <c r="D7">
        <f>kom_2_jamf</f>
        <v>0</v>
      </c>
      <c r="E7">
        <f>kom_2_reg</f>
        <v>0</v>
      </c>
    </row>
    <row r="8" spans="1:5" x14ac:dyDescent="0.25">
      <c r="A8" t="str">
        <f>'3. Drift. kostnader'!N53</f>
        <v/>
      </c>
      <c r="B8" t="s">
        <v>498</v>
      </c>
      <c r="C8" t="str">
        <f t="shared" si="0"/>
        <v/>
      </c>
      <c r="D8">
        <f>kom_2_jamf</f>
        <v>0</v>
      </c>
      <c r="E8">
        <f>kom_2_reg</f>
        <v>0</v>
      </c>
    </row>
    <row r="9" spans="1:5" x14ac:dyDescent="0.25">
      <c r="A9" t="str">
        <f>'3. Drift. kostnader'!N50</f>
        <v/>
      </c>
      <c r="B9" t="s">
        <v>499</v>
      </c>
      <c r="C9" t="str">
        <f t="shared" si="0"/>
        <v/>
      </c>
      <c r="D9">
        <f>kom_2_jamf</f>
        <v>0</v>
      </c>
      <c r="E9">
        <f>kom_2_reg</f>
        <v>0</v>
      </c>
    </row>
    <row r="10" spans="1:5" x14ac:dyDescent="0.25">
      <c r="A10" t="str">
        <f>'5. Investeringar'!J36</f>
        <v/>
      </c>
      <c r="B10" t="s">
        <v>500</v>
      </c>
      <c r="C10" t="str">
        <f t="shared" si="0"/>
        <v/>
      </c>
      <c r="D10">
        <f>kom_5</f>
        <v>0</v>
      </c>
      <c r="E10">
        <f>kom_5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T1079"/>
  <sheetViews>
    <sheetView zoomScaleNormal="100" zoomScalePageLayoutView="80" workbookViewId="0"/>
  </sheetViews>
  <sheetFormatPr defaultColWidth="0" defaultRowHeight="15" customHeight="1" zeroHeight="1" x14ac:dyDescent="0.3"/>
  <cols>
    <col min="1" max="1" width="8.453125" style="143" customWidth="1"/>
    <col min="2" max="2" width="48.54296875" style="129" customWidth="1"/>
    <col min="3" max="3" width="11.453125" style="129" customWidth="1"/>
    <col min="4" max="4" width="12.54296875" style="236" customWidth="1"/>
    <col min="5" max="5" width="15.453125" style="129" customWidth="1"/>
    <col min="6" max="6" width="15.54296875" style="129" customWidth="1"/>
    <col min="7" max="7" width="3.54296875" style="129" customWidth="1"/>
    <col min="8" max="8" width="12.54296875" style="195" customWidth="1"/>
    <col min="9" max="9" width="13.54296875" style="129" customWidth="1"/>
    <col min="10" max="10" width="3.453125" style="129" customWidth="1"/>
    <col min="11" max="11" width="16.453125" style="166" customWidth="1"/>
    <col min="12" max="12" width="19.453125" style="129" customWidth="1"/>
    <col min="13" max="13" width="16.54296875" style="182" customWidth="1"/>
    <col min="14" max="14" width="36.453125" style="182" customWidth="1"/>
    <col min="15" max="15" width="24.453125" style="129" customWidth="1"/>
    <col min="16" max="16" width="22.453125" style="129" customWidth="1"/>
    <col min="17" max="17" width="5.54296875" style="129" customWidth="1"/>
    <col min="18" max="18" width="7.54296875" style="129" customWidth="1"/>
    <col min="19" max="19" width="7.453125" style="129" customWidth="1"/>
    <col min="20" max="20" width="8.453125" style="129" hidden="1" customWidth="1"/>
    <col min="21" max="21" width="6.453125" style="129" hidden="1" customWidth="1"/>
    <col min="22" max="22" width="12.453125" style="129" hidden="1" customWidth="1"/>
    <col min="23" max="23" width="10.453125" style="129" hidden="1" customWidth="1"/>
    <col min="24" max="16384" width="28.453125" style="129" hidden="1"/>
  </cols>
  <sheetData>
    <row r="1" spans="1:23" ht="24" customHeight="1" x14ac:dyDescent="0.4">
      <c r="A1" s="2" t="s">
        <v>348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</row>
    <row r="2" spans="1:23" ht="13.4" customHeight="1" x14ac:dyDescent="0.25">
      <c r="A2" s="551"/>
      <c r="B2" s="925"/>
      <c r="C2" s="863"/>
      <c r="D2" s="129" t="s">
        <v>473</v>
      </c>
      <c r="E2" s="802"/>
      <c r="F2" s="129" t="s">
        <v>514</v>
      </c>
      <c r="G2" s="166"/>
      <c r="H2" s="142"/>
      <c r="I2" s="798" t="s">
        <v>516</v>
      </c>
      <c r="K2" s="141"/>
      <c r="L2" s="141"/>
      <c r="M2" s="141"/>
      <c r="N2" s="141"/>
      <c r="O2" s="141"/>
      <c r="P2" s="141"/>
    </row>
    <row r="3" spans="1:23" ht="13.4" customHeight="1" x14ac:dyDescent="0.25">
      <c r="A3" s="551"/>
      <c r="B3" s="862"/>
      <c r="C3" s="718"/>
      <c r="D3" s="129" t="s">
        <v>461</v>
      </c>
      <c r="E3" s="799"/>
      <c r="F3" s="142" t="s">
        <v>515</v>
      </c>
      <c r="G3" s="166"/>
      <c r="H3" s="142"/>
      <c r="I3" s="142"/>
      <c r="K3" s="141"/>
      <c r="L3" s="141"/>
      <c r="M3" s="141"/>
      <c r="N3" s="141"/>
      <c r="O3" s="141"/>
      <c r="P3" s="141"/>
    </row>
    <row r="4" spans="1:23" ht="24" customHeight="1" x14ac:dyDescent="0.25">
      <c r="A4" s="142"/>
      <c r="B4" s="142"/>
      <c r="C4" s="932"/>
      <c r="D4" s="845"/>
      <c r="F4" s="145"/>
      <c r="H4" s="142"/>
      <c r="I4" s="142"/>
      <c r="K4" s="142"/>
      <c r="L4" s="142"/>
      <c r="M4" s="142"/>
      <c r="N4" s="142"/>
      <c r="O4" s="142"/>
      <c r="P4" s="142"/>
    </row>
    <row r="5" spans="1:23" s="508" customFormat="1" ht="15" customHeight="1" thickBot="1" x14ac:dyDescent="0.3">
      <c r="A5" s="509" t="s">
        <v>228</v>
      </c>
      <c r="B5" s="509" t="s">
        <v>248</v>
      </c>
      <c r="C5" s="509" t="s">
        <v>238</v>
      </c>
      <c r="D5" s="509" t="s">
        <v>239</v>
      </c>
      <c r="E5" s="509" t="s">
        <v>240</v>
      </c>
      <c r="F5" s="509" t="s">
        <v>249</v>
      </c>
      <c r="G5" s="509"/>
      <c r="H5" s="509" t="s">
        <v>250</v>
      </c>
      <c r="I5" s="509"/>
      <c r="J5" s="509"/>
      <c r="K5" s="509" t="s">
        <v>253</v>
      </c>
      <c r="L5" s="586"/>
      <c r="N5" s="502" t="str">
        <f>IF(OR(COUNTIF(C10:C83, "&lt;0")&gt;0, COUNTIF(E10:F44, "&lt;0")&gt;0), "Minusbelopp förekommer, var vänlig kommentera!", "")</f>
        <v/>
      </c>
    </row>
    <row r="6" spans="1:23" ht="15" customHeight="1" x14ac:dyDescent="0.35">
      <c r="A6" s="531" t="s">
        <v>406</v>
      </c>
      <c r="B6" s="12" t="s">
        <v>32</v>
      </c>
      <c r="C6" s="102" t="s">
        <v>476</v>
      </c>
      <c r="D6" s="420"/>
      <c r="E6" s="61" t="s">
        <v>169</v>
      </c>
      <c r="F6" s="85"/>
      <c r="H6" s="82" t="s">
        <v>477</v>
      </c>
      <c r="I6" s="97"/>
      <c r="J6" s="168"/>
      <c r="K6" s="82" t="s">
        <v>477</v>
      </c>
      <c r="L6" s="585"/>
      <c r="M6" s="63"/>
      <c r="N6" s="589"/>
      <c r="O6" s="83" t="str">
        <f>"Folkmängd   "&amp;År&amp;""</f>
        <v>Folkmängd   2024</v>
      </c>
      <c r="P6" s="84"/>
      <c r="Q6" s="85"/>
    </row>
    <row r="7" spans="1:23" s="254" customFormat="1" ht="15" customHeight="1" x14ac:dyDescent="0.3">
      <c r="A7" s="665" t="s">
        <v>407</v>
      </c>
      <c r="B7" s="11"/>
      <c r="C7" s="40"/>
      <c r="D7" s="5"/>
      <c r="E7" s="40"/>
      <c r="F7" s="67"/>
      <c r="G7" s="129"/>
      <c r="H7" s="27" t="s">
        <v>291</v>
      </c>
      <c r="I7" s="407"/>
      <c r="J7" s="169"/>
      <c r="K7" s="14" t="s">
        <v>291</v>
      </c>
      <c r="L7" s="162"/>
      <c r="M7" s="5"/>
      <c r="N7" s="6" t="s">
        <v>588</v>
      </c>
      <c r="O7" s="162" t="str">
        <f>"Folkmängd   "&amp;År-1&amp;""</f>
        <v>Folkmängd   2023</v>
      </c>
      <c r="P7" s="86"/>
      <c r="Q7" s="87"/>
    </row>
    <row r="8" spans="1:23" s="254" customFormat="1" ht="15" customHeight="1" x14ac:dyDescent="0.3">
      <c r="A8" s="665"/>
      <c r="B8" s="11"/>
      <c r="C8" s="103">
        <f>År</f>
        <v>2024</v>
      </c>
      <c r="D8" s="104">
        <f>År-1</f>
        <v>2023</v>
      </c>
      <c r="E8" s="587" t="s">
        <v>172</v>
      </c>
      <c r="F8" s="568" t="s">
        <v>173</v>
      </c>
      <c r="G8" s="569"/>
      <c r="H8" s="727">
        <f>År</f>
        <v>2024</v>
      </c>
      <c r="I8" s="728">
        <f>År-1</f>
        <v>2023</v>
      </c>
      <c r="J8" s="169"/>
      <c r="K8" s="727">
        <f>År</f>
        <v>2024</v>
      </c>
      <c r="L8" s="584">
        <f>År-1</f>
        <v>2023</v>
      </c>
      <c r="M8" s="6" t="s">
        <v>292</v>
      </c>
      <c r="N8" s="985"/>
      <c r="O8" s="938" t="s">
        <v>290</v>
      </c>
      <c r="P8" s="88"/>
      <c r="Q8" s="80"/>
    </row>
    <row r="9" spans="1:23" s="254" customFormat="1" ht="25.5" customHeight="1" x14ac:dyDescent="0.3">
      <c r="A9" s="406"/>
      <c r="B9" s="10"/>
      <c r="C9" s="105"/>
      <c r="D9" s="106"/>
      <c r="E9" s="567" t="s">
        <v>359</v>
      </c>
      <c r="F9" s="931" t="s">
        <v>538</v>
      </c>
      <c r="G9" s="570"/>
      <c r="H9" s="406"/>
      <c r="I9" s="421"/>
      <c r="J9" s="170"/>
      <c r="K9" s="565" t="s">
        <v>358</v>
      </c>
      <c r="L9" s="566" t="s">
        <v>358</v>
      </c>
      <c r="M9" s="89" t="s">
        <v>363</v>
      </c>
      <c r="N9" s="986"/>
      <c r="O9" s="588"/>
      <c r="P9" s="162"/>
      <c r="Q9" s="407"/>
    </row>
    <row r="10" spans="1:23" s="254" customFormat="1" ht="21.75" customHeight="1" x14ac:dyDescent="0.3">
      <c r="A10" s="99" t="s">
        <v>233</v>
      </c>
      <c r="B10" s="552" t="s">
        <v>382</v>
      </c>
      <c r="C10" s="572">
        <f>C11+C22+C27+C32+C37+C49</f>
        <v>0</v>
      </c>
      <c r="D10" s="428"/>
      <c r="E10" s="575">
        <f>E11+E22+E27+E32+E37</f>
        <v>0</v>
      </c>
      <c r="F10" s="576">
        <f>F11+F22+F27+F32+F37</f>
        <v>0</v>
      </c>
      <c r="G10" s="182"/>
      <c r="H10" s="578">
        <f>H11+H22+H27+H32+H37+H49</f>
        <v>0</v>
      </c>
      <c r="I10" s="430"/>
      <c r="J10" s="170"/>
      <c r="K10" s="431" t="e">
        <f>H10*1000000/$P$6</f>
        <v>#DIV/0!</v>
      </c>
      <c r="L10" s="51" t="e">
        <f>I10*1000000/$P$7</f>
        <v>#DIV/0!</v>
      </c>
      <c r="M10" s="542" t="e">
        <f>IF(L10=0,"0%",(K10-L10)/L10)</f>
        <v>#DIV/0!</v>
      </c>
      <c r="N10" s="163"/>
      <c r="O10" s="340"/>
      <c r="P10" s="40"/>
      <c r="Q10" s="80"/>
      <c r="W10" s="131" t="e">
        <f>IF(ABS(M10)&gt;8%,H10-I10,1)</f>
        <v>#DIV/0!</v>
      </c>
    </row>
    <row r="11" spans="1:23" s="130" customFormat="1" ht="15" customHeight="1" x14ac:dyDescent="0.3">
      <c r="A11" s="99" t="s">
        <v>179</v>
      </c>
      <c r="B11" s="17" t="s">
        <v>364</v>
      </c>
      <c r="C11" s="573">
        <f>SUM(C12:C19)</f>
        <v>0</v>
      </c>
      <c r="D11" s="478"/>
      <c r="E11" s="573">
        <f>SUM(E12:E19)</f>
        <v>0</v>
      </c>
      <c r="F11" s="577">
        <f>SUM(F12:F19)</f>
        <v>0</v>
      </c>
      <c r="G11" s="171"/>
      <c r="H11" s="579">
        <f>SUM(H12:H19)</f>
        <v>0</v>
      </c>
      <c r="I11" s="484"/>
      <c r="J11" s="171"/>
      <c r="K11" s="431" t="e">
        <f>H11*1000000/$P$6</f>
        <v>#DIV/0!</v>
      </c>
      <c r="L11" s="51" t="e">
        <f>I11*1000000/$P$7</f>
        <v>#DIV/0!</v>
      </c>
      <c r="M11" s="542" t="e">
        <f t="shared" ref="M11:M44" si="0">IF(L11=0,"0%",(K11-L11)/L11)</f>
        <v>#DIV/0!</v>
      </c>
      <c r="N11" s="159" t="s">
        <v>296</v>
      </c>
      <c r="O11" s="340"/>
      <c r="P11" s="40"/>
      <c r="Q11" s="57"/>
      <c r="W11" s="131" t="e">
        <f t="shared" ref="W11:W19" si="1">IF(ABS(M11)&gt;8%,H11-I11,1)</f>
        <v>#DIV/0!</v>
      </c>
    </row>
    <row r="12" spans="1:23" ht="15" customHeight="1" x14ac:dyDescent="0.25">
      <c r="A12" s="46" t="s">
        <v>301</v>
      </c>
      <c r="B12" s="18" t="s">
        <v>286</v>
      </c>
      <c r="C12" s="479"/>
      <c r="D12" s="480"/>
      <c r="E12" s="481"/>
      <c r="F12" s="433"/>
      <c r="G12" s="418"/>
      <c r="H12" s="580">
        <f>C12-E12</f>
        <v>0</v>
      </c>
      <c r="I12" s="485"/>
      <c r="J12" s="172"/>
      <c r="K12" s="496" t="e">
        <f t="shared" ref="K12:K19" si="2">H12*1000000/$P$6</f>
        <v>#DIV/0!</v>
      </c>
      <c r="L12" s="52" t="e">
        <f t="shared" ref="L12:L19" si="3">I12*1000000/$P$7</f>
        <v>#DIV/0!</v>
      </c>
      <c r="M12" s="405" t="e">
        <f t="shared" si="0"/>
        <v>#DIV/0!</v>
      </c>
      <c r="N12" s="989"/>
      <c r="O12" s="340" t="e">
        <f>IF(AND(2000000&lt;$P$6,ABS($W12)&gt;100),"Förändring",(IF(AND(1000000&lt;$P$6,$P$6&lt;2000000,ABS($W12)&gt;70),"Förändring",(IF(AND(330000&lt;$P$6,$P$6&lt;1000000,ABS($W12)&gt;50),"Förändring",(IF(AND(200000&lt;$P$6,$P$6&lt;330000,ABS($W12)&gt;30),"Förändring",(IF(AND($P$6&lt;200000,ABS($W12)&gt;10),"Förändring",(IF(K12=0,"",IF(L12=0,"",(K12-L12)/L12))))))))))))</f>
        <v>#DIV/0!</v>
      </c>
      <c r="P12" s="810" t="str">
        <f>IF((E12+F12&gt;C12),"Däravbelopp större än summan","")</f>
        <v/>
      </c>
      <c r="Q12" s="67"/>
      <c r="W12" s="131" t="e">
        <f t="shared" si="1"/>
        <v>#DIV/0!</v>
      </c>
    </row>
    <row r="13" spans="1:23" ht="15" customHeight="1" x14ac:dyDescent="0.25">
      <c r="A13" s="46" t="s">
        <v>227</v>
      </c>
      <c r="B13" s="18" t="s">
        <v>303</v>
      </c>
      <c r="C13" s="479"/>
      <c r="D13" s="480"/>
      <c r="E13" s="481"/>
      <c r="F13" s="433"/>
      <c r="G13" s="418"/>
      <c r="H13" s="580">
        <f>C13-E13</f>
        <v>0</v>
      </c>
      <c r="I13" s="485"/>
      <c r="J13" s="172"/>
      <c r="K13" s="496" t="e">
        <f t="shared" si="2"/>
        <v>#DIV/0!</v>
      </c>
      <c r="L13" s="52" t="e">
        <f t="shared" si="3"/>
        <v>#DIV/0!</v>
      </c>
      <c r="M13" s="405" t="e">
        <f t="shared" si="0"/>
        <v>#DIV/0!</v>
      </c>
      <c r="N13" s="990"/>
      <c r="O13" s="340" t="e">
        <f>IF(AND(2000000&lt;$P$6,ABS($W13)&gt;100),"Förändring",(IF(AND(1000000&lt;$P$6,$P$6&lt;2000000,ABS($W13)&gt;70),"Förändring",(IF(AND(330000&lt;$P$6,$P$6&lt;1000000,ABS($W13)&gt;50),"Förändring",(IF(AND(200000&lt;$P$6,$P$6&lt;330000,ABS($W13)&gt;30),"Förändring",(IF(AND($P$6&lt;200000,ABS($W13)&gt;10),"Förändring",(IF(K13=0,"",IF(L13=0,"",(K13-L13)/L13))))))))))))</f>
        <v>#DIV/0!</v>
      </c>
      <c r="P13" s="810" t="str">
        <f t="shared" ref="P13:P44" si="4">IF((E13+F13&gt;C13),"Däravbelopp större än summan","")</f>
        <v/>
      </c>
      <c r="Q13" s="67"/>
      <c r="W13" s="131" t="e">
        <f t="shared" si="1"/>
        <v>#DIV/0!</v>
      </c>
    </row>
    <row r="14" spans="1:23" ht="15" customHeight="1" x14ac:dyDescent="0.25">
      <c r="A14" s="46" t="s">
        <v>229</v>
      </c>
      <c r="B14" s="18" t="s">
        <v>38</v>
      </c>
      <c r="C14" s="479"/>
      <c r="D14" s="480"/>
      <c r="E14" s="481"/>
      <c r="F14" s="433"/>
      <c r="G14" s="418"/>
      <c r="H14" s="580">
        <f t="shared" ref="H14:H19" si="5">C14-E14</f>
        <v>0</v>
      </c>
      <c r="I14" s="485"/>
      <c r="J14" s="172"/>
      <c r="K14" s="496" t="e">
        <f t="shared" si="2"/>
        <v>#DIV/0!</v>
      </c>
      <c r="L14" s="52" t="e">
        <f t="shared" si="3"/>
        <v>#DIV/0!</v>
      </c>
      <c r="M14" s="405" t="e">
        <f t="shared" si="0"/>
        <v>#DIV/0!</v>
      </c>
      <c r="N14" s="990"/>
      <c r="O14" s="340" t="e">
        <f>IF(AND(2000000&lt;$P$6,ABS($W14)&gt;100),"Förändring",(IF(AND(1000000&lt;$P$6,$P$6&lt;2000000,ABS($W14)&gt;70),"Förändring",(IF(AND(330000&lt;$P$6,$P$6&lt;1000000,ABS($W14)&gt;50),"Förändring",(IF(AND(200000&lt;$P$6,$P$6&lt;330000,ABS($W14)&gt;30),"Förändring",(IF(AND($P$6&lt;200000,ABS($W14)&gt;10),"Förändring",(IF(K14=0,"",IF(L14=0,"",(K14-L14)/L14))))))))))))</f>
        <v>#DIV/0!</v>
      </c>
      <c r="P14" s="810" t="str">
        <f t="shared" si="4"/>
        <v/>
      </c>
      <c r="Q14" s="67"/>
      <c r="W14" s="131" t="e">
        <f t="shared" si="1"/>
        <v>#DIV/0!</v>
      </c>
    </row>
    <row r="15" spans="1:23" ht="15" customHeight="1" x14ac:dyDescent="0.25">
      <c r="A15" s="46" t="s">
        <v>230</v>
      </c>
      <c r="B15" s="18" t="s">
        <v>39</v>
      </c>
      <c r="C15" s="479"/>
      <c r="D15" s="480"/>
      <c r="E15" s="481"/>
      <c r="F15" s="433"/>
      <c r="G15" s="418"/>
      <c r="H15" s="580">
        <f t="shared" si="5"/>
        <v>0</v>
      </c>
      <c r="I15" s="485"/>
      <c r="J15" s="172"/>
      <c r="K15" s="496" t="e">
        <f t="shared" si="2"/>
        <v>#DIV/0!</v>
      </c>
      <c r="L15" s="52" t="e">
        <f t="shared" si="3"/>
        <v>#DIV/0!</v>
      </c>
      <c r="M15" s="405" t="e">
        <f t="shared" si="0"/>
        <v>#DIV/0!</v>
      </c>
      <c r="N15" s="991"/>
      <c r="O15" s="340" t="e">
        <f>IF(AND(2000000&lt;$P$6,ABS($W15)&gt;100),"Förändring",(IF(AND(1000000&lt;$P$6,$P$6&lt;2000000,ABS($W15)&gt;70),"Förändring",(IF(AND(330000&lt;$P$6,$P$6&lt;1000000,ABS($W15)&gt;50),"Förändring",(IF(AND(200000&lt;$P$6,$P$6&lt;330000,ABS($W15)&gt;30),"Förändring",(IF(AND($P$6&lt;200000,ABS($W15)&gt;10),"Förändring",(IF(K15=0,"",IF(L15=0,"",(K15-L15)/L15))))))))))))</f>
        <v>#DIV/0!</v>
      </c>
      <c r="P15" s="810" t="str">
        <f t="shared" si="4"/>
        <v/>
      </c>
      <c r="Q15" s="67"/>
      <c r="W15" s="131" t="e">
        <f t="shared" si="1"/>
        <v>#DIV/0!</v>
      </c>
    </row>
    <row r="16" spans="1:23" ht="15.75" customHeight="1" x14ac:dyDescent="0.25">
      <c r="A16" s="46" t="s">
        <v>302</v>
      </c>
      <c r="B16" s="18" t="s">
        <v>470</v>
      </c>
      <c r="C16" s="479"/>
      <c r="D16" s="480"/>
      <c r="E16" s="481"/>
      <c r="F16" s="433"/>
      <c r="G16" s="418"/>
      <c r="H16" s="580">
        <f t="shared" si="5"/>
        <v>0</v>
      </c>
      <c r="I16" s="485"/>
      <c r="J16" s="172"/>
      <c r="K16" s="496" t="e">
        <f t="shared" si="2"/>
        <v>#DIV/0!</v>
      </c>
      <c r="L16" s="52" t="e">
        <f t="shared" si="3"/>
        <v>#DIV/0!</v>
      </c>
      <c r="M16" s="405" t="e">
        <f t="shared" si="0"/>
        <v>#DIV/0!</v>
      </c>
      <c r="N16" s="159"/>
      <c r="O16" s="340" t="e">
        <f>IF(AND(2000000&lt;$P$6,ABS($W16)&gt;100),"Förändring",(IF(AND(1000000&lt;$P$6,$P$6&lt;2000000,ABS($W16)&gt;70),"Förändring",(IF(AND(330000&lt;$P$6,$P$6&lt;1000000,ABS($W16)&gt;50),"Förändring",(IF(AND(200000&lt;$P$6,$P$6&lt;330000,ABS($W16)&gt;30),"Förändring",(IF(AND($P$6&lt;200000,ABS($W16)&gt;10),"Förändring",(IF(K16=0,"",IF(L16=0,"",(K16-L16)/L16))))))))))))</f>
        <v>#DIV/0!</v>
      </c>
      <c r="P16" s="810" t="str">
        <f t="shared" si="4"/>
        <v/>
      </c>
      <c r="Q16" s="67"/>
      <c r="W16" s="131" t="e">
        <f t="shared" si="1"/>
        <v>#DIV/0!</v>
      </c>
    </row>
    <row r="17" spans="1:23" ht="15" customHeight="1" x14ac:dyDescent="0.25">
      <c r="A17" s="46" t="s">
        <v>231</v>
      </c>
      <c r="B17" s="18" t="s">
        <v>1</v>
      </c>
      <c r="C17" s="479"/>
      <c r="D17" s="480"/>
      <c r="E17" s="481"/>
      <c r="F17" s="433"/>
      <c r="G17" s="418"/>
      <c r="H17" s="580">
        <f t="shared" si="5"/>
        <v>0</v>
      </c>
      <c r="I17" s="485"/>
      <c r="J17" s="172"/>
      <c r="K17" s="496" t="e">
        <f t="shared" si="2"/>
        <v>#DIV/0!</v>
      </c>
      <c r="L17" s="52" t="e">
        <f t="shared" si="3"/>
        <v>#DIV/0!</v>
      </c>
      <c r="M17" s="405" t="e">
        <f t="shared" si="0"/>
        <v>#DIV/0!</v>
      </c>
      <c r="N17" s="159"/>
      <c r="O17" s="340" t="e">
        <f>IF(L17=0,"",IF(((K17-L17)/L17)&gt;0.05,"Förändring",""))</f>
        <v>#DIV/0!</v>
      </c>
      <c r="P17" s="810" t="str">
        <f t="shared" si="4"/>
        <v/>
      </c>
      <c r="Q17" s="67"/>
      <c r="W17" s="131" t="e">
        <f t="shared" si="1"/>
        <v>#DIV/0!</v>
      </c>
    </row>
    <row r="18" spans="1:23" ht="15" customHeight="1" x14ac:dyDescent="0.25">
      <c r="A18" s="46" t="s">
        <v>141</v>
      </c>
      <c r="B18" s="18" t="s">
        <v>0</v>
      </c>
      <c r="C18" s="479"/>
      <c r="D18" s="480"/>
      <c r="E18" s="481"/>
      <c r="F18" s="433"/>
      <c r="G18" s="418"/>
      <c r="H18" s="580">
        <f t="shared" si="5"/>
        <v>0</v>
      </c>
      <c r="I18" s="485"/>
      <c r="J18" s="172"/>
      <c r="K18" s="496" t="e">
        <f t="shared" si="2"/>
        <v>#DIV/0!</v>
      </c>
      <c r="L18" s="52" t="e">
        <f t="shared" si="3"/>
        <v>#DIV/0!</v>
      </c>
      <c r="M18" s="720" t="e">
        <f t="shared" si="0"/>
        <v>#DIV/0!</v>
      </c>
      <c r="N18" s="159"/>
      <c r="O18" s="340"/>
      <c r="P18" s="810" t="str">
        <f t="shared" si="4"/>
        <v/>
      </c>
      <c r="Q18" s="67"/>
      <c r="W18" s="131" t="e">
        <f t="shared" si="1"/>
        <v>#DIV/0!</v>
      </c>
    </row>
    <row r="19" spans="1:23" ht="15" customHeight="1" x14ac:dyDescent="0.25">
      <c r="A19" s="46" t="s">
        <v>232</v>
      </c>
      <c r="B19" s="18" t="s">
        <v>150</v>
      </c>
      <c r="C19" s="479"/>
      <c r="D19" s="480"/>
      <c r="E19" s="481"/>
      <c r="F19" s="433"/>
      <c r="G19" s="418"/>
      <c r="H19" s="580">
        <f t="shared" si="5"/>
        <v>0</v>
      </c>
      <c r="I19" s="485"/>
      <c r="J19" s="172"/>
      <c r="K19" s="496" t="e">
        <f t="shared" si="2"/>
        <v>#DIV/0!</v>
      </c>
      <c r="L19" s="52" t="e">
        <f t="shared" si="3"/>
        <v>#DIV/0!</v>
      </c>
      <c r="M19" s="405" t="e">
        <f t="shared" si="0"/>
        <v>#DIV/0!</v>
      </c>
      <c r="N19" s="809" t="str">
        <f>IF(C19="","",IF(ABS(C19/C11)&gt;0.08,"Vad ingår på rad 090? Kommentera",""))</f>
        <v/>
      </c>
      <c r="O19" s="340" t="e">
        <f>IF(AND(2000000&lt;$P$6,ABS($W19)&gt;100),"Förändring",(IF(AND(1000000&lt;$P$6,$P$6&lt;2000000,ABS($W19)&gt;70),"Förändring",(IF(AND(330000&lt;$P$6,$P$6&lt;1000000,ABS($W19)&gt;50),"Förändring",(IF(AND(200000&lt;$P$6,$P$6&lt;330000,ABS($W19)&gt;30),"Förändring",(IF(AND($P$6&lt;200000,ABS($W19)&gt;10),"Förändring",(IF(K19=0,"",IF(L19=0,"",(K19-L19)/L19))))))))))))</f>
        <v>#DIV/0!</v>
      </c>
      <c r="P19" s="810" t="str">
        <f t="shared" si="4"/>
        <v/>
      </c>
      <c r="Q19" s="67"/>
      <c r="W19" s="131" t="e">
        <f t="shared" si="1"/>
        <v>#DIV/0!</v>
      </c>
    </row>
    <row r="20" spans="1:23" ht="15" customHeight="1" x14ac:dyDescent="0.25">
      <c r="A20" s="503"/>
      <c r="B20" s="18"/>
      <c r="C20" s="790"/>
      <c r="D20" s="789"/>
      <c r="E20" s="790"/>
      <c r="F20" s="792"/>
      <c r="G20" s="183"/>
      <c r="H20" s="486"/>
      <c r="I20" s="487"/>
      <c r="J20" s="172"/>
      <c r="K20" s="724"/>
      <c r="L20" s="725"/>
      <c r="M20" s="726"/>
      <c r="N20" s="6"/>
      <c r="O20" s="340"/>
      <c r="P20" s="810"/>
      <c r="Q20" s="67"/>
      <c r="W20" s="131"/>
    </row>
    <row r="21" spans="1:23" ht="15" customHeight="1" x14ac:dyDescent="0.25">
      <c r="A21" s="503"/>
      <c r="B21" s="18"/>
      <c r="C21" s="791"/>
      <c r="D21" s="789"/>
      <c r="E21" s="790"/>
      <c r="F21" s="792"/>
      <c r="G21" s="183"/>
      <c r="H21" s="486"/>
      <c r="I21" s="487"/>
      <c r="J21" s="172"/>
      <c r="K21" s="496"/>
      <c r="L21" s="351"/>
      <c r="M21" s="542"/>
      <c r="N21" s="6"/>
      <c r="O21" s="340"/>
      <c r="P21" s="810"/>
      <c r="Q21" s="67"/>
      <c r="W21" s="131"/>
    </row>
    <row r="22" spans="1:23" s="130" customFormat="1" ht="15" customHeight="1" x14ac:dyDescent="0.3">
      <c r="A22" s="100" t="s">
        <v>180</v>
      </c>
      <c r="B22" s="39" t="s">
        <v>365</v>
      </c>
      <c r="C22" s="573">
        <f>SUM(C23:C26)</f>
        <v>0</v>
      </c>
      <c r="D22" s="478"/>
      <c r="E22" s="573">
        <f>SUM(E23:E26)</f>
        <v>0</v>
      </c>
      <c r="F22" s="577">
        <f>SUM(F23:F26)</f>
        <v>0</v>
      </c>
      <c r="G22" s="171"/>
      <c r="H22" s="579">
        <f>SUM(H23:H26)</f>
        <v>0</v>
      </c>
      <c r="I22" s="488"/>
      <c r="J22" s="171"/>
      <c r="K22" s="431" t="e">
        <f t="shared" ref="K22:K44" si="6">H22*1000000/$P$6</f>
        <v>#DIV/0!</v>
      </c>
      <c r="L22" s="51" t="e">
        <f t="shared" ref="L22:L44" si="7">I22*1000000/$P$7</f>
        <v>#DIV/0!</v>
      </c>
      <c r="M22" s="542" t="e">
        <f t="shared" si="0"/>
        <v>#DIV/0!</v>
      </c>
      <c r="N22" s="159" t="s">
        <v>297</v>
      </c>
      <c r="O22" s="340"/>
      <c r="P22" s="810"/>
      <c r="Q22" s="57"/>
      <c r="W22" s="131" t="e">
        <f t="shared" ref="W22:W44" si="8">IF(ABS(M22)&gt;8%,H22-I22,1)</f>
        <v>#DIV/0!</v>
      </c>
    </row>
    <row r="23" spans="1:23" ht="15" customHeight="1" x14ac:dyDescent="0.25">
      <c r="A23" s="46" t="s">
        <v>184</v>
      </c>
      <c r="B23" s="18" t="s">
        <v>106</v>
      </c>
      <c r="C23" s="479"/>
      <c r="D23" s="480"/>
      <c r="E23" s="371"/>
      <c r="F23" s="482"/>
      <c r="G23" s="417"/>
      <c r="H23" s="580">
        <f t="shared" ref="H23:H44" si="9">C23-E23</f>
        <v>0</v>
      </c>
      <c r="I23" s="489"/>
      <c r="J23" s="172"/>
      <c r="K23" s="496" t="e">
        <f t="shared" si="6"/>
        <v>#DIV/0!</v>
      </c>
      <c r="L23" s="52" t="e">
        <f t="shared" si="7"/>
        <v>#DIV/0!</v>
      </c>
      <c r="M23" s="405" t="e">
        <f t="shared" si="0"/>
        <v>#DIV/0!</v>
      </c>
      <c r="N23" s="989"/>
      <c r="O23" s="340" t="e">
        <f>IF(AND(2000000&lt;$P$6,ABS($W23)&gt;100),"Förändring",(IF(AND(1000000&lt;$P$6,$P$6&lt;2000000,ABS($W23)&gt;70),"Förändring",(IF(AND(330000&lt;$P$6,$P$6&lt;1000000,ABS($W23)&gt;50),"Förändring",(IF(AND(200000&lt;$P$6,$P$6&lt;330000,ABS($W23)&gt;30),"Förändring",(IF(AND($P$6&lt;200000,ABS($W23)&gt;10),"Förändring",(IF(K23=0,"",IF(L23=0,"",(K23-L23)/L23))))))))))))</f>
        <v>#DIV/0!</v>
      </c>
      <c r="P23" s="810" t="str">
        <f t="shared" si="4"/>
        <v/>
      </c>
      <c r="Q23" s="67"/>
      <c r="W23" s="131" t="e">
        <f t="shared" si="8"/>
        <v>#DIV/0!</v>
      </c>
    </row>
    <row r="24" spans="1:23" ht="15" customHeight="1" x14ac:dyDescent="0.25">
      <c r="A24" s="46" t="s">
        <v>185</v>
      </c>
      <c r="B24" s="18" t="s">
        <v>107</v>
      </c>
      <c r="C24" s="479"/>
      <c r="D24" s="480"/>
      <c r="E24" s="371"/>
      <c r="F24" s="482"/>
      <c r="G24" s="417"/>
      <c r="H24" s="580">
        <f t="shared" si="9"/>
        <v>0</v>
      </c>
      <c r="I24" s="489"/>
      <c r="J24" s="172"/>
      <c r="K24" s="496" t="e">
        <f t="shared" si="6"/>
        <v>#DIV/0!</v>
      </c>
      <c r="L24" s="52" t="e">
        <f t="shared" si="7"/>
        <v>#DIV/0!</v>
      </c>
      <c r="M24" s="720" t="e">
        <f>IF(L24=0,"0%",(K24-L24)/L24)</f>
        <v>#DIV/0!</v>
      </c>
      <c r="N24" s="990"/>
      <c r="O24" s="340" t="e">
        <f>IF(AND(2000000&lt;$P$6,ABS($W24)&gt;100),"Förändring",(IF(AND(1000000&lt;$P$6,$P$6&lt;2000000,ABS($W24)&gt;70),"Förändring",(IF(AND(330000&lt;$P$6,$P$6&lt;1000000,ABS($W24)&gt;50),"Förändring",(IF(AND(200000&lt;$P$6,$P$6&lt;330000,ABS($W24)&gt;30),"Förändring",(IF(AND($P$6&lt;200000,ABS($W24)&gt;10),"Förändring",(IF(K24=0,"",IF(L24=0,"",(K24-L24)/L24))))))))))))</f>
        <v>#DIV/0!</v>
      </c>
      <c r="P24" s="810" t="str">
        <f t="shared" si="4"/>
        <v/>
      </c>
      <c r="Q24" s="67"/>
      <c r="W24" s="131" t="e">
        <f t="shared" si="8"/>
        <v>#DIV/0!</v>
      </c>
    </row>
    <row r="25" spans="1:23" ht="15" customHeight="1" x14ac:dyDescent="0.25">
      <c r="A25" s="46" t="s">
        <v>186</v>
      </c>
      <c r="B25" s="18" t="s">
        <v>116</v>
      </c>
      <c r="C25" s="479"/>
      <c r="D25" s="480"/>
      <c r="E25" s="371"/>
      <c r="F25" s="482"/>
      <c r="G25" s="417"/>
      <c r="H25" s="580">
        <f t="shared" si="9"/>
        <v>0</v>
      </c>
      <c r="I25" s="489"/>
      <c r="J25" s="172"/>
      <c r="K25" s="496" t="e">
        <f t="shared" si="6"/>
        <v>#DIV/0!</v>
      </c>
      <c r="L25" s="52" t="e">
        <f t="shared" si="7"/>
        <v>#DIV/0!</v>
      </c>
      <c r="M25" s="720" t="e">
        <f t="shared" si="0"/>
        <v>#DIV/0!</v>
      </c>
      <c r="N25" s="990"/>
      <c r="O25" s="340" t="e">
        <f>IF(L25=0,"",IF(((K25-L25)/L25)&gt;0.05,"Förändring",""))</f>
        <v>#DIV/0!</v>
      </c>
      <c r="P25" s="810" t="str">
        <f t="shared" si="4"/>
        <v/>
      </c>
      <c r="Q25" s="67"/>
      <c r="W25" s="131" t="e">
        <f t="shared" si="8"/>
        <v>#DIV/0!</v>
      </c>
    </row>
    <row r="26" spans="1:23" ht="15" customHeight="1" x14ac:dyDescent="0.25">
      <c r="A26" s="46" t="s">
        <v>187</v>
      </c>
      <c r="B26" s="18" t="s">
        <v>108</v>
      </c>
      <c r="C26" s="479"/>
      <c r="D26" s="480"/>
      <c r="E26" s="371"/>
      <c r="F26" s="482"/>
      <c r="G26" s="417"/>
      <c r="H26" s="580">
        <f t="shared" si="9"/>
        <v>0</v>
      </c>
      <c r="I26" s="489"/>
      <c r="J26" s="172"/>
      <c r="K26" s="496" t="e">
        <f t="shared" si="6"/>
        <v>#DIV/0!</v>
      </c>
      <c r="L26" s="52" t="e">
        <f t="shared" si="7"/>
        <v>#DIV/0!</v>
      </c>
      <c r="M26" s="405" t="e">
        <f t="shared" si="0"/>
        <v>#DIV/0!</v>
      </c>
      <c r="N26" s="991"/>
      <c r="O26" s="340" t="e">
        <f>IF(AND(2000000&lt;$P$6,ABS($W26)&gt;100),"Förändring",(IF(AND(1000000&lt;$P$6,$P$6&lt;2000000,ABS($W26)&gt;70),"Förändring",(IF(AND(330000&lt;$P$6,$P$6&lt;1000000,ABS($W26)&gt;50),"Förändring",(IF(AND(200000&lt;$P$6,$P$6&lt;330000,ABS($W26)&gt;30),"Förändring",(IF(AND($P$6&lt;200000,ABS($W26)&gt;10),"Förändring",(IF(K26=0,"",IF(L26=0,"",(K26-L26)/L26))))))))))))</f>
        <v>#DIV/0!</v>
      </c>
      <c r="P26" s="810" t="str">
        <f t="shared" si="4"/>
        <v/>
      </c>
      <c r="Q26" s="67"/>
      <c r="W26" s="131" t="e">
        <f t="shared" si="8"/>
        <v>#DIV/0!</v>
      </c>
    </row>
    <row r="27" spans="1:23" s="130" customFormat="1" ht="15" customHeight="1" x14ac:dyDescent="0.3">
      <c r="A27" s="100" t="s">
        <v>181</v>
      </c>
      <c r="B27" s="39" t="s">
        <v>366</v>
      </c>
      <c r="C27" s="573">
        <f>SUM(C28:C31)</f>
        <v>0</v>
      </c>
      <c r="D27" s="478"/>
      <c r="E27" s="573">
        <f>SUM(E28:E31)</f>
        <v>0</v>
      </c>
      <c r="F27" s="577">
        <f>SUM(F28:F31)</f>
        <v>0</v>
      </c>
      <c r="G27" s="171"/>
      <c r="H27" s="579">
        <f>SUM(H28:H31)</f>
        <v>0</v>
      </c>
      <c r="I27" s="488"/>
      <c r="J27" s="171"/>
      <c r="K27" s="431" t="e">
        <f t="shared" si="6"/>
        <v>#DIV/0!</v>
      </c>
      <c r="L27" s="51" t="e">
        <f t="shared" si="7"/>
        <v>#DIV/0!</v>
      </c>
      <c r="M27" s="542" t="e">
        <f t="shared" si="0"/>
        <v>#DIV/0!</v>
      </c>
      <c r="N27" s="159" t="s">
        <v>298</v>
      </c>
      <c r="O27" s="340"/>
      <c r="P27" s="810"/>
      <c r="Q27" s="57"/>
      <c r="W27" s="131" t="e">
        <f t="shared" si="8"/>
        <v>#DIV/0!</v>
      </c>
    </row>
    <row r="28" spans="1:23" ht="15" customHeight="1" x14ac:dyDescent="0.25">
      <c r="A28" s="46" t="s">
        <v>188</v>
      </c>
      <c r="B28" s="18" t="s">
        <v>109</v>
      </c>
      <c r="C28" s="479"/>
      <c r="D28" s="480"/>
      <c r="E28" s="479"/>
      <c r="F28" s="448"/>
      <c r="G28" s="418"/>
      <c r="H28" s="580">
        <f t="shared" si="9"/>
        <v>0</v>
      </c>
      <c r="I28" s="489"/>
      <c r="J28" s="172"/>
      <c r="K28" s="496" t="e">
        <f t="shared" si="6"/>
        <v>#DIV/0!</v>
      </c>
      <c r="L28" s="52" t="e">
        <f t="shared" si="7"/>
        <v>#DIV/0!</v>
      </c>
      <c r="M28" s="405" t="e">
        <f t="shared" si="0"/>
        <v>#DIV/0!</v>
      </c>
      <c r="N28" s="989"/>
      <c r="O28" s="340" t="e">
        <f>IF(AND(2000000&lt;$P$6,ABS($W28)&gt;100),"Förändring",(IF(AND(1000000&lt;$P$6,$P$6&lt;2000000,ABS($W28)&gt;70),"Förändring",(IF(AND(330000&lt;$P$6,$P$6&lt;1000000,ABS($W28)&gt;50),"Förändring",(IF(AND(200000&lt;$P$6,$P$6&lt;330000,ABS($W28)&gt;30),"Förändring",(IF(AND($P$6&lt;200000,ABS($W28)&gt;10),"Förändring",(IF(K28=0,"",IF(L28=0,"",(K28-L28)/L28))))))))))))</f>
        <v>#DIV/0!</v>
      </c>
      <c r="P28" s="810" t="str">
        <f t="shared" si="4"/>
        <v/>
      </c>
      <c r="Q28" s="67"/>
      <c r="W28" s="131" t="e">
        <f t="shared" si="8"/>
        <v>#DIV/0!</v>
      </c>
    </row>
    <row r="29" spans="1:23" ht="15" customHeight="1" x14ac:dyDescent="0.25">
      <c r="A29" s="46" t="s">
        <v>189</v>
      </c>
      <c r="B29" s="18" t="s">
        <v>110</v>
      </c>
      <c r="C29" s="479"/>
      <c r="D29" s="480"/>
      <c r="E29" s="479"/>
      <c r="F29" s="448"/>
      <c r="G29" s="418"/>
      <c r="H29" s="580">
        <f t="shared" si="9"/>
        <v>0</v>
      </c>
      <c r="I29" s="489"/>
      <c r="J29" s="172"/>
      <c r="K29" s="496" t="e">
        <f t="shared" si="6"/>
        <v>#DIV/0!</v>
      </c>
      <c r="L29" s="52" t="e">
        <f t="shared" si="7"/>
        <v>#DIV/0!</v>
      </c>
      <c r="M29" s="720" t="e">
        <f>IF(L29=0,"0%",(K29-L29)/L29)</f>
        <v>#DIV/0!</v>
      </c>
      <c r="N29" s="990"/>
      <c r="O29" s="340" t="e">
        <f>IF(AND(2000000&lt;$P$6,ABS($W29)&gt;100),"Förändring",(IF(AND(1000000&lt;$P$6,$P$6&lt;2000000,ABS($W29)&gt;70),"Förändring",(IF(AND(330000&lt;$P$6,$P$6&lt;1000000,ABS($W29)&gt;50),"Förändring",(IF(AND(200000&lt;$P$6,$P$6&lt;330000,ABS($W29)&gt;30),"Förändring",(IF(AND($P$6&lt;200000,ABS($W29)&gt;10),"Förändring",(IF(K29=0,"",IF(L29=0,"",(K29-L29)/L29))))))))))))</f>
        <v>#DIV/0!</v>
      </c>
      <c r="P29" s="810" t="str">
        <f t="shared" si="4"/>
        <v/>
      </c>
      <c r="Q29" s="67"/>
      <c r="W29" s="131" t="e">
        <f t="shared" si="8"/>
        <v>#DIV/0!</v>
      </c>
    </row>
    <row r="30" spans="1:23" ht="15" customHeight="1" x14ac:dyDescent="0.25">
      <c r="A30" s="46" t="s">
        <v>190</v>
      </c>
      <c r="B30" s="19" t="s">
        <v>117</v>
      </c>
      <c r="C30" s="479"/>
      <c r="D30" s="480"/>
      <c r="E30" s="479"/>
      <c r="F30" s="448"/>
      <c r="G30" s="418"/>
      <c r="H30" s="580">
        <f t="shared" si="9"/>
        <v>0</v>
      </c>
      <c r="I30" s="485"/>
      <c r="J30" s="172"/>
      <c r="K30" s="496" t="e">
        <f t="shared" si="6"/>
        <v>#DIV/0!</v>
      </c>
      <c r="L30" s="52" t="e">
        <f t="shared" si="7"/>
        <v>#DIV/0!</v>
      </c>
      <c r="M30" s="720" t="e">
        <f t="shared" si="0"/>
        <v>#DIV/0!</v>
      </c>
      <c r="N30" s="990"/>
      <c r="O30" s="340" t="e">
        <f>IF(L30=0,"",IF(((K30-L30)/L30)&gt;0.05,"Förändring",""))</f>
        <v>#DIV/0!</v>
      </c>
      <c r="P30" s="810" t="str">
        <f t="shared" si="4"/>
        <v/>
      </c>
      <c r="Q30" s="67"/>
      <c r="W30" s="131" t="e">
        <f t="shared" si="8"/>
        <v>#DIV/0!</v>
      </c>
    </row>
    <row r="31" spans="1:23" ht="15" customHeight="1" x14ac:dyDescent="0.25">
      <c r="A31" s="46" t="s">
        <v>191</v>
      </c>
      <c r="B31" s="32" t="s">
        <v>111</v>
      </c>
      <c r="C31" s="479"/>
      <c r="D31" s="480"/>
      <c r="E31" s="479"/>
      <c r="F31" s="448"/>
      <c r="G31" s="418"/>
      <c r="H31" s="580">
        <f t="shared" si="9"/>
        <v>0</v>
      </c>
      <c r="I31" s="485"/>
      <c r="J31" s="172"/>
      <c r="K31" s="496" t="e">
        <f t="shared" si="6"/>
        <v>#DIV/0!</v>
      </c>
      <c r="L31" s="52" t="e">
        <f t="shared" si="7"/>
        <v>#DIV/0!</v>
      </c>
      <c r="M31" s="405" t="e">
        <f t="shared" si="0"/>
        <v>#DIV/0!</v>
      </c>
      <c r="N31" s="991"/>
      <c r="O31" s="340"/>
      <c r="P31" s="810" t="str">
        <f t="shared" si="4"/>
        <v/>
      </c>
      <c r="Q31" s="67"/>
      <c r="W31" s="131" t="e">
        <f t="shared" si="8"/>
        <v>#DIV/0!</v>
      </c>
    </row>
    <row r="32" spans="1:23" s="130" customFormat="1" ht="15" customHeight="1" x14ac:dyDescent="0.3">
      <c r="A32" s="100" t="s">
        <v>182</v>
      </c>
      <c r="B32" s="39" t="s">
        <v>367</v>
      </c>
      <c r="C32" s="573">
        <f>SUM(C33:C36)</f>
        <v>0</v>
      </c>
      <c r="D32" s="478"/>
      <c r="E32" s="573">
        <f>SUM(E33:E36)</f>
        <v>0</v>
      </c>
      <c r="F32" s="577">
        <f>SUM(F33:F36)</f>
        <v>0</v>
      </c>
      <c r="G32" s="171"/>
      <c r="H32" s="581">
        <f>SUM(H33:H36)</f>
        <v>0</v>
      </c>
      <c r="I32" s="488"/>
      <c r="J32" s="171"/>
      <c r="K32" s="431" t="e">
        <f t="shared" si="6"/>
        <v>#DIV/0!</v>
      </c>
      <c r="L32" s="51" t="e">
        <f t="shared" si="7"/>
        <v>#DIV/0!</v>
      </c>
      <c r="M32" s="542" t="e">
        <f t="shared" si="0"/>
        <v>#DIV/0!</v>
      </c>
      <c r="N32" s="159" t="s">
        <v>299</v>
      </c>
      <c r="O32" s="340"/>
      <c r="P32" s="810"/>
      <c r="Q32" s="57"/>
      <c r="W32" s="131" t="e">
        <f t="shared" si="8"/>
        <v>#DIV/0!</v>
      </c>
    </row>
    <row r="33" spans="1:23" ht="15" customHeight="1" x14ac:dyDescent="0.25">
      <c r="A33" s="46" t="s">
        <v>192</v>
      </c>
      <c r="B33" s="18" t="s">
        <v>5</v>
      </c>
      <c r="C33" s="479"/>
      <c r="D33" s="480"/>
      <c r="E33" s="479"/>
      <c r="F33" s="448"/>
      <c r="G33" s="418"/>
      <c r="H33" s="580">
        <f t="shared" si="9"/>
        <v>0</v>
      </c>
      <c r="I33" s="485"/>
      <c r="J33" s="172"/>
      <c r="K33" s="496" t="e">
        <f t="shared" si="6"/>
        <v>#DIV/0!</v>
      </c>
      <c r="L33" s="52" t="e">
        <f t="shared" si="7"/>
        <v>#DIV/0!</v>
      </c>
      <c r="M33" s="405" t="e">
        <f t="shared" si="0"/>
        <v>#DIV/0!</v>
      </c>
      <c r="N33" s="989"/>
      <c r="O33" s="340" t="e">
        <f>IF(AND(2000000&lt;$P$6,ABS($W33)&gt;100),"Förändring",(IF(AND(1000000&lt;$P$6,$P$6&lt;2000000,ABS($W33)&gt;70),"Förändring",(IF(AND(330000&lt;$P$6,$P$6&lt;1000000,ABS($W33)&gt;50),"Förändring",(IF(AND(200000&lt;$P$6,$P$6&lt;330000,ABS($W33)&gt;30),"Förändring",(IF(AND($P$6&lt;200000,ABS($W33)&gt;10),"Förändring",(IF(K33=0,"",IF(L33=0,"",(K33-L33)/L33))))))))))))</f>
        <v>#DIV/0!</v>
      </c>
      <c r="P33" s="810" t="str">
        <f t="shared" si="4"/>
        <v/>
      </c>
      <c r="Q33" s="67"/>
      <c r="W33" s="131" t="e">
        <f t="shared" si="8"/>
        <v>#DIV/0!</v>
      </c>
    </row>
    <row r="34" spans="1:23" ht="15" customHeight="1" x14ac:dyDescent="0.25">
      <c r="A34" s="46" t="s">
        <v>193</v>
      </c>
      <c r="B34" s="18" t="s">
        <v>582</v>
      </c>
      <c r="C34" s="479"/>
      <c r="D34" s="480"/>
      <c r="E34" s="479"/>
      <c r="F34" s="448"/>
      <c r="G34" s="418"/>
      <c r="H34" s="580">
        <f t="shared" si="9"/>
        <v>0</v>
      </c>
      <c r="I34" s="485"/>
      <c r="J34" s="172"/>
      <c r="K34" s="496" t="e">
        <f t="shared" si="6"/>
        <v>#DIV/0!</v>
      </c>
      <c r="L34" s="52" t="e">
        <f t="shared" si="7"/>
        <v>#DIV/0!</v>
      </c>
      <c r="M34" s="405" t="e">
        <f t="shared" si="0"/>
        <v>#DIV/0!</v>
      </c>
      <c r="N34" s="990"/>
      <c r="O34" s="340" t="e">
        <f>IF(AND(2000000&lt;$P$6,ABS($W34)&gt;100),"Förändring",(IF(AND(1000000&lt;$P$6,$P$6&lt;2000000,ABS($W34)&gt;70),"Förändring",(IF(AND(330000&lt;$P$6,$P$6&lt;1000000,ABS($W34)&gt;50),"Förändring",(IF(AND(200000&lt;$P$6,$P$6&lt;330000,ABS($W34)&gt;30),"Förändring",(IF(AND($P$6&lt;200000,ABS($W34)&gt;10),"Förändring",(IF(K34=0,"",IF(L34=0,"",(K34-L34)/L34))))))))))))</f>
        <v>#DIV/0!</v>
      </c>
      <c r="P34" s="810" t="str">
        <f t="shared" si="4"/>
        <v/>
      </c>
      <c r="Q34" s="67"/>
      <c r="W34" s="131" t="e">
        <f t="shared" si="8"/>
        <v>#DIV/0!</v>
      </c>
    </row>
    <row r="35" spans="1:23" ht="15" customHeight="1" x14ac:dyDescent="0.25">
      <c r="A35" s="46" t="s">
        <v>194</v>
      </c>
      <c r="B35" s="18" t="s">
        <v>577</v>
      </c>
      <c r="C35" s="479"/>
      <c r="D35" s="480"/>
      <c r="E35" s="479"/>
      <c r="F35" s="448"/>
      <c r="G35" s="418"/>
      <c r="H35" s="580">
        <f t="shared" si="9"/>
        <v>0</v>
      </c>
      <c r="I35" s="485"/>
      <c r="J35" s="172"/>
      <c r="K35" s="496" t="e">
        <f t="shared" si="6"/>
        <v>#DIV/0!</v>
      </c>
      <c r="L35" s="52" t="e">
        <f t="shared" si="7"/>
        <v>#DIV/0!</v>
      </c>
      <c r="M35" s="405" t="e">
        <f t="shared" si="0"/>
        <v>#DIV/0!</v>
      </c>
      <c r="N35" s="990"/>
      <c r="O35" s="340" t="e">
        <f>IF(AND(2000000&lt;$P$6,ABS($W35)&gt;100),"Förändring",(IF(AND(1000000&lt;$P$6,$P$6&lt;2000000,ABS($W35)&gt;70),"Förändring",(IF(AND(330000&lt;$P$6,$P$6&lt;1000000,ABS($W35)&gt;50),"Förändring",(IF(AND(200000&lt;$P$6,$P$6&lt;330000,ABS($W35)&gt;30),"Förändring",(IF(AND($P$6&lt;200000,ABS($W35)&gt;10),"Förändring",(IF(K35=0,"",IF(L35=0,"",(K35-L35)/L35))))))))))))</f>
        <v>#DIV/0!</v>
      </c>
      <c r="P35" s="810" t="str">
        <f t="shared" si="4"/>
        <v/>
      </c>
      <c r="Q35" s="67"/>
      <c r="W35" s="131" t="e">
        <f t="shared" si="8"/>
        <v>#DIV/0!</v>
      </c>
    </row>
    <row r="36" spans="1:23" ht="15" customHeight="1" x14ac:dyDescent="0.25">
      <c r="A36" s="46" t="s">
        <v>195</v>
      </c>
      <c r="B36" s="18" t="s">
        <v>171</v>
      </c>
      <c r="C36" s="479"/>
      <c r="D36" s="480"/>
      <c r="E36" s="479"/>
      <c r="F36" s="448"/>
      <c r="G36" s="418"/>
      <c r="H36" s="580">
        <f t="shared" si="9"/>
        <v>0</v>
      </c>
      <c r="I36" s="485"/>
      <c r="J36" s="172"/>
      <c r="K36" s="496" t="e">
        <f t="shared" si="6"/>
        <v>#DIV/0!</v>
      </c>
      <c r="L36" s="52" t="e">
        <f t="shared" si="7"/>
        <v>#DIV/0!</v>
      </c>
      <c r="M36" s="405" t="e">
        <f t="shared" si="0"/>
        <v>#DIV/0!</v>
      </c>
      <c r="N36" s="991"/>
      <c r="O36" s="340" t="e">
        <f>IF(AND(2000000&lt;$P$6,ABS($W36)&gt;100),"Förändring",(IF(AND(1000000&lt;$P$6,$P$6&lt;2000000,ABS($W36)&gt;70),"Förändring",(IF(AND(330000&lt;$P$6,$P$6&lt;1000000,ABS($W36)&gt;50),"Förändring",(IF(AND(200000&lt;$P$6,$P$6&lt;330000,ABS($W36)&gt;30),"Förändring",(IF(AND($P$6&lt;200000,ABS($W36)&gt;10),"Förändring",(IF(K36=0,"",IF(L36=0,"",(K36-L36)/L36))))))))))))</f>
        <v>#DIV/0!</v>
      </c>
      <c r="P36" s="810" t="str">
        <f t="shared" si="4"/>
        <v/>
      </c>
      <c r="Q36" s="67"/>
      <c r="W36" s="131" t="e">
        <f t="shared" si="8"/>
        <v>#DIV/0!</v>
      </c>
    </row>
    <row r="37" spans="1:23" s="130" customFormat="1" ht="15" customHeight="1" x14ac:dyDescent="0.3">
      <c r="A37" s="100" t="s">
        <v>183</v>
      </c>
      <c r="B37" s="39" t="s">
        <v>368</v>
      </c>
      <c r="C37" s="573">
        <f>SUM(C38:C44)</f>
        <v>0</v>
      </c>
      <c r="D37" s="478"/>
      <c r="E37" s="573">
        <f>SUM(E38:E44)</f>
        <v>0</v>
      </c>
      <c r="F37" s="577">
        <f>SUM(F38:F44)</f>
        <v>0</v>
      </c>
      <c r="G37" s="171"/>
      <c r="H37" s="579">
        <f>SUM(H38:H44)</f>
        <v>0</v>
      </c>
      <c r="I37" s="484"/>
      <c r="J37" s="171"/>
      <c r="K37" s="431" t="e">
        <f t="shared" si="6"/>
        <v>#DIV/0!</v>
      </c>
      <c r="L37" s="51" t="e">
        <f t="shared" si="7"/>
        <v>#DIV/0!</v>
      </c>
      <c r="M37" s="542" t="e">
        <f t="shared" si="0"/>
        <v>#DIV/0!</v>
      </c>
      <c r="N37" s="159" t="s">
        <v>300</v>
      </c>
      <c r="O37" s="340"/>
      <c r="P37" s="810"/>
      <c r="Q37" s="57"/>
      <c r="W37" s="131" t="e">
        <f t="shared" si="8"/>
        <v>#DIV/0!</v>
      </c>
    </row>
    <row r="38" spans="1:23" ht="15" customHeight="1" x14ac:dyDescent="0.25">
      <c r="A38" s="46" t="s">
        <v>196</v>
      </c>
      <c r="B38" s="18" t="s">
        <v>6</v>
      </c>
      <c r="C38" s="479"/>
      <c r="D38" s="480"/>
      <c r="E38" s="479"/>
      <c r="F38" s="448"/>
      <c r="G38" s="418"/>
      <c r="H38" s="580">
        <f t="shared" si="9"/>
        <v>0</v>
      </c>
      <c r="I38" s="485"/>
      <c r="J38" s="172"/>
      <c r="K38" s="496" t="e">
        <f t="shared" si="6"/>
        <v>#DIV/0!</v>
      </c>
      <c r="L38" s="52" t="e">
        <f t="shared" si="7"/>
        <v>#DIV/0!</v>
      </c>
      <c r="M38" s="405" t="e">
        <f>IF(L38=0,"0%",(K38-L38)/L38)</f>
        <v>#DIV/0!</v>
      </c>
      <c r="N38" s="989"/>
      <c r="O38" s="340" t="e">
        <f>IF(AND(2000000&lt;$P$6,ABS($W38)&gt;100),"Förändring",(IF(AND(1000000&lt;$P$6,$P$6&lt;2000000,ABS($W38)&gt;70),"Förändring",(IF(AND(330000&lt;$P$6,$P$6&lt;1000000,ABS($W38)&gt;50),"Förändring",(IF(AND(200000&lt;$P$6,$P$6&lt;330000,ABS($W38)&gt;30),"Förändring",(IF(AND($P$6&lt;200000,ABS($W38)&gt;10),"Förändring",(IF(K38=0,"",IF(L38=0,"",(K38-L38)/L38))))))))))))</f>
        <v>#DIV/0!</v>
      </c>
      <c r="P38" s="810" t="str">
        <f t="shared" si="4"/>
        <v/>
      </c>
      <c r="Q38" s="67"/>
      <c r="W38" s="131" t="e">
        <f t="shared" si="8"/>
        <v>#DIV/0!</v>
      </c>
    </row>
    <row r="39" spans="1:23" ht="15" customHeight="1" x14ac:dyDescent="0.25">
      <c r="A39" s="46" t="s">
        <v>197</v>
      </c>
      <c r="B39" s="18" t="s">
        <v>118</v>
      </c>
      <c r="C39" s="479"/>
      <c r="D39" s="480"/>
      <c r="E39" s="479"/>
      <c r="F39" s="448"/>
      <c r="G39" s="418"/>
      <c r="H39" s="580">
        <f t="shared" si="9"/>
        <v>0</v>
      </c>
      <c r="I39" s="485"/>
      <c r="J39" s="172"/>
      <c r="K39" s="496" t="e">
        <f t="shared" si="6"/>
        <v>#DIV/0!</v>
      </c>
      <c r="L39" s="52" t="e">
        <f t="shared" si="7"/>
        <v>#DIV/0!</v>
      </c>
      <c r="M39" s="405" t="e">
        <f t="shared" si="0"/>
        <v>#DIV/0!</v>
      </c>
      <c r="N39" s="990"/>
      <c r="O39" s="340" t="e">
        <f>IF(AND(2000000&lt;$P$6,ABS($W39)&gt;100),"Förändring",(IF(AND(1000000&lt;$P$6,$P$6&lt;2000000,ABS($W39)&gt;70),"Förändring",(IF(AND(330000&lt;$P$6,$P$6&lt;1000000,ABS($W39)&gt;50),"Förändring",(IF(AND(200000&lt;$P$6,$P$6&lt;330000,ABS($W39)&gt;30),"Förändring",(IF(AND($P$6&lt;200000,ABS($W39)&gt;10),"Förändring",(IF(K39=0,"",IF(L39=0,"",(K39-L39)/L39))))))))))))</f>
        <v>#DIV/0!</v>
      </c>
      <c r="P39" s="810" t="str">
        <f t="shared" si="4"/>
        <v/>
      </c>
      <c r="Q39" s="67"/>
      <c r="W39" s="131" t="e">
        <f t="shared" si="8"/>
        <v>#DIV/0!</v>
      </c>
    </row>
    <row r="40" spans="1:23" ht="15" customHeight="1" x14ac:dyDescent="0.25">
      <c r="A40" s="46" t="s">
        <v>198</v>
      </c>
      <c r="B40" s="18" t="s">
        <v>474</v>
      </c>
      <c r="C40" s="479"/>
      <c r="D40" s="480"/>
      <c r="E40" s="479"/>
      <c r="F40" s="448"/>
      <c r="G40" s="418"/>
      <c r="H40" s="580">
        <f t="shared" si="9"/>
        <v>0</v>
      </c>
      <c r="I40" s="485"/>
      <c r="J40" s="172"/>
      <c r="K40" s="496" t="e">
        <f t="shared" si="6"/>
        <v>#DIV/0!</v>
      </c>
      <c r="L40" s="52" t="e">
        <f t="shared" si="7"/>
        <v>#DIV/0!</v>
      </c>
      <c r="M40" s="405" t="e">
        <f t="shared" si="0"/>
        <v>#DIV/0!</v>
      </c>
      <c r="N40" s="990"/>
      <c r="O40" s="340"/>
      <c r="P40" s="810" t="str">
        <f t="shared" si="4"/>
        <v/>
      </c>
      <c r="Q40" s="67"/>
      <c r="W40" s="131" t="e">
        <f t="shared" si="8"/>
        <v>#DIV/0!</v>
      </c>
    </row>
    <row r="41" spans="1:23" ht="15" customHeight="1" x14ac:dyDescent="0.25">
      <c r="A41" s="46" t="s">
        <v>199</v>
      </c>
      <c r="B41" s="18" t="s">
        <v>7</v>
      </c>
      <c r="C41" s="479"/>
      <c r="D41" s="480"/>
      <c r="E41" s="479"/>
      <c r="F41" s="448"/>
      <c r="G41" s="418"/>
      <c r="H41" s="580">
        <f t="shared" si="9"/>
        <v>0</v>
      </c>
      <c r="I41" s="485"/>
      <c r="J41" s="172"/>
      <c r="K41" s="496" t="e">
        <f t="shared" si="6"/>
        <v>#DIV/0!</v>
      </c>
      <c r="L41" s="52" t="e">
        <f t="shared" si="7"/>
        <v>#DIV/0!</v>
      </c>
      <c r="M41" s="405" t="e">
        <f t="shared" si="0"/>
        <v>#DIV/0!</v>
      </c>
      <c r="N41" s="991"/>
      <c r="O41" s="340"/>
      <c r="P41" s="810" t="str">
        <f t="shared" si="4"/>
        <v/>
      </c>
      <c r="Q41" s="67"/>
      <c r="W41" s="131" t="e">
        <f t="shared" si="8"/>
        <v>#DIV/0!</v>
      </c>
    </row>
    <row r="42" spans="1:23" ht="15" customHeight="1" x14ac:dyDescent="0.25">
      <c r="A42" s="46" t="s">
        <v>200</v>
      </c>
      <c r="B42" s="18" t="s">
        <v>112</v>
      </c>
      <c r="C42" s="479"/>
      <c r="D42" s="480"/>
      <c r="E42" s="479"/>
      <c r="F42" s="448"/>
      <c r="G42" s="418"/>
      <c r="H42" s="580">
        <f t="shared" si="9"/>
        <v>0</v>
      </c>
      <c r="I42" s="485"/>
      <c r="J42" s="172"/>
      <c r="K42" s="496" t="e">
        <f t="shared" si="6"/>
        <v>#DIV/0!</v>
      </c>
      <c r="L42" s="52" t="e">
        <f t="shared" si="7"/>
        <v>#DIV/0!</v>
      </c>
      <c r="M42" s="405" t="e">
        <f t="shared" si="0"/>
        <v>#DIV/0!</v>
      </c>
      <c r="N42" s="159"/>
      <c r="O42" s="340" t="e">
        <f>IF(AND(2000000&lt;$P$6,ABS($W42)&gt;100),"Förändring",(IF(AND(1000000&lt;$P$6,$P$6&lt;2000000,ABS($W42)&gt;70),"Förändring",(IF(AND(330000&lt;$P$6,$P$6&lt;1000000,ABS($W42)&gt;50),"Förändring",(IF(AND(200000&lt;$P$6,$P$6&lt;330000,ABS($W42)&gt;30),"Förändring",(IF(AND($P$6&lt;200000,ABS($W42)&gt;10),"Förändring",(IF(K42=0,"",IF(L42=0,"",(K42-L42)/L42))))))))))))</f>
        <v>#DIV/0!</v>
      </c>
      <c r="P42" s="810" t="str">
        <f t="shared" si="4"/>
        <v/>
      </c>
      <c r="Q42" s="67"/>
      <c r="W42" s="131" t="e">
        <f t="shared" si="8"/>
        <v>#DIV/0!</v>
      </c>
    </row>
    <row r="43" spans="1:23" ht="15" customHeight="1" x14ac:dyDescent="0.25">
      <c r="A43" s="46" t="s">
        <v>201</v>
      </c>
      <c r="B43" s="18" t="s">
        <v>157</v>
      </c>
      <c r="C43" s="479"/>
      <c r="D43" s="480"/>
      <c r="E43" s="71"/>
      <c r="F43" s="448"/>
      <c r="G43" s="418"/>
      <c r="H43" s="580">
        <f t="shared" si="9"/>
        <v>0</v>
      </c>
      <c r="I43" s="485"/>
      <c r="J43" s="172"/>
      <c r="K43" s="496" t="e">
        <f t="shared" si="6"/>
        <v>#DIV/0!</v>
      </c>
      <c r="L43" s="52" t="e">
        <f t="shared" si="7"/>
        <v>#DIV/0!</v>
      </c>
      <c r="M43" s="405" t="e">
        <f t="shared" si="0"/>
        <v>#DIV/0!</v>
      </c>
      <c r="N43" s="159"/>
      <c r="O43" s="340"/>
      <c r="P43" s="810" t="str">
        <f t="shared" si="4"/>
        <v/>
      </c>
      <c r="Q43" s="67"/>
      <c r="W43" s="131" t="e">
        <f t="shared" si="8"/>
        <v>#DIV/0!</v>
      </c>
    </row>
    <row r="44" spans="1:23" ht="15" customHeight="1" x14ac:dyDescent="0.25">
      <c r="A44" s="46" t="s">
        <v>202</v>
      </c>
      <c r="B44" s="112" t="s">
        <v>155</v>
      </c>
      <c r="C44" s="479"/>
      <c r="D44" s="480"/>
      <c r="E44" s="71"/>
      <c r="F44" s="448"/>
      <c r="G44" s="418"/>
      <c r="H44" s="580">
        <f t="shared" si="9"/>
        <v>0</v>
      </c>
      <c r="I44" s="485"/>
      <c r="J44" s="172"/>
      <c r="K44" s="496" t="e">
        <f t="shared" si="6"/>
        <v>#DIV/0!</v>
      </c>
      <c r="L44" s="52" t="e">
        <f t="shared" si="7"/>
        <v>#DIV/0!</v>
      </c>
      <c r="M44" s="405" t="e">
        <f t="shared" si="0"/>
        <v>#DIV/0!</v>
      </c>
      <c r="N44" s="809" t="str">
        <f>IF(C44="","",IF(ABS(C44/C37)&gt;0.1,"Vad ingår på rad 490? Kommentera",""))</f>
        <v/>
      </c>
      <c r="O44" s="340" t="e">
        <f>IF(AND(2000000&lt;$P$6,ABS($W44)&gt;100),"Förändring",(IF(AND(1000000&lt;$P$6,$P$6&lt;2000000,ABS($W44)&gt;70),"Förändring",(IF(AND(330000&lt;$P$6,$P$6&lt;1000000,ABS($W44)&gt;50),"Förändring",(IF(AND(200000&lt;$P$6,$P$6&lt;330000,ABS($W44)&gt;30),"Förändring",(IF(AND($P$6&lt;200000,ABS($W44)&gt;10),"Förändring",(IF(K44=0,"",IF(L44=0,"",(K44-L44)/L44))))))))))))</f>
        <v>#DIV/0!</v>
      </c>
      <c r="P44" s="810" t="str">
        <f t="shared" si="4"/>
        <v/>
      </c>
      <c r="Q44" s="67"/>
      <c r="W44" s="131" t="e">
        <f t="shared" si="8"/>
        <v>#DIV/0!</v>
      </c>
    </row>
    <row r="45" spans="1:23" ht="15" customHeight="1" x14ac:dyDescent="0.25">
      <c r="A45" s="504"/>
      <c r="B45" s="112"/>
      <c r="C45" s="790"/>
      <c r="D45" s="480"/>
      <c r="E45" s="790"/>
      <c r="F45" s="792"/>
      <c r="G45" s="422"/>
      <c r="H45" s="490"/>
      <c r="I45" s="491"/>
      <c r="J45" s="173"/>
      <c r="K45" s="497"/>
      <c r="L45" s="340"/>
      <c r="M45" s="543" t="str">
        <f>IF(L45=0,"",(K45-L45)/L45)</f>
        <v/>
      </c>
      <c r="N45" s="22"/>
      <c r="O45" s="340"/>
      <c r="P45" s="40"/>
      <c r="Q45" s="67"/>
      <c r="W45" s="131"/>
    </row>
    <row r="46" spans="1:23" ht="15" customHeight="1" x14ac:dyDescent="0.25">
      <c r="A46" s="505"/>
      <c r="B46" s="112"/>
      <c r="C46" s="791"/>
      <c r="D46" s="480"/>
      <c r="E46" s="790"/>
      <c r="F46" s="792"/>
      <c r="G46" s="422"/>
      <c r="H46" s="492"/>
      <c r="I46" s="491"/>
      <c r="J46" s="173"/>
      <c r="K46" s="497"/>
      <c r="L46" s="340"/>
      <c r="M46" s="159" t="str">
        <f>IF(L46=0,"",(K46-L46)/L46)</f>
        <v/>
      </c>
      <c r="N46" s="22"/>
      <c r="O46" s="340"/>
      <c r="P46" s="40"/>
      <c r="Q46" s="67"/>
      <c r="W46" s="131"/>
    </row>
    <row r="47" spans="1:23" ht="15" customHeight="1" x14ac:dyDescent="0.25">
      <c r="A47" s="100" t="s">
        <v>203</v>
      </c>
      <c r="B47" s="17" t="s">
        <v>410</v>
      </c>
      <c r="C47" s="822"/>
      <c r="D47" s="480"/>
      <c r="E47" s="718">
        <f>E10</f>
        <v>0</v>
      </c>
      <c r="F47" s="763">
        <f>F10</f>
        <v>0</v>
      </c>
      <c r="G47" s="422"/>
      <c r="H47" s="492"/>
      <c r="I47" s="491"/>
      <c r="J47" s="173"/>
      <c r="K47" s="497"/>
      <c r="L47" s="340"/>
      <c r="M47" s="159" t="str">
        <f>IF(L47=0,"",(K47-L47)/L47)</f>
        <v/>
      </c>
      <c r="N47" s="22"/>
      <c r="O47" s="340"/>
      <c r="P47" s="40"/>
      <c r="Q47" s="67"/>
      <c r="W47" s="131"/>
    </row>
    <row r="48" spans="1:23" ht="15" customHeight="1" x14ac:dyDescent="0.25">
      <c r="A48" s="118"/>
      <c r="B48" s="18"/>
      <c r="C48" s="822"/>
      <c r="D48" s="480"/>
      <c r="E48" s="822"/>
      <c r="F48" s="480"/>
      <c r="G48" s="422"/>
      <c r="H48" s="493"/>
      <c r="I48" s="489"/>
      <c r="J48" s="173"/>
      <c r="K48" s="497"/>
      <c r="L48" s="6"/>
      <c r="M48" s="159" t="str">
        <f>IF(L48=0,"",(K48-L48)/L48)</f>
        <v/>
      </c>
      <c r="N48" s="6"/>
      <c r="O48" s="340"/>
      <c r="P48" s="40"/>
      <c r="Q48" s="67"/>
      <c r="W48" s="131"/>
    </row>
    <row r="49" spans="1:23" ht="15" customHeight="1" thickBot="1" x14ac:dyDescent="0.3">
      <c r="A49" s="423" t="s">
        <v>204</v>
      </c>
      <c r="B49" s="821" t="s">
        <v>478</v>
      </c>
      <c r="C49" s="483"/>
      <c r="D49" s="823"/>
      <c r="E49" s="824"/>
      <c r="F49" s="825"/>
      <c r="G49" s="422"/>
      <c r="H49" s="494">
        <f>C49</f>
        <v>0</v>
      </c>
      <c r="I49" s="495"/>
      <c r="J49" s="173"/>
      <c r="K49" s="764" t="e">
        <f>H49*1000000/$P$6</f>
        <v>#DIV/0!</v>
      </c>
      <c r="L49" s="765" t="e">
        <f>I49*1000000/$P$7</f>
        <v>#DIV/0!</v>
      </c>
      <c r="M49" s="766" t="e">
        <f>IF(L49=0,"",(K49-L49)/L49)</f>
        <v>#DIV/0!</v>
      </c>
      <c r="N49" s="6"/>
      <c r="O49" s="340"/>
      <c r="P49" s="40"/>
      <c r="Q49" s="67"/>
      <c r="W49" s="131" t="e">
        <f>IF(ABS(M49)&gt;8%,H49-I49,1)</f>
        <v>#DIV/0!</v>
      </c>
    </row>
    <row r="50" spans="1:23" s="130" customFormat="1" ht="26.25" customHeight="1" x14ac:dyDescent="0.3">
      <c r="A50" s="347" t="s">
        <v>234</v>
      </c>
      <c r="B50" s="553" t="s">
        <v>135</v>
      </c>
      <c r="C50" s="582">
        <f>C51+C58+C64+C68+C76</f>
        <v>0</v>
      </c>
      <c r="D50" s="429"/>
      <c r="E50" s="502"/>
      <c r="F50" s="549"/>
      <c r="G50" s="143"/>
      <c r="H50" s="143"/>
      <c r="I50" s="143"/>
      <c r="K50" s="431" t="e">
        <f t="shared" ref="K50:K55" si="10">C50*1000000/$P$6</f>
        <v>#DIV/0!</v>
      </c>
      <c r="L50" s="51" t="e">
        <f t="shared" ref="L50:L55" si="11">D50*1000000/$P$7</f>
        <v>#DIV/0!</v>
      </c>
      <c r="M50" s="542" t="e">
        <f>IF(L50=0,"0%",(K50-L50)/L50)</f>
        <v>#DIV/0!</v>
      </c>
      <c r="N50" s="98"/>
      <c r="O50" s="340"/>
      <c r="P50" s="40"/>
      <c r="Q50" s="80"/>
      <c r="W50" s="131" t="e">
        <f t="shared" ref="W50:W55" si="12">IF(ABS(M50)&gt;8%,C50-D50,1)</f>
        <v>#DIV/0!</v>
      </c>
    </row>
    <row r="51" spans="1:23" s="130" customFormat="1" ht="17.25" customHeight="1" x14ac:dyDescent="0.25">
      <c r="A51" s="99" t="s">
        <v>72</v>
      </c>
      <c r="B51" s="17" t="s">
        <v>293</v>
      </c>
      <c r="C51" s="573">
        <f>SUM(C52:C55)</f>
        <v>0</v>
      </c>
      <c r="D51" s="484"/>
      <c r="E51" s="129"/>
      <c r="F51" s="129"/>
      <c r="G51" s="129"/>
      <c r="H51" s="129"/>
      <c r="I51" s="174"/>
      <c r="J51" s="174"/>
      <c r="K51" s="431" t="e">
        <f t="shared" si="10"/>
        <v>#DIV/0!</v>
      </c>
      <c r="L51" s="51" t="e">
        <f t="shared" si="11"/>
        <v>#DIV/0!</v>
      </c>
      <c r="M51" s="542" t="e">
        <f t="shared" ref="M51:M80" si="13">IF(L51=0,"0%",(K51-L51)/L51)</f>
        <v>#DIV/0!</v>
      </c>
      <c r="N51" s="159" t="s">
        <v>295</v>
      </c>
      <c r="O51" s="340"/>
      <c r="P51" s="90"/>
      <c r="Q51" s="57"/>
      <c r="W51" s="131" t="e">
        <f t="shared" si="12"/>
        <v>#DIV/0!</v>
      </c>
    </row>
    <row r="52" spans="1:23" s="130" customFormat="1" ht="15" customHeight="1" x14ac:dyDescent="0.25">
      <c r="A52" s="47" t="s">
        <v>205</v>
      </c>
      <c r="B52" s="18" t="s">
        <v>10</v>
      </c>
      <c r="C52" s="479"/>
      <c r="D52" s="485"/>
      <c r="E52" s="129"/>
      <c r="F52" s="129"/>
      <c r="G52" s="129"/>
      <c r="H52" s="129"/>
      <c r="I52" s="174"/>
      <c r="J52" s="174"/>
      <c r="K52" s="496" t="e">
        <f t="shared" si="10"/>
        <v>#DIV/0!</v>
      </c>
      <c r="L52" s="52" t="e">
        <f t="shared" si="11"/>
        <v>#DIV/0!</v>
      </c>
      <c r="M52" s="405" t="e">
        <f t="shared" si="13"/>
        <v>#DIV/0!</v>
      </c>
      <c r="N52" s="989"/>
      <c r="O52" s="340"/>
      <c r="P52" s="90"/>
      <c r="Q52" s="67"/>
      <c r="W52" s="131" t="e">
        <f t="shared" si="12"/>
        <v>#DIV/0!</v>
      </c>
    </row>
    <row r="53" spans="1:23" ht="15" customHeight="1" x14ac:dyDescent="0.25">
      <c r="A53" s="46" t="s">
        <v>206</v>
      </c>
      <c r="B53" s="18" t="s">
        <v>8</v>
      </c>
      <c r="C53" s="479"/>
      <c r="D53" s="485"/>
      <c r="H53" s="129"/>
      <c r="I53" s="174"/>
      <c r="J53" s="174"/>
      <c r="K53" s="496" t="e">
        <f t="shared" si="10"/>
        <v>#DIV/0!</v>
      </c>
      <c r="L53" s="52" t="e">
        <f t="shared" si="11"/>
        <v>#DIV/0!</v>
      </c>
      <c r="M53" s="720" t="e">
        <f t="shared" si="13"/>
        <v>#DIV/0!</v>
      </c>
      <c r="N53" s="990"/>
      <c r="O53" s="340"/>
      <c r="P53" s="90"/>
      <c r="Q53" s="67"/>
      <c r="R53" s="130"/>
      <c r="S53" s="130"/>
      <c r="T53" s="130"/>
      <c r="U53" s="130"/>
      <c r="V53" s="130"/>
      <c r="W53" s="131" t="e">
        <f t="shared" si="12"/>
        <v>#DIV/0!</v>
      </c>
    </row>
    <row r="54" spans="1:23" ht="15" customHeight="1" x14ac:dyDescent="0.25">
      <c r="A54" s="46" t="s">
        <v>207</v>
      </c>
      <c r="B54" s="18" t="s">
        <v>9</v>
      </c>
      <c r="C54" s="479"/>
      <c r="D54" s="485"/>
      <c r="H54" s="129"/>
      <c r="I54" s="174"/>
      <c r="J54" s="174"/>
      <c r="K54" s="496" t="e">
        <f t="shared" si="10"/>
        <v>#DIV/0!</v>
      </c>
      <c r="L54" s="52" t="e">
        <f t="shared" si="11"/>
        <v>#DIV/0!</v>
      </c>
      <c r="M54" s="405" t="e">
        <f t="shared" si="13"/>
        <v>#DIV/0!</v>
      </c>
      <c r="N54" s="990"/>
      <c r="O54" s="340"/>
      <c r="P54" s="90"/>
      <c r="Q54" s="67"/>
      <c r="W54" s="131" t="e">
        <f t="shared" si="12"/>
        <v>#DIV/0!</v>
      </c>
    </row>
    <row r="55" spans="1:23" ht="15" customHeight="1" x14ac:dyDescent="0.25">
      <c r="A55" s="46" t="s">
        <v>208</v>
      </c>
      <c r="B55" s="18" t="s">
        <v>489</v>
      </c>
      <c r="C55" s="479"/>
      <c r="D55" s="485"/>
      <c r="H55" s="129"/>
      <c r="I55" s="174"/>
      <c r="J55" s="174"/>
      <c r="K55" s="496" t="e">
        <f t="shared" si="10"/>
        <v>#DIV/0!</v>
      </c>
      <c r="L55" s="52" t="e">
        <f t="shared" si="11"/>
        <v>#DIV/0!</v>
      </c>
      <c r="M55" s="720" t="e">
        <f>IF(L55=0,"0%",(K55-L55)/L55)</f>
        <v>#DIV/0!</v>
      </c>
      <c r="N55" s="991"/>
      <c r="O55" s="340" t="e">
        <f>IF(AND(2000000&lt;$P$6,ABS($W55)&gt;100),"Förändring",(IF(AND(1000000&lt;$P$6,$P$6&lt;2000000,ABS($W55)&gt;70),"Förändring",(IF(AND(330000&lt;$P$6,$P$6&lt;1000000,ABS($W55)&gt;50),"Förändring",(IF(AND(200000&lt;$P$6,$P$6&lt;330000,ABS($W55)&gt;30),"Förändring",(IF(AND($P$6&lt;200000,ABS($W55)&gt;10),"Förändring",(IF(K55=0,"",IF(L55=0,"",(K55-L55)/L55))))))))))))</f>
        <v>#DIV/0!</v>
      </c>
      <c r="P55" s="90"/>
      <c r="Q55" s="67"/>
      <c r="W55" s="131" t="e">
        <f t="shared" si="12"/>
        <v>#DIV/0!</v>
      </c>
    </row>
    <row r="56" spans="1:23" ht="15" customHeight="1" x14ac:dyDescent="0.25">
      <c r="A56" s="503"/>
      <c r="B56" s="18"/>
      <c r="C56" s="790"/>
      <c r="D56" s="485"/>
      <c r="H56" s="129"/>
      <c r="I56" s="174"/>
      <c r="J56" s="174"/>
      <c r="K56" s="92"/>
      <c r="L56" s="19"/>
      <c r="M56" s="159"/>
      <c r="N56" s="809" t="str">
        <f>IF(C55="","",IF(ABS(C55/C51)&gt;0.1,"Vad ingår på rad 590? Kommentera",""))</f>
        <v/>
      </c>
      <c r="O56" s="340"/>
      <c r="P56" s="90"/>
      <c r="Q56" s="67"/>
      <c r="W56" s="131"/>
    </row>
    <row r="57" spans="1:23" ht="15" customHeight="1" x14ac:dyDescent="0.25">
      <c r="A57" s="503"/>
      <c r="B57" s="18"/>
      <c r="C57" s="791"/>
      <c r="D57" s="485"/>
      <c r="E57" s="174"/>
      <c r="F57" s="174"/>
      <c r="G57" s="174"/>
      <c r="H57" s="174"/>
      <c r="I57" s="130"/>
      <c r="J57" s="174"/>
      <c r="K57" s="93"/>
      <c r="L57" s="6"/>
      <c r="M57" s="405"/>
      <c r="N57" s="91"/>
      <c r="O57" s="340"/>
      <c r="P57" s="90"/>
      <c r="Q57" s="67"/>
      <c r="W57" s="131"/>
    </row>
    <row r="58" spans="1:23" ht="15" customHeight="1" x14ac:dyDescent="0.25">
      <c r="A58" s="100" t="s">
        <v>151</v>
      </c>
      <c r="B58" s="39" t="s">
        <v>465</v>
      </c>
      <c r="C58" s="573">
        <f>SUM(C59:C61)</f>
        <v>0</v>
      </c>
      <c r="D58" s="484"/>
      <c r="H58" s="129"/>
      <c r="J58" s="130"/>
      <c r="K58" s="764" t="e">
        <f>C58*1000000/$P$6</f>
        <v>#DIV/0!</v>
      </c>
      <c r="L58" s="765" t="e">
        <f>D58*1000000/$P$7</f>
        <v>#DIV/0!</v>
      </c>
      <c r="M58" s="542" t="e">
        <f t="shared" si="13"/>
        <v>#DIV/0!</v>
      </c>
      <c r="N58" s="159"/>
      <c r="O58" s="340"/>
      <c r="P58" s="90"/>
      <c r="Q58" s="94"/>
      <c r="W58" s="131" t="e">
        <f>IF(ABS(M58)&gt;8%,C58-D58,1)</f>
        <v>#DIV/0!</v>
      </c>
    </row>
    <row r="59" spans="1:23" s="130" customFormat="1" ht="15" customHeight="1" x14ac:dyDescent="0.25">
      <c r="A59" s="46" t="s">
        <v>209</v>
      </c>
      <c r="B59" s="18" t="s">
        <v>12</v>
      </c>
      <c r="C59" s="479"/>
      <c r="D59" s="485"/>
      <c r="E59" s="129"/>
      <c r="F59" s="129"/>
      <c r="G59" s="129"/>
      <c r="H59" s="129"/>
      <c r="I59" s="129"/>
      <c r="J59" s="129"/>
      <c r="K59" s="496" t="e">
        <f>C59*1000000/$P$6</f>
        <v>#DIV/0!</v>
      </c>
      <c r="L59" s="52" t="e">
        <f>D59*1000000/$P$7</f>
        <v>#DIV/0!</v>
      </c>
      <c r="M59" s="405" t="e">
        <f t="shared" si="13"/>
        <v>#DIV/0!</v>
      </c>
      <c r="N59" s="159"/>
      <c r="O59" s="340" t="e">
        <f>IF(AND(2000000&lt;$P$6,ABS($W59)&gt;100),"Förändring",(IF(AND(1000000&lt;$P$6,$P$6&lt;2000000,ABS($W59)&gt;70),"Förändring",(IF(AND(330000&lt;$P$6,$P$6&lt;1000000,ABS($W59)&gt;50),"Förändring",(IF(AND(200000&lt;$P$6,$P$6&lt;330000,ABS($W59)&gt;30),"Förändring",(IF(AND($P$6&lt;200000,ABS($W59)&gt;10),"Förändring",(IF(K59=0,"",IF(L59=0,"",(K59-L59)/L59))))))))))))</f>
        <v>#DIV/0!</v>
      </c>
      <c r="P59" s="40"/>
      <c r="Q59" s="67"/>
      <c r="R59" s="129"/>
      <c r="S59" s="129"/>
      <c r="T59" s="129"/>
      <c r="U59" s="129"/>
      <c r="V59" s="129"/>
      <c r="W59" s="131" t="e">
        <f>IF(ABS(M59)&gt;8%,C59-D59,1)</f>
        <v>#DIV/0!</v>
      </c>
    </row>
    <row r="60" spans="1:23" ht="15" customHeight="1" x14ac:dyDescent="0.25">
      <c r="A60" s="46" t="s">
        <v>210</v>
      </c>
      <c r="B60" s="18" t="s">
        <v>512</v>
      </c>
      <c r="C60" s="479"/>
      <c r="D60" s="485"/>
      <c r="H60" s="129"/>
      <c r="K60" s="496" t="e">
        <f>C60*1000000/$P$6</f>
        <v>#DIV/0!</v>
      </c>
      <c r="L60" s="52" t="e">
        <f>D60*1000000/$P$7</f>
        <v>#DIV/0!</v>
      </c>
      <c r="M60" s="405" t="e">
        <f t="shared" si="13"/>
        <v>#DIV/0!</v>
      </c>
      <c r="N60" s="159"/>
      <c r="O60" s="340" t="e">
        <f>IF(AND(2000000&lt;$P$6,ABS($W60)&gt;100),"Förändring",(IF(AND(1000000&lt;$P$6,$P$6&lt;2000000,ABS($W60)&gt;70),"Förändring",(IF(AND(330000&lt;$P$6,$P$6&lt;1000000,ABS($W60)&gt;50),"Förändring",(IF(AND(200000&lt;$P$6,$P$6&lt;330000,ABS($W60)&gt;30),"Förändring",(IF(AND($P$6&lt;200000,ABS($W60)&gt;10),"Förändring",(IF(K60=0,"",IF(L60=0,"",(K60-L60)/L60))))))))))))</f>
        <v>#DIV/0!</v>
      </c>
      <c r="P60" s="40"/>
      <c r="Q60" s="67"/>
      <c r="R60" s="174"/>
      <c r="S60" s="130"/>
      <c r="T60" s="130"/>
      <c r="U60" s="130"/>
      <c r="V60" s="130"/>
      <c r="W60" s="131" t="e">
        <f>IF(ABS(M60)&gt;8%,C60-D60,1)</f>
        <v>#DIV/0!</v>
      </c>
    </row>
    <row r="61" spans="1:23" ht="15" customHeight="1" x14ac:dyDescent="0.25">
      <c r="A61" s="46" t="s">
        <v>211</v>
      </c>
      <c r="B61" s="18" t="s">
        <v>552</v>
      </c>
      <c r="C61" s="479"/>
      <c r="D61" s="485"/>
      <c r="H61" s="129"/>
      <c r="K61" s="496" t="e">
        <f>C61*1000000/$P$6</f>
        <v>#DIV/0!</v>
      </c>
      <c r="L61" s="52" t="e">
        <f>D61*1000000/$P$7</f>
        <v>#DIV/0!</v>
      </c>
      <c r="M61" s="405" t="e">
        <f t="shared" si="13"/>
        <v>#DIV/0!</v>
      </c>
      <c r="N61" s="809" t="str">
        <f>IF(C61="","",IF(ABS(C61/C58)&gt;0.1,"Vad ingår på rad 690? Kommentera",""))</f>
        <v/>
      </c>
      <c r="O61" s="340" t="e">
        <f>IF(AND(2000000&lt;$P$6,ABS($W61)&gt;100),"Förändring",(IF(AND(1000000&lt;$P$6,$P$6&lt;2000000,ABS($W61)&gt;70),"Förändring",(IF(AND(330000&lt;$P$6,$P$6&lt;1000000,ABS($W61)&gt;50),"Förändring",(IF(AND(200000&lt;$P$6,$P$6&lt;330000,ABS($W61)&gt;30),"Förändring",(IF(AND($P$6&lt;200000,ABS($W61)&gt;10),"Förändring",(IF(K61=0,"",IF(L61=0,"",(K61-L61)/L61))))))))))))</f>
        <v>#DIV/0!</v>
      </c>
      <c r="P61" s="40"/>
      <c r="Q61" s="67"/>
      <c r="W61" s="131" t="e">
        <f>IF(ABS(M61)&gt;8%,C61-D61,1)</f>
        <v>#DIV/0!</v>
      </c>
    </row>
    <row r="62" spans="1:23" ht="15" customHeight="1" x14ac:dyDescent="0.25">
      <c r="A62" s="503"/>
      <c r="B62" s="18"/>
      <c r="C62" s="790"/>
      <c r="D62" s="485"/>
      <c r="H62" s="129"/>
      <c r="K62" s="95"/>
      <c r="L62" s="19"/>
      <c r="M62" s="543"/>
      <c r="N62" s="6"/>
      <c r="O62" s="340"/>
      <c r="P62" s="40"/>
      <c r="Q62" s="67"/>
      <c r="W62" s="131"/>
    </row>
    <row r="63" spans="1:23" ht="15" customHeight="1" x14ac:dyDescent="0.25">
      <c r="A63" s="503"/>
      <c r="B63" s="18"/>
      <c r="C63" s="791"/>
      <c r="D63" s="485"/>
      <c r="E63" s="130"/>
      <c r="F63" s="130"/>
      <c r="G63" s="130"/>
      <c r="H63" s="130"/>
      <c r="I63" s="130"/>
      <c r="K63" s="78"/>
      <c r="L63" s="6"/>
      <c r="M63" s="405"/>
      <c r="N63" s="6"/>
      <c r="O63" s="340"/>
      <c r="P63" s="40"/>
      <c r="Q63" s="67"/>
      <c r="W63" s="131"/>
    </row>
    <row r="64" spans="1:23" ht="15" customHeight="1" x14ac:dyDescent="0.25">
      <c r="A64" s="100" t="s">
        <v>152</v>
      </c>
      <c r="B64" s="39" t="s">
        <v>466</v>
      </c>
      <c r="C64" s="573">
        <f>SUM(C65+C67)</f>
        <v>0</v>
      </c>
      <c r="D64" s="484"/>
      <c r="H64" s="129"/>
      <c r="J64" s="130"/>
      <c r="K64" s="764" t="e">
        <f t="shared" ref="K64:K73" si="14">C64*1000000/$P$6</f>
        <v>#DIV/0!</v>
      </c>
      <c r="L64" s="765" t="e">
        <f>D64*1000000/$P$7</f>
        <v>#DIV/0!</v>
      </c>
      <c r="M64" s="542" t="e">
        <f t="shared" si="13"/>
        <v>#DIV/0!</v>
      </c>
      <c r="N64" s="159"/>
      <c r="O64" s="340"/>
      <c r="P64" s="60"/>
      <c r="Q64" s="57"/>
      <c r="W64" s="131" t="e">
        <f t="shared" ref="W64:W73" si="15">IF(ABS(M64)&gt;8%,C64-D64,1)</f>
        <v>#DIV/0!</v>
      </c>
    </row>
    <row r="65" spans="1:23" s="130" customFormat="1" ht="15" customHeight="1" x14ac:dyDescent="0.25">
      <c r="A65" s="46" t="s">
        <v>212</v>
      </c>
      <c r="B65" s="18" t="s">
        <v>14</v>
      </c>
      <c r="C65" s="479"/>
      <c r="D65" s="485"/>
      <c r="E65" s="129"/>
      <c r="F65" s="129"/>
      <c r="G65" s="129"/>
      <c r="H65" s="129"/>
      <c r="I65" s="129"/>
      <c r="J65" s="129"/>
      <c r="K65" s="496" t="e">
        <f>C65*1000000/$P$6</f>
        <v>#DIV/0!</v>
      </c>
      <c r="L65" s="52" t="e">
        <f t="shared" ref="L65:L73" si="16">D65*1000000/$P$7</f>
        <v>#DIV/0!</v>
      </c>
      <c r="M65" s="405" t="e">
        <f t="shared" si="13"/>
        <v>#DIV/0!</v>
      </c>
      <c r="N65" s="159"/>
      <c r="O65" s="340"/>
      <c r="P65" s="40"/>
      <c r="Q65" s="67"/>
      <c r="R65" s="129"/>
      <c r="S65" s="129"/>
      <c r="T65" s="129"/>
      <c r="U65" s="129"/>
      <c r="V65" s="129"/>
      <c r="W65" s="131" t="e">
        <f t="shared" si="15"/>
        <v>#DIV/0!</v>
      </c>
    </row>
    <row r="66" spans="1:23" s="130" customFormat="1" ht="15" customHeight="1" x14ac:dyDescent="0.25">
      <c r="A66" s="46" t="s">
        <v>462</v>
      </c>
      <c r="B66" s="18" t="s">
        <v>460</v>
      </c>
      <c r="C66" s="479"/>
      <c r="D66" s="485"/>
      <c r="E66" s="129"/>
      <c r="F66" s="129"/>
      <c r="G66" s="129"/>
      <c r="H66" s="129"/>
      <c r="I66" s="129"/>
      <c r="J66" s="129"/>
      <c r="K66" s="496" t="e">
        <f>C66*1000000/$P$6</f>
        <v>#DIV/0!</v>
      </c>
      <c r="L66" s="52" t="e">
        <f t="shared" si="16"/>
        <v>#DIV/0!</v>
      </c>
      <c r="M66" s="720" t="e">
        <f>IF(L66=0,"0%",(K66-L66)/L66)</f>
        <v>#DIV/0!</v>
      </c>
      <c r="N66" s="159"/>
      <c r="O66" s="340"/>
      <c r="P66" s="40"/>
      <c r="Q66" s="67"/>
      <c r="R66" s="129"/>
      <c r="S66" s="129"/>
      <c r="T66" s="129"/>
      <c r="U66" s="129"/>
      <c r="V66" s="129"/>
      <c r="W66" s="131" t="e">
        <f t="shared" si="15"/>
        <v>#DIV/0!</v>
      </c>
    </row>
    <row r="67" spans="1:23" ht="15" customHeight="1" x14ac:dyDescent="0.25">
      <c r="A67" s="46" t="s">
        <v>213</v>
      </c>
      <c r="B67" s="18" t="s">
        <v>15</v>
      </c>
      <c r="C67" s="479"/>
      <c r="D67" s="485"/>
      <c r="E67" s="130"/>
      <c r="F67" s="130"/>
      <c r="G67" s="130"/>
      <c r="H67" s="130"/>
      <c r="I67" s="130"/>
      <c r="K67" s="496" t="e">
        <f t="shared" si="14"/>
        <v>#DIV/0!</v>
      </c>
      <c r="L67" s="52" t="e">
        <f t="shared" si="16"/>
        <v>#DIV/0!</v>
      </c>
      <c r="M67" s="405" t="e">
        <f t="shared" si="13"/>
        <v>#DIV/0!</v>
      </c>
      <c r="N67" s="159"/>
      <c r="O67" s="340" t="e">
        <f>IF(AND(2000000&lt;$P$6,ABS($W67)&gt;100),"Förändring",(IF(AND(1000000&lt;$P$6,$P$6&lt;2000000,ABS($W67)&gt;70),"Förändring",(IF(AND(330000&lt;$P$6,$P$6&lt;1000000,ABS($W67)&gt;50),"Förändring",(IF(AND(200000&lt;$P$6,$P$6&lt;330000,ABS($W67)&gt;30),"Förändring",(IF(AND($P$6&lt;200000,ABS($W67)&gt;10),"Förändring",(IF(K67=0,"",IF(L67=0,"",(K67-L67)/L67))))))))))))</f>
        <v>#DIV/0!</v>
      </c>
      <c r="P67" s="40"/>
      <c r="Q67" s="67"/>
      <c r="R67" s="130"/>
      <c r="S67" s="130"/>
      <c r="T67" s="130"/>
      <c r="U67" s="130"/>
      <c r="V67" s="130"/>
      <c r="W67" s="131" t="e">
        <f t="shared" si="15"/>
        <v>#DIV/0!</v>
      </c>
    </row>
    <row r="68" spans="1:23" ht="15" customHeight="1" x14ac:dyDescent="0.25">
      <c r="A68" s="100" t="s">
        <v>153</v>
      </c>
      <c r="B68" s="39" t="s">
        <v>409</v>
      </c>
      <c r="C68" s="573">
        <f>SUM(C69:C73)</f>
        <v>0</v>
      </c>
      <c r="D68" s="484"/>
      <c r="H68" s="129"/>
      <c r="J68" s="130"/>
      <c r="K68" s="431" t="e">
        <f t="shared" si="14"/>
        <v>#DIV/0!</v>
      </c>
      <c r="L68" s="51" t="e">
        <f t="shared" si="16"/>
        <v>#DIV/0!</v>
      </c>
      <c r="M68" s="542" t="e">
        <f t="shared" si="13"/>
        <v>#DIV/0!</v>
      </c>
      <c r="N68" s="159"/>
      <c r="O68" s="340"/>
      <c r="P68" s="60"/>
      <c r="Q68" s="57"/>
      <c r="W68" s="131" t="e">
        <f t="shared" si="15"/>
        <v>#DIV/0!</v>
      </c>
    </row>
    <row r="69" spans="1:23" s="130" customFormat="1" ht="15" customHeight="1" x14ac:dyDescent="0.25">
      <c r="A69" s="46" t="s">
        <v>214</v>
      </c>
      <c r="B69" s="18" t="s">
        <v>17</v>
      </c>
      <c r="C69" s="479"/>
      <c r="D69" s="485"/>
      <c r="E69" s="129"/>
      <c r="F69" s="129"/>
      <c r="G69" s="129"/>
      <c r="H69" s="129"/>
      <c r="I69" s="129"/>
      <c r="J69" s="129"/>
      <c r="K69" s="496" t="e">
        <f t="shared" si="14"/>
        <v>#DIV/0!</v>
      </c>
      <c r="L69" s="52" t="e">
        <f t="shared" si="16"/>
        <v>#DIV/0!</v>
      </c>
      <c r="M69" s="405" t="e">
        <f t="shared" si="13"/>
        <v>#DIV/0!</v>
      </c>
      <c r="N69" s="159"/>
      <c r="O69" s="340" t="e">
        <f>IF(AND(2000000&lt;$P$6,ABS($W69)&gt;100),"Förändring",(IF(AND(1000000&lt;$P$6,$P$6&lt;2000000,ABS($W69)&gt;70),"Förändring",(IF(AND(330000&lt;$P$6,$P$6&lt;1000000,ABS($W69)&gt;50),"Förändring",(IF(AND(200000&lt;$P$6,$P$6&lt;330000,ABS($W69)&gt;30),"Förändring",(IF(AND($P$6&lt;200000,ABS($W69)&gt;10),"Förändring",(IF(K69=0,"",IF(L69=0,"",(K69-L69)/L69))))))))))))</f>
        <v>#DIV/0!</v>
      </c>
      <c r="P69" s="40"/>
      <c r="Q69" s="67"/>
      <c r="R69" s="129"/>
      <c r="S69" s="129"/>
      <c r="T69" s="129"/>
      <c r="U69" s="129"/>
      <c r="V69" s="129"/>
      <c r="W69" s="131" t="e">
        <f t="shared" si="15"/>
        <v>#DIV/0!</v>
      </c>
    </row>
    <row r="70" spans="1:23" ht="15" customHeight="1" x14ac:dyDescent="0.25">
      <c r="A70" s="46" t="s">
        <v>215</v>
      </c>
      <c r="B70" s="18" t="s">
        <v>18</v>
      </c>
      <c r="C70" s="479"/>
      <c r="D70" s="485"/>
      <c r="H70" s="129"/>
      <c r="K70" s="496" t="e">
        <f t="shared" si="14"/>
        <v>#DIV/0!</v>
      </c>
      <c r="L70" s="52" t="e">
        <f t="shared" si="16"/>
        <v>#DIV/0!</v>
      </c>
      <c r="M70" s="720" t="e">
        <f t="shared" si="13"/>
        <v>#DIV/0!</v>
      </c>
      <c r="N70" s="159"/>
      <c r="O70" s="340" t="e">
        <f>IF(AND(2000000&lt;$P$6,ABS($W70)&gt;100),"Förändring",(IF(AND(1000000&lt;$P$6,$P$6&lt;2000000,ABS($W70)&gt;70),"Förändring",(IF(AND(330000&lt;$P$6,$P$6&lt;1000000,ABS($W70)&gt;50),"Förändring",(IF(AND(200000&lt;$P$6,$P$6&lt;330000,ABS($W70)&gt;30),"Förändring",(IF(AND($P$6&lt;200000,ABS($W70)&gt;10),"Förändring",(IF(K70=0,"",IF(L70=0,"",(K70-L70)/L70))))))))))))</f>
        <v>#DIV/0!</v>
      </c>
      <c r="P70" s="40"/>
      <c r="Q70" s="67"/>
      <c r="R70" s="130"/>
      <c r="S70" s="130"/>
      <c r="T70" s="130"/>
      <c r="U70" s="130"/>
      <c r="V70" s="130"/>
      <c r="W70" s="131" t="e">
        <f t="shared" si="15"/>
        <v>#DIV/0!</v>
      </c>
    </row>
    <row r="71" spans="1:23" ht="15" customHeight="1" x14ac:dyDescent="0.25">
      <c r="A71" s="46" t="s">
        <v>216</v>
      </c>
      <c r="B71" s="18" t="s">
        <v>113</v>
      </c>
      <c r="C71" s="479"/>
      <c r="D71" s="485"/>
      <c r="H71" s="129"/>
      <c r="K71" s="496" t="e">
        <f t="shared" si="14"/>
        <v>#DIV/0!</v>
      </c>
      <c r="L71" s="52" t="e">
        <f t="shared" si="16"/>
        <v>#DIV/0!</v>
      </c>
      <c r="M71" s="405" t="e">
        <f t="shared" si="13"/>
        <v>#DIV/0!</v>
      </c>
      <c r="N71" s="159"/>
      <c r="O71" s="340" t="e">
        <f>IF(AND(2000000&lt;$P$6,ABS($W71)&gt;100),"Förändring",(IF(AND(1000000&lt;$P$6,$P$6&lt;2000000,ABS($W71)&gt;70),"Förändring",(IF(AND(330000&lt;$P$6,$P$6&lt;1000000,ABS($W71)&gt;50),"Förändring",(IF(AND(200000&lt;$P$6,$P$6&lt;330000,ABS($W71)&gt;30),"Förändring",(IF(AND($P$6&lt;200000,ABS($W71)&gt;10),"Förändring",(IF(K71=0,"",IF(L71=0,"",(K71-L71)/L71))))))))))))</f>
        <v>#DIV/0!</v>
      </c>
      <c r="P71" s="40"/>
      <c r="Q71" s="67"/>
      <c r="W71" s="131" t="e">
        <f t="shared" si="15"/>
        <v>#DIV/0!</v>
      </c>
    </row>
    <row r="72" spans="1:23" ht="15" customHeight="1" x14ac:dyDescent="0.25">
      <c r="A72" s="46" t="s">
        <v>217</v>
      </c>
      <c r="B72" s="18" t="s">
        <v>158</v>
      </c>
      <c r="C72" s="479"/>
      <c r="D72" s="485"/>
      <c r="H72" s="129"/>
      <c r="K72" s="496" t="e">
        <f t="shared" si="14"/>
        <v>#DIV/0!</v>
      </c>
      <c r="L72" s="52" t="e">
        <f t="shared" si="16"/>
        <v>#DIV/0!</v>
      </c>
      <c r="M72" s="720" t="e">
        <f t="shared" si="13"/>
        <v>#DIV/0!</v>
      </c>
      <c r="N72" s="159"/>
      <c r="O72" s="340"/>
      <c r="P72" s="40"/>
      <c r="Q72" s="67"/>
      <c r="W72" s="131" t="e">
        <f t="shared" si="15"/>
        <v>#DIV/0!</v>
      </c>
    </row>
    <row r="73" spans="1:23" ht="15" customHeight="1" x14ac:dyDescent="0.25">
      <c r="A73" s="46" t="s">
        <v>218</v>
      </c>
      <c r="B73" s="671" t="s">
        <v>490</v>
      </c>
      <c r="C73" s="479"/>
      <c r="D73" s="485"/>
      <c r="H73" s="129"/>
      <c r="K73" s="496" t="e">
        <f t="shared" si="14"/>
        <v>#DIV/0!</v>
      </c>
      <c r="L73" s="52" t="e">
        <f t="shared" si="16"/>
        <v>#DIV/0!</v>
      </c>
      <c r="M73" s="405" t="e">
        <f t="shared" si="13"/>
        <v>#DIV/0!</v>
      </c>
      <c r="N73" s="809" t="str">
        <f>IF(C73="","",IF(ABS(C73/C68)&gt;0.1,"Vad ingår på rad 890? Kommentera",""))</f>
        <v/>
      </c>
      <c r="O73" s="340" t="e">
        <f>IF(AND(2000000&lt;$P$6,ABS($W73)&gt;100),"Förändring",(IF(AND(1000000&lt;$P$6,$P$6&lt;2000000,ABS($W73)&gt;70),"Förändring",(IF(AND(330000&lt;$P$6,$P$6&lt;1000000,ABS($W73)&gt;50),"Förändring",(IF(AND(200000&lt;$P$6,$P$6&lt;330000,ABS($W73)&gt;30),"Förändring",(IF(AND($P$6&lt;200000,ABS($W73)&gt;10),"Förändring",(IF(K73=0,"",IF(L73=0,"",(K73-L73)/L73))))))))))))</f>
        <v>#DIV/0!</v>
      </c>
      <c r="P73" s="40"/>
      <c r="Q73" s="67"/>
      <c r="W73" s="131" t="e">
        <f t="shared" si="15"/>
        <v>#DIV/0!</v>
      </c>
    </row>
    <row r="74" spans="1:23" ht="16.5" customHeight="1" x14ac:dyDescent="0.25">
      <c r="A74" s="504"/>
      <c r="B74" s="18"/>
      <c r="C74" s="790"/>
      <c r="D74" s="485"/>
      <c r="H74" s="129"/>
      <c r="K74" s="95"/>
      <c r="L74" s="19"/>
      <c r="M74" s="543"/>
      <c r="N74" s="6"/>
      <c r="O74" s="340"/>
      <c r="P74" s="40"/>
      <c r="Q74" s="67"/>
      <c r="W74" s="131"/>
    </row>
    <row r="75" spans="1:23" ht="15" customHeight="1" x14ac:dyDescent="0.25">
      <c r="A75" s="505"/>
      <c r="B75" s="18"/>
      <c r="C75" s="791"/>
      <c r="D75" s="485"/>
      <c r="E75" s="130"/>
      <c r="F75" s="130"/>
      <c r="G75" s="130"/>
      <c r="H75" s="130"/>
      <c r="I75" s="130"/>
      <c r="K75" s="78"/>
      <c r="L75" s="6"/>
      <c r="M75" s="405"/>
      <c r="N75" s="6"/>
      <c r="O75" s="340"/>
      <c r="P75" s="40"/>
      <c r="Q75" s="67"/>
      <c r="W75" s="131"/>
    </row>
    <row r="76" spans="1:23" ht="15" customHeight="1" x14ac:dyDescent="0.25">
      <c r="A76" s="100" t="s">
        <v>219</v>
      </c>
      <c r="B76" s="39" t="s">
        <v>479</v>
      </c>
      <c r="C76" s="498"/>
      <c r="D76" s="484"/>
      <c r="E76" s="130"/>
      <c r="F76" s="130"/>
      <c r="G76" s="130"/>
      <c r="H76" s="130"/>
      <c r="I76" s="130"/>
      <c r="J76" s="130"/>
      <c r="K76" s="764" t="e">
        <f>C76*1000000/$P$6</f>
        <v>#DIV/0!</v>
      </c>
      <c r="L76" s="765" t="e">
        <f>D76*1000000/$P$7</f>
        <v>#DIV/0!</v>
      </c>
      <c r="M76" s="542" t="e">
        <f t="shared" si="13"/>
        <v>#DIV/0!</v>
      </c>
      <c r="N76" s="159" t="s">
        <v>317</v>
      </c>
      <c r="O76" s="340"/>
      <c r="P76" s="60"/>
      <c r="Q76" s="57"/>
      <c r="W76" s="131" t="e">
        <f>IF(ABS(M76)&gt;8%,C76-D76,1)</f>
        <v>#DIV/0!</v>
      </c>
    </row>
    <row r="77" spans="1:23" ht="15" customHeight="1" x14ac:dyDescent="0.25">
      <c r="A77" s="100"/>
      <c r="B77" s="39"/>
      <c r="C77" s="790"/>
      <c r="D77" s="484"/>
      <c r="E77" s="130"/>
      <c r="F77" s="130"/>
      <c r="G77" s="130"/>
      <c r="H77" s="130"/>
      <c r="I77" s="130"/>
      <c r="J77" s="130"/>
      <c r="K77" s="767"/>
      <c r="L77" s="550"/>
      <c r="M77" s="542"/>
      <c r="N77" s="987"/>
      <c r="O77" s="340"/>
      <c r="P77" s="60"/>
      <c r="Q77" s="57"/>
      <c r="W77" s="131"/>
    </row>
    <row r="78" spans="1:23" ht="15" customHeight="1" x14ac:dyDescent="0.25">
      <c r="A78" s="100" t="s">
        <v>321</v>
      </c>
      <c r="B78" s="554" t="s">
        <v>312</v>
      </c>
      <c r="C78" s="479"/>
      <c r="D78" s="485"/>
      <c r="E78" s="892" t="str">
        <f>IF('3. Drift. kostnader'!L41=0,"",IF('3. Drift. kostnader'!L40-'2. Drift.  intäkter'!J39&lt;&gt;'1. Nettokostnader'!C78,"Jämf.st. poster ska motsvara nettot av jämf.st. i flik 2 o 3, rätta eller kommentera",""))</f>
        <v/>
      </c>
      <c r="F78" s="130"/>
      <c r="G78" s="130"/>
      <c r="H78" s="130"/>
      <c r="I78" s="130"/>
      <c r="J78" s="130"/>
      <c r="K78" s="764" t="e">
        <f>C78*1000000/$P$6</f>
        <v>#DIV/0!</v>
      </c>
      <c r="L78" s="765" t="e">
        <f>D78*1000000/$P$7</f>
        <v>#DIV/0!</v>
      </c>
      <c r="M78" s="542" t="e">
        <f t="shared" si="13"/>
        <v>#DIV/0!</v>
      </c>
      <c r="N78" s="988"/>
      <c r="O78" s="340"/>
      <c r="P78" s="60"/>
      <c r="Q78" s="57"/>
      <c r="W78" s="131" t="e">
        <f>IF(ABS(M78)&gt;8%,C78-D78,1)</f>
        <v>#DIV/0!</v>
      </c>
    </row>
    <row r="79" spans="1:23" ht="15" customHeight="1" x14ac:dyDescent="0.25">
      <c r="A79" s="366"/>
      <c r="B79" s="11"/>
      <c r="C79" s="791"/>
      <c r="D79" s="499"/>
      <c r="E79" s="130"/>
      <c r="F79" s="130"/>
      <c r="G79" s="130"/>
      <c r="H79" s="130"/>
      <c r="I79" s="130"/>
      <c r="J79" s="130"/>
      <c r="K79" s="767"/>
      <c r="L79" s="550"/>
      <c r="M79" s="542"/>
      <c r="N79" s="159"/>
      <c r="O79" s="340"/>
      <c r="P79" s="60"/>
      <c r="Q79" s="57"/>
      <c r="W79" s="131"/>
    </row>
    <row r="80" spans="1:23" s="130" customFormat="1" ht="15" customHeight="1" thickBot="1" x14ac:dyDescent="0.3">
      <c r="A80" s="785" t="s">
        <v>120</v>
      </c>
      <c r="B80" s="48" t="s">
        <v>411</v>
      </c>
      <c r="C80" s="583">
        <f>C11+C22+C27+C32+C37+C49+C51+C58+C64+C68+C76+C78</f>
        <v>0</v>
      </c>
      <c r="D80" s="500"/>
      <c r="K80" s="768" t="e">
        <f>C80*1000000/$P$6</f>
        <v>#DIV/0!</v>
      </c>
      <c r="L80" s="769" t="e">
        <f>D80*1000000/$P$7</f>
        <v>#DIV/0!</v>
      </c>
      <c r="M80" s="770" t="e">
        <f t="shared" si="13"/>
        <v>#DIV/0!</v>
      </c>
      <c r="N80" s="164"/>
      <c r="O80" s="365"/>
      <c r="P80" s="59"/>
      <c r="Q80" s="96"/>
      <c r="W80" s="131" t="e">
        <f>IF(ABS(M80)&gt;8%,C80-D80,1)</f>
        <v>#DIV/0!</v>
      </c>
    </row>
    <row r="81" spans="1:23" s="130" customFormat="1" ht="18" customHeight="1" thickBot="1" x14ac:dyDescent="0.35">
      <c r="A81" s="226"/>
      <c r="C81" s="234"/>
      <c r="D81" s="183" t="s">
        <v>412</v>
      </c>
      <c r="E81" s="757" t="s">
        <v>413</v>
      </c>
      <c r="F81" s="129"/>
      <c r="G81" s="174"/>
      <c r="K81" s="129"/>
    </row>
    <row r="82" spans="1:23" s="130" customFormat="1" ht="24.75" customHeight="1" x14ac:dyDescent="0.25">
      <c r="A82" s="506" t="s">
        <v>235</v>
      </c>
      <c r="B82" s="119" t="s">
        <v>164</v>
      </c>
      <c r="C82" s="759"/>
      <c r="D82" s="795">
        <f>-1*('2. Drift.  intäkter'!I40-'3. Drift. kostnader'!J41)</f>
        <v>0</v>
      </c>
      <c r="E82" s="885"/>
      <c r="F82" s="888" t="str">
        <f>IF(ABS(C82-D82)&gt;5.99,(ROUND(C82-D82,0))&amp;" mkr diff. mellan Interna ränteintäkter cell C82 och interna poster i flik 2 och 3 - måste rättas!","")</f>
        <v/>
      </c>
      <c r="G82" s="129"/>
      <c r="H82" s="502"/>
      <c r="I82" s="129"/>
      <c r="K82" s="129"/>
    </row>
    <row r="83" spans="1:23" s="130" customFormat="1" ht="37.5" customHeight="1" x14ac:dyDescent="0.25">
      <c r="A83" s="506" t="s">
        <v>242</v>
      </c>
      <c r="B83" s="860" t="s">
        <v>163</v>
      </c>
      <c r="C83" s="456"/>
      <c r="D83" s="793"/>
      <c r="E83" s="886"/>
      <c r="F83" s="888" t="str">
        <f>IF(ABS(C83-E83)&gt;5.99,(ROUND(C83-E83,0))&amp;" mkr diff.mellan Pensionsutbetalning cell C83 och pensionsutbet i Steg 1 - måste rättas eller förklaras!","")</f>
        <v/>
      </c>
      <c r="G83" s="424"/>
      <c r="H83" s="502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23" ht="39" customHeight="1" thickBot="1" x14ac:dyDescent="0.3">
      <c r="A84" s="506" t="s">
        <v>243</v>
      </c>
      <c r="B84" s="348" t="s">
        <v>174</v>
      </c>
      <c r="C84" s="758">
        <f>C80+C83-C82</f>
        <v>0</v>
      </c>
      <c r="D84" s="794"/>
      <c r="E84" s="887"/>
      <c r="F84" s="888" t="str">
        <f>IF(ABS(C84-E84)&gt;5.99,(ROUND(C84-E84,0))&amp;" mkr diff.mellan Verksamhetens nettokostnader i RR i cell C84 och Verksamhetens nettokostnader i Steg 1 - måste rättas eller förklaras!","")</f>
        <v/>
      </c>
      <c r="G84" s="424"/>
      <c r="H84" s="502"/>
      <c r="K84" s="129"/>
      <c r="M84" s="129"/>
      <c r="N84" s="129"/>
      <c r="R84" s="130"/>
      <c r="S84" s="130"/>
      <c r="T84" s="130"/>
      <c r="U84" s="130"/>
      <c r="V84" s="130"/>
      <c r="W84" s="130"/>
    </row>
    <row r="85" spans="1:23" ht="24.75" customHeight="1" x14ac:dyDescent="0.25">
      <c r="A85" s="227"/>
      <c r="B85" s="1"/>
      <c r="C85" s="425"/>
      <c r="D85" s="425"/>
      <c r="F85" s="182"/>
      <c r="G85" s="424"/>
      <c r="H85" s="129"/>
      <c r="K85" s="129"/>
      <c r="M85" s="129"/>
      <c r="N85" s="129"/>
    </row>
    <row r="86" spans="1:23" ht="15" hidden="1" customHeight="1" x14ac:dyDescent="0.3">
      <c r="A86" s="228"/>
      <c r="D86" s="235"/>
      <c r="E86" s="139"/>
      <c r="G86" s="182"/>
      <c r="H86" s="182"/>
      <c r="K86" s="129"/>
      <c r="M86" s="129"/>
      <c r="N86" s="129"/>
    </row>
    <row r="87" spans="1:23" ht="15" hidden="1" customHeight="1" x14ac:dyDescent="0.3">
      <c r="A87" s="228"/>
      <c r="D87" s="235"/>
      <c r="E87" s="139"/>
      <c r="H87" s="182"/>
      <c r="K87" s="129"/>
      <c r="M87" s="129"/>
      <c r="N87" s="129"/>
    </row>
    <row r="88" spans="1:23" ht="15" hidden="1" customHeight="1" x14ac:dyDescent="0.3">
      <c r="D88" s="235"/>
      <c r="H88" s="129"/>
      <c r="K88" s="129"/>
      <c r="M88" s="129"/>
      <c r="N88" s="129"/>
    </row>
    <row r="89" spans="1:23" ht="15" hidden="1" customHeight="1" x14ac:dyDescent="0.3">
      <c r="D89" s="235"/>
      <c r="H89" s="129"/>
      <c r="K89" s="129"/>
      <c r="M89" s="129"/>
      <c r="N89" s="129"/>
    </row>
    <row r="90" spans="1:23" ht="15" hidden="1" customHeight="1" x14ac:dyDescent="0.3">
      <c r="D90" s="235"/>
      <c r="H90" s="190"/>
      <c r="K90" s="129"/>
      <c r="M90" s="129"/>
      <c r="N90" s="129"/>
    </row>
    <row r="91" spans="1:23" ht="15" hidden="1" customHeight="1" x14ac:dyDescent="0.3">
      <c r="B91" s="130"/>
      <c r="E91" s="130"/>
      <c r="H91" s="190"/>
      <c r="K91" s="129"/>
    </row>
    <row r="92" spans="1:23" ht="16.5" hidden="1" customHeight="1" x14ac:dyDescent="0.3">
      <c r="H92" s="191"/>
      <c r="K92" s="129"/>
    </row>
    <row r="93" spans="1:23" ht="15" hidden="1" customHeight="1" x14ac:dyDescent="0.3">
      <c r="H93" s="191"/>
      <c r="K93" s="129"/>
    </row>
    <row r="94" spans="1:23" ht="15" hidden="1" customHeight="1" x14ac:dyDescent="0.3">
      <c r="H94" s="191"/>
      <c r="K94" s="129"/>
    </row>
    <row r="95" spans="1:23" ht="14.25" hidden="1" customHeight="1" x14ac:dyDescent="0.3">
      <c r="H95" s="191"/>
      <c r="K95" s="129"/>
    </row>
    <row r="96" spans="1:23" ht="15" hidden="1" customHeight="1" x14ac:dyDescent="0.3">
      <c r="H96" s="191"/>
      <c r="K96" s="129"/>
    </row>
    <row r="97" spans="1:46" ht="15" hidden="1" customHeight="1" x14ac:dyDescent="0.3">
      <c r="H97" s="191"/>
      <c r="K97" s="129"/>
    </row>
    <row r="98" spans="1:46" ht="12.75" hidden="1" customHeight="1" x14ac:dyDescent="0.3">
      <c r="H98" s="191"/>
      <c r="K98" s="129"/>
    </row>
    <row r="99" spans="1:46" ht="12" hidden="1" customHeight="1" x14ac:dyDescent="0.3">
      <c r="H99" s="190"/>
      <c r="K99" s="129"/>
    </row>
    <row r="100" spans="1:46" ht="12" hidden="1" customHeight="1" x14ac:dyDescent="0.3">
      <c r="B100" s="184"/>
      <c r="H100" s="192"/>
      <c r="K100" s="129"/>
    </row>
    <row r="101" spans="1:46" ht="15" hidden="1" customHeight="1" x14ac:dyDescent="0.3">
      <c r="A101" s="229"/>
      <c r="B101" s="184"/>
      <c r="C101" s="184"/>
      <c r="D101" s="237"/>
      <c r="E101" s="184"/>
      <c r="F101" s="184"/>
      <c r="H101" s="192"/>
      <c r="K101" s="129"/>
    </row>
    <row r="102" spans="1:46" ht="15" hidden="1" customHeight="1" x14ac:dyDescent="0.3">
      <c r="A102" s="229"/>
      <c r="B102" s="184"/>
      <c r="C102" s="184"/>
      <c r="D102" s="237"/>
      <c r="E102" s="184"/>
      <c r="F102" s="184"/>
      <c r="G102" s="184"/>
      <c r="H102" s="192"/>
      <c r="K102" s="129"/>
    </row>
    <row r="103" spans="1:46" ht="15" hidden="1" customHeight="1" x14ac:dyDescent="0.3">
      <c r="A103" s="229"/>
      <c r="B103" s="247"/>
      <c r="C103" s="184"/>
      <c r="D103" s="237"/>
      <c r="E103" s="184"/>
      <c r="F103" s="184"/>
      <c r="G103" s="184"/>
      <c r="H103" s="192"/>
      <c r="K103" s="129"/>
    </row>
    <row r="104" spans="1:46" ht="15" hidden="1" customHeight="1" x14ac:dyDescent="0.3">
      <c r="A104" s="229"/>
      <c r="B104" s="248"/>
      <c r="C104" s="184"/>
      <c r="D104" s="237"/>
      <c r="E104" s="184"/>
      <c r="F104" s="184"/>
      <c r="G104" s="184"/>
      <c r="H104" s="185"/>
      <c r="I104" s="175"/>
      <c r="K104" s="129"/>
    </row>
    <row r="105" spans="1:46" ht="13" hidden="1" x14ac:dyDescent="0.3">
      <c r="A105" s="230"/>
      <c r="B105" s="249"/>
      <c r="C105" s="185"/>
      <c r="D105" s="238"/>
      <c r="E105" s="239"/>
      <c r="F105" s="185"/>
      <c r="G105" s="184"/>
      <c r="H105" s="186"/>
      <c r="I105" s="176"/>
      <c r="J105" s="175"/>
      <c r="K105" s="200"/>
      <c r="L105" s="196"/>
      <c r="M105" s="180"/>
      <c r="N105" s="180"/>
      <c r="O105" s="180"/>
      <c r="P105" s="196"/>
      <c r="Q105" s="201"/>
    </row>
    <row r="106" spans="1:46" s="199" customFormat="1" ht="13" hidden="1" x14ac:dyDescent="0.3">
      <c r="A106" s="230"/>
      <c r="B106" s="250"/>
      <c r="C106" s="186"/>
      <c r="D106" s="186"/>
      <c r="E106" s="240"/>
      <c r="F106" s="186"/>
      <c r="G106" s="185"/>
      <c r="H106" s="177"/>
      <c r="I106" s="177"/>
      <c r="J106" s="176"/>
      <c r="K106" s="208"/>
      <c r="L106" s="176"/>
      <c r="M106" s="176"/>
      <c r="N106" s="176"/>
      <c r="O106" s="176"/>
      <c r="P106" s="176"/>
      <c r="Q106" s="176"/>
      <c r="R106" s="129"/>
      <c r="S106" s="129"/>
      <c r="T106" s="129"/>
      <c r="U106" s="129"/>
      <c r="V106" s="129"/>
      <c r="W106" s="129"/>
      <c r="X106" s="196"/>
      <c r="Y106" s="196"/>
      <c r="Z106" s="184"/>
      <c r="AA106" s="184"/>
      <c r="AB106" s="197"/>
      <c r="AC106" s="184"/>
      <c r="AD106" s="184"/>
      <c r="AE106" s="192"/>
      <c r="AF106" s="198"/>
      <c r="AG106" s="129"/>
      <c r="AH106" s="129"/>
      <c r="AI106" s="129"/>
      <c r="AJ106" s="182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</row>
    <row r="107" spans="1:46" s="199" customFormat="1" ht="15" hidden="1" customHeight="1" x14ac:dyDescent="0.35">
      <c r="A107" s="231"/>
      <c r="B107" s="250"/>
      <c r="C107" s="177"/>
      <c r="D107" s="241"/>
      <c r="E107" s="177"/>
      <c r="F107" s="177"/>
      <c r="G107" s="186"/>
      <c r="H107" s="177"/>
      <c r="I107" s="177"/>
      <c r="J107" s="177"/>
      <c r="K107" s="177"/>
      <c r="L107" s="177"/>
      <c r="M107" s="177"/>
      <c r="N107" s="211"/>
      <c r="O107" s="177"/>
      <c r="P107" s="177"/>
      <c r="Q107" s="177"/>
      <c r="R107" s="196"/>
      <c r="S107" s="196"/>
      <c r="T107" s="196"/>
      <c r="U107" s="196"/>
      <c r="V107" s="196"/>
      <c r="W107" s="196"/>
      <c r="X107" s="176"/>
      <c r="Y107" s="176"/>
      <c r="Z107" s="202"/>
      <c r="AA107" s="144"/>
      <c r="AB107" s="203"/>
      <c r="AC107" s="144"/>
      <c r="AD107" s="144"/>
      <c r="AE107" s="204"/>
      <c r="AF107" s="205"/>
      <c r="AI107" s="206"/>
      <c r="AJ107" s="206"/>
      <c r="AL107" s="207"/>
    </row>
    <row r="108" spans="1:46" ht="15" hidden="1" customHeight="1" x14ac:dyDescent="0.35">
      <c r="A108" s="231"/>
      <c r="B108" s="250"/>
      <c r="C108" s="177"/>
      <c r="D108" s="241"/>
      <c r="E108" s="177"/>
      <c r="F108" s="177"/>
      <c r="G108" s="177"/>
      <c r="H108" s="177"/>
      <c r="I108" s="177"/>
      <c r="J108" s="177"/>
      <c r="K108" s="177"/>
      <c r="L108" s="177"/>
      <c r="M108" s="177"/>
      <c r="N108" s="211"/>
      <c r="O108" s="177"/>
      <c r="P108" s="177"/>
      <c r="Q108" s="177"/>
      <c r="R108" s="176"/>
      <c r="S108" s="176"/>
      <c r="T108" s="176"/>
      <c r="U108" s="176"/>
      <c r="V108" s="176"/>
      <c r="W108" s="176"/>
      <c r="X108" s="177"/>
      <c r="Y108" s="177"/>
      <c r="Z108" s="144"/>
      <c r="AA108" s="209"/>
      <c r="AB108" s="210"/>
      <c r="AC108" s="209"/>
      <c r="AD108" s="209"/>
      <c r="AE108" s="209"/>
      <c r="AF108" s="206"/>
      <c r="AG108" s="206"/>
      <c r="AH108" s="206"/>
      <c r="AI108" s="199"/>
      <c r="AJ108" s="199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</row>
    <row r="109" spans="1:46" ht="15" hidden="1" customHeight="1" x14ac:dyDescent="0.35">
      <c r="A109" s="231"/>
      <c r="B109" s="250"/>
      <c r="C109" s="177"/>
      <c r="D109" s="241"/>
      <c r="E109" s="177"/>
      <c r="F109" s="177"/>
      <c r="G109" s="177"/>
      <c r="H109" s="177"/>
      <c r="I109" s="177"/>
      <c r="J109" s="177"/>
      <c r="K109" s="177"/>
      <c r="L109" s="177"/>
      <c r="M109" s="177"/>
      <c r="N109" s="211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84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</row>
    <row r="110" spans="1:46" ht="15" hidden="1" customHeight="1" x14ac:dyDescent="0.35">
      <c r="A110" s="231"/>
      <c r="B110" s="250"/>
      <c r="C110" s="177"/>
      <c r="D110" s="241"/>
      <c r="E110" s="177"/>
      <c r="F110" s="177"/>
      <c r="G110" s="177"/>
      <c r="H110" s="177"/>
      <c r="I110" s="177"/>
      <c r="J110" s="177"/>
      <c r="K110" s="177"/>
      <c r="L110" s="177"/>
      <c r="M110" s="177"/>
      <c r="N110" s="211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84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</row>
    <row r="111" spans="1:46" ht="15" hidden="1" customHeight="1" x14ac:dyDescent="0.35">
      <c r="A111" s="231"/>
      <c r="B111" s="250"/>
      <c r="C111" s="177"/>
      <c r="D111" s="241"/>
      <c r="E111" s="177"/>
      <c r="F111" s="177"/>
      <c r="G111" s="177"/>
      <c r="H111" s="177"/>
      <c r="I111" s="177"/>
      <c r="J111" s="177"/>
      <c r="K111" s="177"/>
      <c r="L111" s="177"/>
      <c r="M111" s="177"/>
      <c r="N111" s="211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84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</row>
    <row r="112" spans="1:46" ht="15" hidden="1" customHeight="1" x14ac:dyDescent="0.35">
      <c r="A112" s="231"/>
      <c r="B112" s="250"/>
      <c r="C112" s="177"/>
      <c r="D112" s="241"/>
      <c r="E112" s="177"/>
      <c r="F112" s="177"/>
      <c r="G112" s="177"/>
      <c r="H112" s="177"/>
      <c r="I112" s="177"/>
      <c r="J112" s="177"/>
      <c r="K112" s="177"/>
      <c r="L112" s="177"/>
      <c r="M112" s="177"/>
      <c r="N112" s="211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84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</row>
    <row r="113" spans="1:46" ht="15" hidden="1" customHeight="1" x14ac:dyDescent="0.35">
      <c r="A113" s="231"/>
      <c r="B113" s="250"/>
      <c r="C113" s="177"/>
      <c r="D113" s="241"/>
      <c r="E113" s="177"/>
      <c r="F113" s="177"/>
      <c r="G113" s="177"/>
      <c r="H113" s="177"/>
      <c r="I113" s="177"/>
      <c r="J113" s="177"/>
      <c r="K113" s="177"/>
      <c r="L113" s="177"/>
      <c r="M113" s="177"/>
      <c r="N113" s="211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84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</row>
    <row r="114" spans="1:46" ht="15" hidden="1" customHeight="1" x14ac:dyDescent="0.35">
      <c r="A114" s="231"/>
      <c r="B114" s="250"/>
      <c r="C114" s="177"/>
      <c r="D114" s="241"/>
      <c r="E114" s="177"/>
      <c r="F114" s="177"/>
      <c r="G114" s="177"/>
      <c r="H114" s="177"/>
      <c r="I114" s="177"/>
      <c r="J114" s="177"/>
      <c r="K114" s="177"/>
      <c r="L114" s="177"/>
      <c r="M114" s="177"/>
      <c r="N114" s="211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84"/>
      <c r="AA114" s="212"/>
      <c r="AB114" s="212"/>
      <c r="AC114" s="212"/>
      <c r="AD114" s="212"/>
      <c r="AE114" s="212"/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</row>
    <row r="115" spans="1:46" ht="15" hidden="1" customHeight="1" x14ac:dyDescent="0.35">
      <c r="A115" s="231"/>
      <c r="B115" s="250"/>
      <c r="C115" s="177"/>
      <c r="D115" s="241"/>
      <c r="E115" s="177"/>
      <c r="F115" s="177"/>
      <c r="G115" s="177"/>
      <c r="H115" s="177"/>
      <c r="I115" s="177"/>
      <c r="J115" s="177"/>
      <c r="K115" s="177"/>
      <c r="L115" s="177"/>
      <c r="M115" s="177"/>
      <c r="N115" s="211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84"/>
      <c r="AA115" s="212"/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</row>
    <row r="116" spans="1:46" ht="15" hidden="1" customHeight="1" x14ac:dyDescent="0.35">
      <c r="A116" s="231"/>
      <c r="B116" s="250"/>
      <c r="C116" s="177"/>
      <c r="D116" s="241"/>
      <c r="E116" s="177"/>
      <c r="F116" s="177"/>
      <c r="G116" s="177"/>
      <c r="H116" s="177"/>
      <c r="I116" s="177"/>
      <c r="J116" s="177"/>
      <c r="K116" s="177"/>
      <c r="L116" s="177"/>
      <c r="M116" s="177"/>
      <c r="N116" s="211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84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</row>
    <row r="117" spans="1:46" ht="15" hidden="1" customHeight="1" x14ac:dyDescent="0.35">
      <c r="A117" s="231"/>
      <c r="B117" s="250"/>
      <c r="C117" s="177"/>
      <c r="D117" s="241"/>
      <c r="E117" s="177"/>
      <c r="F117" s="177"/>
      <c r="G117" s="177"/>
      <c r="H117" s="177"/>
      <c r="I117" s="177"/>
      <c r="J117" s="177"/>
      <c r="K117" s="177"/>
      <c r="L117" s="177"/>
      <c r="M117" s="177"/>
      <c r="N117" s="211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84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</row>
    <row r="118" spans="1:46" ht="15" hidden="1" customHeight="1" x14ac:dyDescent="0.35">
      <c r="A118" s="231"/>
      <c r="B118" s="250"/>
      <c r="C118" s="177"/>
      <c r="D118" s="241"/>
      <c r="E118" s="177"/>
      <c r="F118" s="177"/>
      <c r="G118" s="177"/>
      <c r="H118" s="177"/>
      <c r="I118" s="177"/>
      <c r="J118" s="177"/>
      <c r="K118" s="177"/>
      <c r="L118" s="177"/>
      <c r="M118" s="177"/>
      <c r="N118" s="211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84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</row>
    <row r="119" spans="1:46" ht="15" hidden="1" customHeight="1" x14ac:dyDescent="0.35">
      <c r="A119" s="231"/>
      <c r="B119" s="250"/>
      <c r="C119" s="177"/>
      <c r="D119" s="241"/>
      <c r="E119" s="177"/>
      <c r="F119" s="177"/>
      <c r="G119" s="177"/>
      <c r="H119" s="177"/>
      <c r="I119" s="177"/>
      <c r="J119" s="177"/>
      <c r="K119" s="177"/>
      <c r="L119" s="177"/>
      <c r="M119" s="177"/>
      <c r="N119" s="211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84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</row>
    <row r="120" spans="1:46" ht="15" hidden="1" customHeight="1" x14ac:dyDescent="0.35">
      <c r="A120" s="231"/>
      <c r="B120" s="250"/>
      <c r="C120" s="177"/>
      <c r="D120" s="241"/>
      <c r="E120" s="177"/>
      <c r="F120" s="177"/>
      <c r="G120" s="177"/>
      <c r="H120" s="177"/>
      <c r="I120" s="177"/>
      <c r="J120" s="177"/>
      <c r="K120" s="177"/>
      <c r="L120" s="177"/>
      <c r="M120" s="177"/>
      <c r="N120" s="211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84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</row>
    <row r="121" spans="1:46" ht="15" hidden="1" customHeight="1" x14ac:dyDescent="0.35">
      <c r="A121" s="231"/>
      <c r="B121" s="250"/>
      <c r="C121" s="177"/>
      <c r="D121" s="241"/>
      <c r="E121" s="177"/>
      <c r="F121" s="177"/>
      <c r="G121" s="177"/>
      <c r="H121" s="177"/>
      <c r="I121" s="177"/>
      <c r="J121" s="177"/>
      <c r="K121" s="177"/>
      <c r="L121" s="177"/>
      <c r="M121" s="177"/>
      <c r="N121" s="211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84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</row>
    <row r="122" spans="1:46" ht="15" hidden="1" customHeight="1" x14ac:dyDescent="0.35">
      <c r="A122" s="231"/>
      <c r="B122" s="250"/>
      <c r="C122" s="177"/>
      <c r="D122" s="241"/>
      <c r="E122" s="177"/>
      <c r="F122" s="177"/>
      <c r="G122" s="177"/>
      <c r="H122" s="177"/>
      <c r="I122" s="177"/>
      <c r="J122" s="177"/>
      <c r="K122" s="177"/>
      <c r="L122" s="177"/>
      <c r="M122" s="177"/>
      <c r="N122" s="211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84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</row>
    <row r="123" spans="1:46" ht="15" hidden="1" customHeight="1" x14ac:dyDescent="0.35">
      <c r="A123" s="231"/>
      <c r="B123" s="250"/>
      <c r="C123" s="177"/>
      <c r="D123" s="241"/>
      <c r="E123" s="177"/>
      <c r="F123" s="177"/>
      <c r="G123" s="177"/>
      <c r="H123" s="177"/>
      <c r="I123" s="177"/>
      <c r="J123" s="177"/>
      <c r="K123" s="177"/>
      <c r="L123" s="177"/>
      <c r="M123" s="177"/>
      <c r="N123" s="211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84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</row>
    <row r="124" spans="1:46" ht="15" hidden="1" customHeight="1" x14ac:dyDescent="0.35">
      <c r="A124" s="231"/>
      <c r="B124" s="250"/>
      <c r="C124" s="177"/>
      <c r="D124" s="241"/>
      <c r="E124" s="177"/>
      <c r="F124" s="177"/>
      <c r="G124" s="177"/>
      <c r="H124" s="177"/>
      <c r="I124" s="177"/>
      <c r="J124" s="177"/>
      <c r="K124" s="177"/>
      <c r="L124" s="177"/>
      <c r="M124" s="177"/>
      <c r="N124" s="211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84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</row>
    <row r="125" spans="1:46" ht="15" hidden="1" customHeight="1" x14ac:dyDescent="0.35">
      <c r="A125" s="231"/>
      <c r="B125" s="250"/>
      <c r="C125" s="177"/>
      <c r="D125" s="241"/>
      <c r="E125" s="177"/>
      <c r="F125" s="177"/>
      <c r="G125" s="177"/>
      <c r="H125" s="177"/>
      <c r="I125" s="177"/>
      <c r="J125" s="177"/>
      <c r="K125" s="177"/>
      <c r="L125" s="177"/>
      <c r="M125" s="177"/>
      <c r="N125" s="211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84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</row>
    <row r="126" spans="1:46" ht="15" hidden="1" customHeight="1" x14ac:dyDescent="0.35">
      <c r="A126" s="231"/>
      <c r="B126" s="250"/>
      <c r="C126" s="177"/>
      <c r="D126" s="241"/>
      <c r="E126" s="177"/>
      <c r="F126" s="177"/>
      <c r="G126" s="177"/>
      <c r="H126" s="177"/>
      <c r="I126" s="177"/>
      <c r="J126" s="177"/>
      <c r="K126" s="177"/>
      <c r="L126" s="177"/>
      <c r="M126" s="177"/>
      <c r="N126" s="211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84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</row>
    <row r="127" spans="1:46" ht="15" hidden="1" customHeight="1" x14ac:dyDescent="0.35">
      <c r="A127" s="231"/>
      <c r="B127" s="250"/>
      <c r="C127" s="177"/>
      <c r="D127" s="241"/>
      <c r="E127" s="177"/>
      <c r="F127" s="177"/>
      <c r="G127" s="177"/>
      <c r="H127" s="177"/>
      <c r="I127" s="177"/>
      <c r="J127" s="177"/>
      <c r="K127" s="177"/>
      <c r="L127" s="177"/>
      <c r="M127" s="177"/>
      <c r="N127" s="211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84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</row>
    <row r="128" spans="1:46" ht="15" hidden="1" customHeight="1" x14ac:dyDescent="0.35">
      <c r="A128" s="229"/>
      <c r="B128" s="250"/>
      <c r="C128" s="177"/>
      <c r="D128" s="241"/>
      <c r="E128" s="177"/>
      <c r="F128" s="177"/>
      <c r="G128" s="177"/>
      <c r="H128" s="177"/>
      <c r="I128" s="177"/>
      <c r="J128" s="177"/>
      <c r="K128" s="177"/>
      <c r="L128" s="177"/>
      <c r="M128" s="177"/>
      <c r="N128" s="211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84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</row>
    <row r="129" spans="1:46" ht="15" hidden="1" customHeight="1" x14ac:dyDescent="0.35">
      <c r="A129" s="229"/>
      <c r="B129" s="250"/>
      <c r="C129" s="177"/>
      <c r="D129" s="241"/>
      <c r="E129" s="177"/>
      <c r="F129" s="177"/>
      <c r="G129" s="177"/>
      <c r="H129" s="177"/>
      <c r="I129" s="177"/>
      <c r="J129" s="177"/>
      <c r="K129" s="177"/>
      <c r="L129" s="177"/>
      <c r="M129" s="177"/>
      <c r="N129" s="211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84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</row>
    <row r="130" spans="1:46" ht="15" hidden="1" customHeight="1" x14ac:dyDescent="0.35">
      <c r="A130" s="229"/>
      <c r="B130" s="250"/>
      <c r="C130" s="177"/>
      <c r="D130" s="241"/>
      <c r="E130" s="177"/>
      <c r="F130" s="177"/>
      <c r="G130" s="177"/>
      <c r="H130" s="177"/>
      <c r="I130" s="177"/>
      <c r="J130" s="177"/>
      <c r="K130" s="177"/>
      <c r="L130" s="177"/>
      <c r="M130" s="177"/>
      <c r="N130" s="211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84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</row>
    <row r="131" spans="1:46" ht="15" hidden="1" customHeight="1" x14ac:dyDescent="0.35">
      <c r="A131" s="229"/>
      <c r="B131" s="250"/>
      <c r="C131" s="177"/>
      <c r="D131" s="241"/>
      <c r="E131" s="177"/>
      <c r="F131" s="177"/>
      <c r="G131" s="177"/>
      <c r="H131" s="177"/>
      <c r="I131" s="177"/>
      <c r="J131" s="177"/>
      <c r="K131" s="177"/>
      <c r="L131" s="177"/>
      <c r="M131" s="177"/>
      <c r="N131" s="211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84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</row>
    <row r="132" spans="1:46" ht="15" hidden="1" customHeight="1" x14ac:dyDescent="0.35">
      <c r="A132" s="229"/>
      <c r="B132" s="250"/>
      <c r="C132" s="177"/>
      <c r="D132" s="241"/>
      <c r="E132" s="177"/>
      <c r="F132" s="177"/>
      <c r="G132" s="177"/>
      <c r="H132" s="177"/>
      <c r="I132" s="177"/>
      <c r="J132" s="177"/>
      <c r="K132" s="177"/>
      <c r="L132" s="177"/>
      <c r="M132" s="177"/>
      <c r="N132" s="211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84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</row>
    <row r="133" spans="1:46" ht="15" hidden="1" customHeight="1" x14ac:dyDescent="0.35">
      <c r="A133" s="229"/>
      <c r="B133" s="250"/>
      <c r="C133" s="177"/>
      <c r="D133" s="241"/>
      <c r="E133" s="177"/>
      <c r="F133" s="177"/>
      <c r="G133" s="177"/>
      <c r="H133" s="177"/>
      <c r="I133" s="177"/>
      <c r="J133" s="177"/>
      <c r="K133" s="177"/>
      <c r="L133" s="177"/>
      <c r="M133" s="177"/>
      <c r="N133" s="211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84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</row>
    <row r="134" spans="1:46" ht="15" hidden="1" customHeight="1" x14ac:dyDescent="0.35">
      <c r="A134" s="229"/>
      <c r="B134" s="250"/>
      <c r="C134" s="177"/>
      <c r="D134" s="241"/>
      <c r="E134" s="177"/>
      <c r="F134" s="177"/>
      <c r="G134" s="177"/>
      <c r="H134" s="177"/>
      <c r="I134" s="177"/>
      <c r="J134" s="177"/>
      <c r="K134" s="177"/>
      <c r="L134" s="177"/>
      <c r="M134" s="177"/>
      <c r="N134" s="211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84"/>
      <c r="AA134" s="212"/>
      <c r="AB134" s="212"/>
      <c r="AC134" s="212"/>
      <c r="AD134" s="212"/>
      <c r="AE134" s="212"/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</row>
    <row r="135" spans="1:46" ht="15" hidden="1" customHeight="1" x14ac:dyDescent="0.35">
      <c r="A135" s="229"/>
      <c r="B135" s="250"/>
      <c r="C135" s="177"/>
      <c r="D135" s="241"/>
      <c r="E135" s="177"/>
      <c r="F135" s="177"/>
      <c r="G135" s="177"/>
      <c r="H135" s="177"/>
      <c r="I135" s="177"/>
      <c r="J135" s="177"/>
      <c r="K135" s="177"/>
      <c r="L135" s="177"/>
      <c r="M135" s="177"/>
      <c r="N135" s="211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84"/>
      <c r="AA135" s="212"/>
      <c r="AB135" s="212"/>
      <c r="AC135" s="212"/>
      <c r="AD135" s="212"/>
      <c r="AE135" s="212"/>
      <c r="AF135" s="212"/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</row>
    <row r="136" spans="1:46" ht="15" hidden="1" customHeight="1" x14ac:dyDescent="0.35">
      <c r="A136" s="229"/>
      <c r="B136" s="250"/>
      <c r="C136" s="177"/>
      <c r="D136" s="241"/>
      <c r="E136" s="177"/>
      <c r="F136" s="177"/>
      <c r="G136" s="177"/>
      <c r="H136" s="177"/>
      <c r="I136" s="177"/>
      <c r="J136" s="177"/>
      <c r="K136" s="177"/>
      <c r="L136" s="177"/>
      <c r="M136" s="177"/>
      <c r="N136" s="211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84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</row>
    <row r="137" spans="1:46" ht="15" hidden="1" customHeight="1" x14ac:dyDescent="0.35">
      <c r="A137" s="229"/>
      <c r="B137" s="250"/>
      <c r="C137" s="177"/>
      <c r="D137" s="241"/>
      <c r="E137" s="177"/>
      <c r="F137" s="177"/>
      <c r="G137" s="177"/>
      <c r="H137" s="177"/>
      <c r="I137" s="177"/>
      <c r="J137" s="177"/>
      <c r="K137" s="177"/>
      <c r="L137" s="177"/>
      <c r="M137" s="177"/>
      <c r="N137" s="211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84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</row>
    <row r="138" spans="1:46" ht="15" hidden="1" customHeight="1" x14ac:dyDescent="0.35">
      <c r="A138" s="229"/>
      <c r="B138" s="250"/>
      <c r="C138" s="177"/>
      <c r="D138" s="241"/>
      <c r="E138" s="177"/>
      <c r="F138" s="177"/>
      <c r="G138" s="177"/>
      <c r="H138" s="177"/>
      <c r="I138" s="177"/>
      <c r="J138" s="177"/>
      <c r="K138" s="177"/>
      <c r="L138" s="177"/>
      <c r="M138" s="177"/>
      <c r="N138" s="211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84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</row>
    <row r="139" spans="1:46" ht="15" hidden="1" customHeight="1" x14ac:dyDescent="0.35">
      <c r="A139" s="229"/>
      <c r="B139" s="250"/>
      <c r="C139" s="177"/>
      <c r="D139" s="241"/>
      <c r="E139" s="177"/>
      <c r="F139" s="177"/>
      <c r="G139" s="177"/>
      <c r="H139" s="177"/>
      <c r="I139" s="177"/>
      <c r="J139" s="177"/>
      <c r="K139" s="177"/>
      <c r="L139" s="177"/>
      <c r="M139" s="177"/>
      <c r="N139" s="211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84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</row>
    <row r="140" spans="1:46" ht="15" hidden="1" customHeight="1" x14ac:dyDescent="0.35">
      <c r="A140" s="229"/>
      <c r="B140" s="250"/>
      <c r="C140" s="177"/>
      <c r="D140" s="241"/>
      <c r="E140" s="177"/>
      <c r="F140" s="177"/>
      <c r="G140" s="177"/>
      <c r="H140" s="177"/>
      <c r="I140" s="177"/>
      <c r="J140" s="177"/>
      <c r="K140" s="177"/>
      <c r="L140" s="177"/>
      <c r="M140" s="177"/>
      <c r="N140" s="211"/>
      <c r="O140" s="177"/>
      <c r="P140" s="177"/>
      <c r="Q140" s="177"/>
      <c r="R140" s="177"/>
      <c r="S140" s="177"/>
      <c r="T140" s="177"/>
      <c r="U140" s="177"/>
      <c r="V140" s="177"/>
      <c r="W140" s="177"/>
      <c r="X140" s="177"/>
      <c r="Y140" s="177"/>
      <c r="Z140" s="184"/>
      <c r="AA140" s="212"/>
      <c r="AB140" s="212"/>
      <c r="AC140" s="212"/>
      <c r="AD140" s="212"/>
      <c r="AE140" s="212"/>
      <c r="AF140" s="212"/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</row>
    <row r="141" spans="1:46" ht="15" hidden="1" customHeight="1" x14ac:dyDescent="0.35">
      <c r="A141" s="229"/>
      <c r="B141" s="250"/>
      <c r="C141" s="177"/>
      <c r="D141" s="241"/>
      <c r="E141" s="177"/>
      <c r="F141" s="177"/>
      <c r="G141" s="177"/>
      <c r="H141" s="177"/>
      <c r="I141" s="177"/>
      <c r="J141" s="177"/>
      <c r="K141" s="177"/>
      <c r="L141" s="177"/>
      <c r="M141" s="177"/>
      <c r="N141" s="211"/>
      <c r="O141" s="177"/>
      <c r="P141" s="177"/>
      <c r="Q141" s="177"/>
      <c r="R141" s="177"/>
      <c r="S141" s="177"/>
      <c r="T141" s="177"/>
      <c r="U141" s="177"/>
      <c r="V141" s="177"/>
      <c r="W141" s="177"/>
      <c r="X141" s="177"/>
      <c r="Y141" s="177"/>
      <c r="Z141" s="184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</row>
    <row r="142" spans="1:46" ht="15" hidden="1" customHeight="1" x14ac:dyDescent="0.35">
      <c r="A142" s="229"/>
      <c r="B142" s="250"/>
      <c r="C142" s="177"/>
      <c r="D142" s="241"/>
      <c r="E142" s="177"/>
      <c r="F142" s="177"/>
      <c r="G142" s="177"/>
      <c r="H142" s="177"/>
      <c r="I142" s="177"/>
      <c r="J142" s="177"/>
      <c r="K142" s="177"/>
      <c r="L142" s="177"/>
      <c r="M142" s="177"/>
      <c r="N142" s="211"/>
      <c r="O142" s="177"/>
      <c r="P142" s="177"/>
      <c r="Q142" s="177"/>
      <c r="R142" s="177"/>
      <c r="S142" s="177"/>
      <c r="T142" s="177"/>
      <c r="U142" s="177"/>
      <c r="V142" s="177"/>
      <c r="W142" s="177"/>
      <c r="X142" s="177"/>
      <c r="Y142" s="177"/>
      <c r="Z142" s="184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</row>
    <row r="143" spans="1:46" ht="15" hidden="1" customHeight="1" x14ac:dyDescent="0.35">
      <c r="A143" s="229"/>
      <c r="B143" s="250"/>
      <c r="C143" s="177"/>
      <c r="D143" s="241"/>
      <c r="E143" s="177"/>
      <c r="F143" s="177"/>
      <c r="G143" s="177"/>
      <c r="H143" s="177"/>
      <c r="I143" s="177"/>
      <c r="J143" s="177"/>
      <c r="K143" s="177"/>
      <c r="L143" s="177"/>
      <c r="M143" s="177"/>
      <c r="N143" s="211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84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</row>
    <row r="144" spans="1:46" ht="15" hidden="1" customHeight="1" x14ac:dyDescent="0.35">
      <c r="A144" s="229"/>
      <c r="B144" s="250"/>
      <c r="C144" s="177"/>
      <c r="D144" s="241"/>
      <c r="E144" s="177"/>
      <c r="F144" s="177"/>
      <c r="G144" s="177"/>
      <c r="H144" s="177"/>
      <c r="I144" s="177"/>
      <c r="J144" s="177"/>
      <c r="K144" s="177"/>
      <c r="L144" s="177"/>
      <c r="M144" s="177"/>
      <c r="N144" s="211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84"/>
      <c r="AA144" s="212"/>
      <c r="AB144" s="212"/>
      <c r="AC144" s="212"/>
      <c r="AD144" s="212"/>
      <c r="AE144" s="212"/>
      <c r="AF144" s="212"/>
      <c r="AG144" s="212"/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</row>
    <row r="145" spans="1:46" ht="15" hidden="1" customHeight="1" x14ac:dyDescent="0.35">
      <c r="A145" s="229"/>
      <c r="B145" s="250"/>
      <c r="C145" s="177"/>
      <c r="D145" s="241"/>
      <c r="E145" s="177"/>
      <c r="F145" s="177"/>
      <c r="G145" s="177"/>
      <c r="H145" s="177"/>
      <c r="I145" s="177"/>
      <c r="J145" s="177"/>
      <c r="K145" s="177"/>
      <c r="L145" s="177"/>
      <c r="M145" s="177"/>
      <c r="N145" s="211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  <c r="Y145" s="177"/>
      <c r="Z145" s="184"/>
      <c r="AA145" s="212"/>
      <c r="AB145" s="212"/>
      <c r="AC145" s="212"/>
      <c r="AD145" s="212"/>
      <c r="AE145" s="212"/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</row>
    <row r="146" spans="1:46" ht="15" hidden="1" customHeight="1" x14ac:dyDescent="0.35">
      <c r="A146" s="229"/>
      <c r="B146" s="250"/>
      <c r="C146" s="177"/>
      <c r="D146" s="241"/>
      <c r="E146" s="177"/>
      <c r="F146" s="177"/>
      <c r="G146" s="177"/>
      <c r="H146" s="177"/>
      <c r="I146" s="177"/>
      <c r="J146" s="177"/>
      <c r="K146" s="177"/>
      <c r="L146" s="177"/>
      <c r="M146" s="177"/>
      <c r="N146" s="211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84"/>
      <c r="AA146" s="212"/>
      <c r="AB146" s="212"/>
      <c r="AC146" s="212"/>
      <c r="AD146" s="212"/>
      <c r="AE146" s="212"/>
      <c r="AF146" s="212"/>
      <c r="AG146" s="212"/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</row>
    <row r="147" spans="1:46" ht="15" hidden="1" customHeight="1" x14ac:dyDescent="0.35">
      <c r="A147" s="229"/>
      <c r="B147" s="250"/>
      <c r="C147" s="177"/>
      <c r="D147" s="241"/>
      <c r="E147" s="177"/>
      <c r="F147" s="177"/>
      <c r="G147" s="177"/>
      <c r="H147" s="178"/>
      <c r="I147" s="178"/>
      <c r="J147" s="177"/>
      <c r="K147" s="177"/>
      <c r="L147" s="177"/>
      <c r="M147" s="177"/>
      <c r="N147" s="211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84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</row>
    <row r="148" spans="1:46" ht="15" hidden="1" customHeight="1" x14ac:dyDescent="0.35">
      <c r="A148" s="232"/>
      <c r="B148" s="187"/>
      <c r="C148" s="178"/>
      <c r="D148" s="242"/>
      <c r="E148" s="178"/>
      <c r="F148" s="178"/>
      <c r="G148" s="177"/>
      <c r="H148" s="178"/>
      <c r="I148" s="178"/>
      <c r="J148" s="178"/>
      <c r="K148" s="214"/>
      <c r="L148" s="178"/>
      <c r="M148" s="178"/>
      <c r="N148" s="211"/>
      <c r="O148" s="178"/>
      <c r="P148" s="177"/>
      <c r="Q148" s="178"/>
      <c r="R148" s="177"/>
      <c r="S148" s="177"/>
      <c r="T148" s="177"/>
      <c r="U148" s="177"/>
      <c r="V148" s="177"/>
      <c r="W148" s="177"/>
      <c r="X148" s="177"/>
      <c r="Y148" s="177"/>
      <c r="Z148" s="184"/>
      <c r="AA148" s="212"/>
      <c r="AB148" s="212"/>
      <c r="AC148" s="212"/>
      <c r="AD148" s="212"/>
      <c r="AE148" s="212"/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</row>
    <row r="149" spans="1:46" ht="15" hidden="1" customHeight="1" x14ac:dyDescent="0.35">
      <c r="A149" s="232"/>
      <c r="B149" s="187"/>
      <c r="C149" s="178"/>
      <c r="D149" s="242"/>
      <c r="E149" s="178"/>
      <c r="F149" s="178"/>
      <c r="G149" s="178"/>
      <c r="H149" s="178"/>
      <c r="I149" s="178"/>
      <c r="J149" s="178"/>
      <c r="K149" s="214"/>
      <c r="L149" s="178"/>
      <c r="M149" s="178"/>
      <c r="N149" s="211"/>
      <c r="O149" s="178"/>
      <c r="P149" s="177"/>
      <c r="Q149" s="178"/>
      <c r="R149" s="177"/>
      <c r="S149" s="177"/>
      <c r="T149" s="177"/>
      <c r="U149" s="177"/>
      <c r="V149" s="177"/>
      <c r="W149" s="177"/>
      <c r="X149" s="178"/>
      <c r="Y149" s="178"/>
      <c r="Z149" s="189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213"/>
    </row>
    <row r="150" spans="1:46" ht="15" hidden="1" customHeight="1" x14ac:dyDescent="0.35">
      <c r="A150" s="232"/>
      <c r="B150" s="187"/>
      <c r="C150" s="178"/>
      <c r="D150" s="242"/>
      <c r="E150" s="178"/>
      <c r="F150" s="178"/>
      <c r="G150" s="178"/>
      <c r="H150" s="178"/>
      <c r="I150" s="178"/>
      <c r="J150" s="178"/>
      <c r="K150" s="214"/>
      <c r="L150" s="178"/>
      <c r="M150" s="178"/>
      <c r="N150" s="211"/>
      <c r="O150" s="178"/>
      <c r="P150" s="177"/>
      <c r="Q150" s="178"/>
      <c r="R150" s="178"/>
      <c r="S150" s="178"/>
      <c r="T150" s="178"/>
      <c r="U150" s="178"/>
      <c r="V150" s="178"/>
      <c r="W150" s="178"/>
      <c r="X150" s="178"/>
      <c r="Y150" s="178"/>
      <c r="Z150" s="189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213"/>
    </row>
    <row r="151" spans="1:46" ht="15" hidden="1" customHeight="1" x14ac:dyDescent="0.35">
      <c r="A151" s="232"/>
      <c r="B151" s="187"/>
      <c r="C151" s="178"/>
      <c r="D151" s="242"/>
      <c r="E151" s="178"/>
      <c r="F151" s="178"/>
      <c r="G151" s="178"/>
      <c r="H151" s="178"/>
      <c r="I151" s="178"/>
      <c r="J151" s="178"/>
      <c r="K151" s="214"/>
      <c r="L151" s="178"/>
      <c r="M151" s="178"/>
      <c r="N151" s="211"/>
      <c r="O151" s="178"/>
      <c r="P151" s="177"/>
      <c r="Q151" s="178"/>
      <c r="R151" s="178"/>
      <c r="S151" s="178"/>
      <c r="T151" s="178"/>
      <c r="U151" s="178"/>
      <c r="V151" s="178"/>
      <c r="W151" s="178"/>
      <c r="X151" s="178"/>
      <c r="Y151" s="178"/>
      <c r="Z151" s="189"/>
      <c r="AA151" s="213"/>
      <c r="AB151" s="213"/>
      <c r="AC151" s="213"/>
      <c r="AD151" s="213"/>
      <c r="AE151" s="213"/>
      <c r="AF151" s="213"/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</row>
    <row r="152" spans="1:46" ht="15" hidden="1" customHeight="1" x14ac:dyDescent="0.35">
      <c r="A152" s="232"/>
      <c r="B152" s="187"/>
      <c r="C152" s="178"/>
      <c r="D152" s="242"/>
      <c r="E152" s="178"/>
      <c r="F152" s="178"/>
      <c r="G152" s="178"/>
      <c r="H152" s="178"/>
      <c r="I152" s="178"/>
      <c r="J152" s="178"/>
      <c r="K152" s="214"/>
      <c r="L152" s="178"/>
      <c r="M152" s="178"/>
      <c r="N152" s="211"/>
      <c r="O152" s="178"/>
      <c r="P152" s="177"/>
      <c r="Q152" s="178"/>
      <c r="R152" s="178"/>
      <c r="S152" s="178"/>
      <c r="T152" s="178"/>
      <c r="U152" s="178"/>
      <c r="V152" s="178"/>
      <c r="W152" s="178"/>
      <c r="X152" s="178"/>
      <c r="Y152" s="178"/>
      <c r="Z152" s="189"/>
      <c r="AA152" s="213"/>
      <c r="AB152" s="213"/>
      <c r="AC152" s="213"/>
      <c r="AD152" s="213"/>
      <c r="AE152" s="213"/>
      <c r="AF152" s="213"/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213"/>
    </row>
    <row r="153" spans="1:46" ht="15" hidden="1" customHeight="1" x14ac:dyDescent="0.35">
      <c r="A153" s="232"/>
      <c r="B153" s="187"/>
      <c r="C153" s="178"/>
      <c r="D153" s="242"/>
      <c r="E153" s="178"/>
      <c r="F153" s="178"/>
      <c r="G153" s="178"/>
      <c r="H153" s="178"/>
      <c r="I153" s="178"/>
      <c r="J153" s="178"/>
      <c r="K153" s="214"/>
      <c r="L153" s="178"/>
      <c r="M153" s="178"/>
      <c r="N153" s="211"/>
      <c r="O153" s="178"/>
      <c r="P153" s="177"/>
      <c r="Q153" s="178"/>
      <c r="R153" s="178"/>
      <c r="S153" s="178"/>
      <c r="T153" s="178"/>
      <c r="U153" s="178"/>
      <c r="V153" s="178"/>
      <c r="W153" s="178"/>
      <c r="X153" s="178"/>
      <c r="Y153" s="178"/>
      <c r="Z153" s="189"/>
      <c r="AA153" s="213"/>
      <c r="AB153" s="213"/>
      <c r="AC153" s="213"/>
      <c r="AD153" s="213"/>
      <c r="AE153" s="213"/>
      <c r="AF153" s="213"/>
      <c r="AG153" s="213"/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213"/>
    </row>
    <row r="154" spans="1:46" ht="15" hidden="1" customHeight="1" x14ac:dyDescent="0.35">
      <c r="A154" s="232"/>
      <c r="B154" s="187"/>
      <c r="C154" s="178"/>
      <c r="D154" s="242"/>
      <c r="E154" s="178"/>
      <c r="F154" s="178"/>
      <c r="G154" s="178"/>
      <c r="H154" s="178"/>
      <c r="I154" s="178"/>
      <c r="J154" s="178"/>
      <c r="K154" s="214"/>
      <c r="L154" s="178"/>
      <c r="M154" s="178"/>
      <c r="N154" s="211"/>
      <c r="O154" s="178"/>
      <c r="P154" s="177"/>
      <c r="Q154" s="178"/>
      <c r="R154" s="178"/>
      <c r="S154" s="178"/>
      <c r="T154" s="178"/>
      <c r="U154" s="178"/>
      <c r="V154" s="178"/>
      <c r="W154" s="178"/>
      <c r="X154" s="178"/>
      <c r="Y154" s="178"/>
      <c r="Z154" s="189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213"/>
    </row>
    <row r="155" spans="1:46" ht="15" hidden="1" customHeight="1" x14ac:dyDescent="0.35">
      <c r="A155" s="232"/>
      <c r="B155" s="187"/>
      <c r="C155" s="178"/>
      <c r="D155" s="242"/>
      <c r="E155" s="178"/>
      <c r="F155" s="178"/>
      <c r="G155" s="178"/>
      <c r="H155" s="178"/>
      <c r="I155" s="178"/>
      <c r="J155" s="178"/>
      <c r="K155" s="214"/>
      <c r="L155" s="178"/>
      <c r="M155" s="178"/>
      <c r="N155" s="211"/>
      <c r="O155" s="178"/>
      <c r="P155" s="177"/>
      <c r="Q155" s="178"/>
      <c r="R155" s="178"/>
      <c r="S155" s="178"/>
      <c r="T155" s="178"/>
      <c r="U155" s="178"/>
      <c r="V155" s="178"/>
      <c r="W155" s="178"/>
      <c r="X155" s="178"/>
      <c r="Y155" s="178"/>
      <c r="Z155" s="189"/>
      <c r="AA155" s="213"/>
      <c r="AB155" s="213"/>
      <c r="AC155" s="213"/>
      <c r="AD155" s="213"/>
      <c r="AE155" s="213"/>
      <c r="AF155" s="213"/>
      <c r="AG155" s="213"/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213"/>
    </row>
    <row r="156" spans="1:46" ht="15" hidden="1" customHeight="1" x14ac:dyDescent="0.35">
      <c r="A156" s="232"/>
      <c r="B156" s="187"/>
      <c r="C156" s="178"/>
      <c r="D156" s="242"/>
      <c r="E156" s="178"/>
      <c r="F156" s="178"/>
      <c r="G156" s="178"/>
      <c r="H156" s="178"/>
      <c r="I156" s="178"/>
      <c r="J156" s="178"/>
      <c r="K156" s="214"/>
      <c r="L156" s="178"/>
      <c r="M156" s="178"/>
      <c r="N156" s="211"/>
      <c r="O156" s="178"/>
      <c r="P156" s="177"/>
      <c r="Q156" s="178"/>
      <c r="R156" s="178"/>
      <c r="S156" s="178"/>
      <c r="T156" s="178"/>
      <c r="U156" s="178"/>
      <c r="V156" s="178"/>
      <c r="W156" s="178"/>
      <c r="X156" s="178"/>
      <c r="Y156" s="178"/>
      <c r="Z156" s="189"/>
      <c r="AA156" s="213"/>
      <c r="AB156" s="213"/>
      <c r="AC156" s="213"/>
      <c r="AD156" s="213"/>
      <c r="AE156" s="213"/>
      <c r="AF156" s="213"/>
      <c r="AG156" s="213"/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213"/>
    </row>
    <row r="157" spans="1:46" ht="15" hidden="1" customHeight="1" x14ac:dyDescent="0.35">
      <c r="A157" s="232"/>
      <c r="B157" s="187"/>
      <c r="C157" s="178"/>
      <c r="D157" s="242"/>
      <c r="E157" s="178"/>
      <c r="F157" s="178"/>
      <c r="G157" s="178"/>
      <c r="H157" s="178"/>
      <c r="I157" s="178"/>
      <c r="J157" s="178"/>
      <c r="K157" s="214"/>
      <c r="L157" s="178"/>
      <c r="M157" s="178"/>
      <c r="N157" s="211"/>
      <c r="O157" s="178"/>
      <c r="P157" s="177"/>
      <c r="Q157" s="178"/>
      <c r="R157" s="178"/>
      <c r="S157" s="178"/>
      <c r="T157" s="178"/>
      <c r="U157" s="178"/>
      <c r="V157" s="178"/>
      <c r="W157" s="178"/>
      <c r="X157" s="178"/>
      <c r="Y157" s="178"/>
      <c r="Z157" s="189"/>
      <c r="AA157" s="213"/>
      <c r="AB157" s="213"/>
      <c r="AC157" s="213"/>
      <c r="AD157" s="213"/>
      <c r="AE157" s="213"/>
      <c r="AF157" s="213"/>
      <c r="AG157" s="213"/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213"/>
    </row>
    <row r="158" spans="1:46" ht="15" hidden="1" customHeight="1" x14ac:dyDescent="0.35">
      <c r="A158" s="232"/>
      <c r="B158" s="187"/>
      <c r="C158" s="178"/>
      <c r="D158" s="242"/>
      <c r="E158" s="178"/>
      <c r="F158" s="178"/>
      <c r="G158" s="178"/>
      <c r="H158" s="178"/>
      <c r="I158" s="178"/>
      <c r="J158" s="178"/>
      <c r="K158" s="214"/>
      <c r="L158" s="178"/>
      <c r="M158" s="178"/>
      <c r="N158" s="211"/>
      <c r="O158" s="178"/>
      <c r="P158" s="177"/>
      <c r="Q158" s="178"/>
      <c r="R158" s="178"/>
      <c r="S158" s="178"/>
      <c r="T158" s="178"/>
      <c r="U158" s="178"/>
      <c r="V158" s="178"/>
      <c r="W158" s="178"/>
      <c r="X158" s="178"/>
      <c r="Y158" s="178"/>
      <c r="Z158" s="189"/>
      <c r="AA158" s="213"/>
      <c r="AB158" s="213"/>
      <c r="AC158" s="213"/>
      <c r="AD158" s="213"/>
      <c r="AE158" s="213"/>
      <c r="AF158" s="213"/>
      <c r="AG158" s="213"/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213"/>
    </row>
    <row r="159" spans="1:46" ht="15" hidden="1" customHeight="1" x14ac:dyDescent="0.35">
      <c r="A159" s="232"/>
      <c r="B159" s="187"/>
      <c r="C159" s="178"/>
      <c r="D159" s="242"/>
      <c r="E159" s="178"/>
      <c r="F159" s="178"/>
      <c r="G159" s="178"/>
      <c r="H159" s="178"/>
      <c r="I159" s="178"/>
      <c r="J159" s="178"/>
      <c r="K159" s="214"/>
      <c r="L159" s="178"/>
      <c r="M159" s="178"/>
      <c r="N159" s="211"/>
      <c r="O159" s="178"/>
      <c r="P159" s="177"/>
      <c r="Q159" s="178"/>
      <c r="R159" s="178"/>
      <c r="S159" s="178"/>
      <c r="T159" s="178"/>
      <c r="U159" s="178"/>
      <c r="V159" s="178"/>
      <c r="W159" s="178"/>
      <c r="X159" s="178"/>
      <c r="Y159" s="178"/>
      <c r="Z159" s="189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</row>
    <row r="160" spans="1:46" ht="15" hidden="1" customHeight="1" x14ac:dyDescent="0.35">
      <c r="A160" s="232"/>
      <c r="B160" s="187"/>
      <c r="C160" s="178"/>
      <c r="D160" s="242"/>
      <c r="E160" s="178"/>
      <c r="F160" s="178"/>
      <c r="G160" s="178"/>
      <c r="H160" s="178"/>
      <c r="I160" s="178"/>
      <c r="J160" s="178"/>
      <c r="K160" s="214"/>
      <c r="L160" s="178"/>
      <c r="M160" s="178"/>
      <c r="N160" s="211"/>
      <c r="O160" s="178"/>
      <c r="P160" s="177"/>
      <c r="Q160" s="178"/>
      <c r="R160" s="178"/>
      <c r="S160" s="178"/>
      <c r="T160" s="178"/>
      <c r="U160" s="178"/>
      <c r="V160" s="178"/>
      <c r="W160" s="178"/>
      <c r="X160" s="178"/>
      <c r="Y160" s="178"/>
      <c r="Z160" s="189"/>
      <c r="AA160" s="213"/>
      <c r="AB160" s="213"/>
      <c r="AC160" s="213"/>
      <c r="AD160" s="213"/>
      <c r="AE160" s="213"/>
      <c r="AF160" s="213"/>
      <c r="AG160" s="213"/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213"/>
    </row>
    <row r="161" spans="1:46" ht="15" hidden="1" customHeight="1" x14ac:dyDescent="0.35">
      <c r="A161" s="232"/>
      <c r="B161" s="187"/>
      <c r="C161" s="178"/>
      <c r="D161" s="242"/>
      <c r="E161" s="178"/>
      <c r="F161" s="178"/>
      <c r="G161" s="178"/>
      <c r="H161" s="178"/>
      <c r="I161" s="178"/>
      <c r="J161" s="178"/>
      <c r="K161" s="214"/>
      <c r="L161" s="178"/>
      <c r="M161" s="178"/>
      <c r="N161" s="211"/>
      <c r="O161" s="178"/>
      <c r="P161" s="177"/>
      <c r="Q161" s="178"/>
      <c r="R161" s="178"/>
      <c r="S161" s="178"/>
      <c r="T161" s="178"/>
      <c r="U161" s="178"/>
      <c r="V161" s="178"/>
      <c r="W161" s="178"/>
      <c r="X161" s="178"/>
      <c r="Y161" s="178"/>
      <c r="Z161" s="189"/>
      <c r="AA161" s="213"/>
      <c r="AB161" s="213"/>
      <c r="AC161" s="213"/>
      <c r="AD161" s="213"/>
      <c r="AE161" s="213"/>
      <c r="AF161" s="213"/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213"/>
    </row>
    <row r="162" spans="1:46" ht="15" hidden="1" customHeight="1" x14ac:dyDescent="0.35">
      <c r="A162" s="232"/>
      <c r="B162" s="187"/>
      <c r="C162" s="178"/>
      <c r="D162" s="242"/>
      <c r="E162" s="178"/>
      <c r="F162" s="178"/>
      <c r="G162" s="178"/>
      <c r="H162" s="178"/>
      <c r="I162" s="178"/>
      <c r="J162" s="178"/>
      <c r="K162" s="214"/>
      <c r="L162" s="178"/>
      <c r="M162" s="178"/>
      <c r="N162" s="211"/>
      <c r="O162" s="178"/>
      <c r="P162" s="177"/>
      <c r="Q162" s="178"/>
      <c r="R162" s="178"/>
      <c r="S162" s="178"/>
      <c r="T162" s="178"/>
      <c r="U162" s="178"/>
      <c r="V162" s="178"/>
      <c r="W162" s="178"/>
      <c r="X162" s="178"/>
      <c r="Y162" s="178"/>
      <c r="Z162" s="189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213"/>
    </row>
    <row r="163" spans="1:46" ht="15" hidden="1" customHeight="1" x14ac:dyDescent="0.35">
      <c r="A163" s="232"/>
      <c r="B163" s="187"/>
      <c r="C163" s="178"/>
      <c r="D163" s="242"/>
      <c r="E163" s="178"/>
      <c r="F163" s="178"/>
      <c r="G163" s="178"/>
      <c r="H163" s="178"/>
      <c r="I163" s="178"/>
      <c r="J163" s="178"/>
      <c r="K163" s="214"/>
      <c r="L163" s="178"/>
      <c r="M163" s="178"/>
      <c r="N163" s="211"/>
      <c r="O163" s="178"/>
      <c r="P163" s="177"/>
      <c r="Q163" s="178"/>
      <c r="R163" s="178"/>
      <c r="S163" s="178"/>
      <c r="T163" s="178"/>
      <c r="U163" s="178"/>
      <c r="V163" s="178"/>
      <c r="W163" s="178"/>
      <c r="X163" s="178"/>
      <c r="Y163" s="178"/>
      <c r="Z163" s="189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213"/>
    </row>
    <row r="164" spans="1:46" ht="15" hidden="1" customHeight="1" x14ac:dyDescent="0.35">
      <c r="A164" s="232"/>
      <c r="B164" s="187"/>
      <c r="C164" s="178"/>
      <c r="D164" s="242"/>
      <c r="E164" s="178"/>
      <c r="F164" s="178"/>
      <c r="G164" s="178"/>
      <c r="H164" s="178"/>
      <c r="I164" s="178"/>
      <c r="J164" s="178"/>
      <c r="K164" s="214"/>
      <c r="L164" s="178"/>
      <c r="M164" s="178"/>
      <c r="N164" s="211"/>
      <c r="O164" s="178"/>
      <c r="P164" s="177"/>
      <c r="Q164" s="178"/>
      <c r="R164" s="178"/>
      <c r="S164" s="178"/>
      <c r="T164" s="178"/>
      <c r="U164" s="178"/>
      <c r="V164" s="178"/>
      <c r="W164" s="178"/>
      <c r="X164" s="178"/>
      <c r="Y164" s="178"/>
      <c r="Z164" s="189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3"/>
    </row>
    <row r="165" spans="1:46" ht="15" hidden="1" customHeight="1" x14ac:dyDescent="0.35">
      <c r="A165" s="232"/>
      <c r="B165" s="187"/>
      <c r="C165" s="178"/>
      <c r="D165" s="242"/>
      <c r="E165" s="178"/>
      <c r="F165" s="178"/>
      <c r="G165" s="178"/>
      <c r="H165" s="178"/>
      <c r="I165" s="178"/>
      <c r="J165" s="178"/>
      <c r="K165" s="214"/>
      <c r="L165" s="178"/>
      <c r="M165" s="178"/>
      <c r="N165" s="211"/>
      <c r="O165" s="178"/>
      <c r="P165" s="177"/>
      <c r="Q165" s="178"/>
      <c r="R165" s="178"/>
      <c r="S165" s="178"/>
      <c r="T165" s="178"/>
      <c r="U165" s="178"/>
      <c r="V165" s="178"/>
      <c r="W165" s="178"/>
      <c r="X165" s="178"/>
      <c r="Y165" s="178"/>
      <c r="Z165" s="189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213"/>
    </row>
    <row r="166" spans="1:46" ht="15" hidden="1" customHeight="1" x14ac:dyDescent="0.35">
      <c r="A166" s="232"/>
      <c r="B166" s="187"/>
      <c r="C166" s="178"/>
      <c r="D166" s="242"/>
      <c r="E166" s="178"/>
      <c r="F166" s="178"/>
      <c r="G166" s="178"/>
      <c r="H166" s="178"/>
      <c r="I166" s="178"/>
      <c r="J166" s="178"/>
      <c r="K166" s="214"/>
      <c r="L166" s="178"/>
      <c r="M166" s="178"/>
      <c r="N166" s="211"/>
      <c r="O166" s="178"/>
      <c r="P166" s="177"/>
      <c r="Q166" s="178"/>
      <c r="R166" s="178"/>
      <c r="S166" s="178"/>
      <c r="T166" s="178"/>
      <c r="U166" s="178"/>
      <c r="V166" s="178"/>
      <c r="W166" s="178"/>
      <c r="X166" s="178"/>
      <c r="Y166" s="178"/>
      <c r="Z166" s="189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213"/>
    </row>
    <row r="167" spans="1:46" ht="15" hidden="1" customHeight="1" x14ac:dyDescent="0.35">
      <c r="A167" s="232"/>
      <c r="B167" s="187"/>
      <c r="C167" s="178"/>
      <c r="D167" s="242"/>
      <c r="E167" s="178"/>
      <c r="F167" s="178"/>
      <c r="G167" s="178"/>
      <c r="H167" s="178"/>
      <c r="I167" s="178"/>
      <c r="J167" s="178"/>
      <c r="K167" s="214"/>
      <c r="L167" s="178"/>
      <c r="M167" s="178"/>
      <c r="N167" s="211"/>
      <c r="O167" s="178"/>
      <c r="P167" s="177"/>
      <c r="Q167" s="178"/>
      <c r="R167" s="178"/>
      <c r="S167" s="178"/>
      <c r="T167" s="178"/>
      <c r="U167" s="178"/>
      <c r="V167" s="178"/>
      <c r="W167" s="178"/>
      <c r="X167" s="178"/>
      <c r="Y167" s="178"/>
      <c r="Z167" s="189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</row>
    <row r="168" spans="1:46" ht="15" hidden="1" customHeight="1" x14ac:dyDescent="0.35">
      <c r="A168" s="232"/>
      <c r="B168" s="187"/>
      <c r="C168" s="178"/>
      <c r="D168" s="242"/>
      <c r="E168" s="178"/>
      <c r="F168" s="178"/>
      <c r="G168" s="178"/>
      <c r="H168" s="178"/>
      <c r="I168" s="178"/>
      <c r="J168" s="178"/>
      <c r="K168" s="214"/>
      <c r="L168" s="178"/>
      <c r="M168" s="178"/>
      <c r="N168" s="211"/>
      <c r="O168" s="178"/>
      <c r="P168" s="177"/>
      <c r="Q168" s="178"/>
      <c r="R168" s="178"/>
      <c r="S168" s="178"/>
      <c r="T168" s="178"/>
      <c r="U168" s="178"/>
      <c r="V168" s="178"/>
      <c r="W168" s="178"/>
      <c r="X168" s="178"/>
      <c r="Y168" s="178"/>
      <c r="Z168" s="189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</row>
    <row r="169" spans="1:46" ht="15" hidden="1" customHeight="1" x14ac:dyDescent="0.35">
      <c r="A169" s="232"/>
      <c r="B169" s="187"/>
      <c r="C169" s="178"/>
      <c r="D169" s="242"/>
      <c r="E169" s="178"/>
      <c r="F169" s="178"/>
      <c r="G169" s="178"/>
      <c r="H169" s="178"/>
      <c r="I169" s="178"/>
      <c r="J169" s="178"/>
      <c r="K169" s="214"/>
      <c r="L169" s="178"/>
      <c r="M169" s="178"/>
      <c r="N169" s="211"/>
      <c r="O169" s="178"/>
      <c r="P169" s="177"/>
      <c r="Q169" s="178"/>
      <c r="R169" s="178"/>
      <c r="S169" s="178"/>
      <c r="T169" s="178"/>
      <c r="U169" s="178"/>
      <c r="V169" s="178"/>
      <c r="W169" s="178"/>
      <c r="X169" s="178"/>
      <c r="Y169" s="178"/>
      <c r="Z169" s="189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</row>
    <row r="170" spans="1:46" ht="15" hidden="1" customHeight="1" x14ac:dyDescent="0.35">
      <c r="A170" s="232"/>
      <c r="B170" s="187"/>
      <c r="C170" s="178"/>
      <c r="D170" s="242"/>
      <c r="E170" s="178"/>
      <c r="F170" s="178"/>
      <c r="G170" s="178"/>
      <c r="H170" s="178"/>
      <c r="I170" s="178"/>
      <c r="J170" s="178"/>
      <c r="K170" s="214"/>
      <c r="L170" s="178"/>
      <c r="M170" s="178"/>
      <c r="N170" s="211"/>
      <c r="O170" s="178"/>
      <c r="P170" s="177"/>
      <c r="Q170" s="178"/>
      <c r="R170" s="178"/>
      <c r="S170" s="178"/>
      <c r="T170" s="178"/>
      <c r="U170" s="178"/>
      <c r="V170" s="178"/>
      <c r="W170" s="178"/>
      <c r="X170" s="178"/>
      <c r="Y170" s="178"/>
      <c r="Z170" s="189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</row>
    <row r="171" spans="1:46" ht="15" hidden="1" customHeight="1" x14ac:dyDescent="0.35">
      <c r="A171" s="232"/>
      <c r="B171" s="187"/>
      <c r="C171" s="178"/>
      <c r="D171" s="242"/>
      <c r="E171" s="178"/>
      <c r="F171" s="178"/>
      <c r="G171" s="178"/>
      <c r="H171" s="178"/>
      <c r="I171" s="178"/>
      <c r="J171" s="178"/>
      <c r="K171" s="214"/>
      <c r="L171" s="178"/>
      <c r="M171" s="178"/>
      <c r="N171" s="211"/>
      <c r="O171" s="178"/>
      <c r="P171" s="177"/>
      <c r="Q171" s="178"/>
      <c r="R171" s="178"/>
      <c r="S171" s="178"/>
      <c r="T171" s="178"/>
      <c r="U171" s="178"/>
      <c r="V171" s="178"/>
      <c r="W171" s="178"/>
      <c r="X171" s="178"/>
      <c r="Y171" s="178"/>
      <c r="Z171" s="189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</row>
    <row r="172" spans="1:46" ht="15" hidden="1" customHeight="1" x14ac:dyDescent="0.35">
      <c r="A172" s="232"/>
      <c r="B172" s="187"/>
      <c r="C172" s="178"/>
      <c r="D172" s="242"/>
      <c r="E172" s="178"/>
      <c r="F172" s="178"/>
      <c r="G172" s="178"/>
      <c r="H172" s="178"/>
      <c r="I172" s="178"/>
      <c r="J172" s="178"/>
      <c r="K172" s="214"/>
      <c r="L172" s="178"/>
      <c r="M172" s="178"/>
      <c r="N172" s="211"/>
      <c r="O172" s="178"/>
      <c r="P172" s="177"/>
      <c r="Q172" s="178"/>
      <c r="R172" s="178"/>
      <c r="S172" s="178"/>
      <c r="T172" s="178"/>
      <c r="U172" s="178"/>
      <c r="V172" s="178"/>
      <c r="W172" s="178"/>
      <c r="X172" s="178"/>
      <c r="Y172" s="178"/>
      <c r="Z172" s="189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</row>
    <row r="173" spans="1:46" ht="15" hidden="1" customHeight="1" x14ac:dyDescent="0.35">
      <c r="A173" s="232"/>
      <c r="B173" s="187"/>
      <c r="C173" s="178"/>
      <c r="D173" s="242"/>
      <c r="E173" s="178"/>
      <c r="F173" s="178"/>
      <c r="G173" s="178"/>
      <c r="H173" s="178"/>
      <c r="I173" s="178"/>
      <c r="J173" s="178"/>
      <c r="K173" s="214"/>
      <c r="L173" s="178"/>
      <c r="M173" s="178"/>
      <c r="N173" s="211"/>
      <c r="O173" s="178"/>
      <c r="P173" s="177"/>
      <c r="Q173" s="178"/>
      <c r="R173" s="178"/>
      <c r="S173" s="178"/>
      <c r="T173" s="178"/>
      <c r="U173" s="178"/>
      <c r="V173" s="178"/>
      <c r="W173" s="178"/>
      <c r="X173" s="178"/>
      <c r="Y173" s="178"/>
      <c r="Z173" s="189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</row>
    <row r="174" spans="1:46" ht="15" hidden="1" customHeight="1" x14ac:dyDescent="0.35">
      <c r="A174" s="232"/>
      <c r="B174" s="187"/>
      <c r="C174" s="178"/>
      <c r="D174" s="242"/>
      <c r="E174" s="178"/>
      <c r="F174" s="178"/>
      <c r="G174" s="178"/>
      <c r="H174" s="178"/>
      <c r="I174" s="178"/>
      <c r="J174" s="178"/>
      <c r="K174" s="214"/>
      <c r="L174" s="178"/>
      <c r="M174" s="178"/>
      <c r="N174" s="211"/>
      <c r="O174" s="178"/>
      <c r="P174" s="177"/>
      <c r="Q174" s="178"/>
      <c r="R174" s="178"/>
      <c r="S174" s="178"/>
      <c r="T174" s="178"/>
      <c r="U174" s="178"/>
      <c r="V174" s="178"/>
      <c r="W174" s="178"/>
      <c r="X174" s="178"/>
      <c r="Y174" s="178"/>
      <c r="Z174" s="189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</row>
    <row r="175" spans="1:46" ht="15" hidden="1" customHeight="1" x14ac:dyDescent="0.3">
      <c r="A175" s="232"/>
      <c r="B175" s="187"/>
      <c r="C175" s="178"/>
      <c r="D175" s="242"/>
      <c r="E175" s="243"/>
      <c r="F175" s="178"/>
      <c r="G175" s="178"/>
      <c r="H175" s="187"/>
      <c r="I175" s="179"/>
      <c r="J175" s="178"/>
      <c r="K175" s="216"/>
      <c r="L175" s="217"/>
      <c r="M175" s="218"/>
      <c r="N175" s="218"/>
      <c r="O175" s="218"/>
      <c r="P175" s="218"/>
      <c r="Q175" s="218"/>
      <c r="R175" s="178"/>
      <c r="S175" s="178"/>
      <c r="T175" s="178"/>
      <c r="U175" s="178"/>
      <c r="V175" s="178"/>
      <c r="W175" s="178"/>
      <c r="X175" s="178"/>
      <c r="Y175" s="178"/>
      <c r="Z175" s="189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</row>
    <row r="176" spans="1:46" ht="15" hidden="1" customHeight="1" x14ac:dyDescent="0.3">
      <c r="A176" s="232"/>
      <c r="B176" s="251"/>
      <c r="C176" s="187"/>
      <c r="D176" s="242"/>
      <c r="E176" s="244"/>
      <c r="F176" s="187"/>
      <c r="G176" s="178"/>
      <c r="H176" s="185"/>
      <c r="I176" s="175"/>
      <c r="J176" s="179"/>
      <c r="K176" s="219"/>
      <c r="L176" s="220"/>
      <c r="M176" s="215"/>
      <c r="N176" s="215"/>
      <c r="O176" s="221"/>
      <c r="P176" s="215"/>
      <c r="Q176" s="215"/>
      <c r="R176" s="178"/>
      <c r="S176" s="178"/>
      <c r="T176" s="178"/>
      <c r="U176" s="178"/>
      <c r="V176" s="178"/>
      <c r="W176" s="178"/>
      <c r="X176" s="215"/>
      <c r="Y176" s="215"/>
      <c r="Z176" s="189"/>
      <c r="AA176" s="213"/>
      <c r="AB176" s="213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</row>
    <row r="177" spans="1:25" ht="15" hidden="1" customHeight="1" x14ac:dyDescent="0.3">
      <c r="A177" s="232"/>
      <c r="B177" s="249"/>
      <c r="C177" s="185"/>
      <c r="D177" s="238"/>
      <c r="E177" s="239"/>
      <c r="F177" s="185"/>
      <c r="G177" s="187"/>
      <c r="H177" s="188"/>
      <c r="I177" s="180"/>
      <c r="J177" s="175"/>
      <c r="K177" s="222"/>
      <c r="L177" s="223"/>
      <c r="M177" s="180"/>
      <c r="N177" s="180"/>
      <c r="O177" s="180"/>
      <c r="P177" s="196"/>
      <c r="Q177" s="201"/>
      <c r="R177" s="218"/>
      <c r="S177" s="218"/>
      <c r="T177" s="218"/>
      <c r="U177" s="218"/>
      <c r="V177" s="218"/>
      <c r="W177" s="218"/>
      <c r="X177" s="215"/>
      <c r="Y177" s="215"/>
    </row>
    <row r="178" spans="1:25" ht="15" hidden="1" customHeight="1" x14ac:dyDescent="0.3">
      <c r="A178" s="232"/>
      <c r="B178" s="252"/>
      <c r="C178" s="188"/>
      <c r="D178" s="238"/>
      <c r="E178" s="245"/>
      <c r="F178" s="188"/>
      <c r="G178" s="185"/>
      <c r="H178" s="181"/>
      <c r="I178" s="181"/>
      <c r="J178" s="180"/>
      <c r="K178" s="224"/>
      <c r="L178" s="180"/>
      <c r="M178" s="196"/>
      <c r="N178" s="196"/>
      <c r="O178" s="196"/>
      <c r="P178" s="180"/>
      <c r="Q178" s="180"/>
      <c r="R178" s="215"/>
      <c r="S178" s="215"/>
      <c r="T178" s="215"/>
      <c r="U178" s="215"/>
      <c r="V178" s="215"/>
      <c r="W178" s="215"/>
      <c r="X178" s="196"/>
      <c r="Y178" s="196"/>
    </row>
    <row r="179" spans="1:25" ht="15" hidden="1" customHeight="1" x14ac:dyDescent="0.35">
      <c r="A179" s="233"/>
      <c r="B179" s="187"/>
      <c r="C179" s="181"/>
      <c r="D179" s="246"/>
      <c r="E179" s="181"/>
      <c r="F179" s="181"/>
      <c r="G179" s="188"/>
      <c r="H179" s="178"/>
      <c r="I179" s="178"/>
      <c r="J179" s="181"/>
      <c r="K179" s="214"/>
      <c r="L179" s="181"/>
      <c r="M179" s="181"/>
      <c r="N179" s="225"/>
      <c r="O179" s="181"/>
      <c r="P179" s="181"/>
      <c r="Q179" s="181"/>
      <c r="R179" s="196"/>
      <c r="S179" s="196"/>
      <c r="T179" s="196"/>
      <c r="U179" s="196"/>
      <c r="V179" s="196"/>
      <c r="W179" s="196"/>
      <c r="X179" s="180"/>
      <c r="Y179" s="180"/>
    </row>
    <row r="180" spans="1:25" s="130" customFormat="1" ht="15" hidden="1" customHeight="1" x14ac:dyDescent="0.35">
      <c r="A180" s="232"/>
      <c r="B180" s="187"/>
      <c r="C180" s="178"/>
      <c r="D180" s="242"/>
      <c r="E180" s="178"/>
      <c r="F180" s="178"/>
      <c r="G180" s="181"/>
      <c r="H180" s="178"/>
      <c r="I180" s="178"/>
      <c r="J180" s="178"/>
      <c r="K180" s="214"/>
      <c r="L180" s="178"/>
      <c r="M180" s="178"/>
      <c r="N180" s="211"/>
      <c r="O180" s="178"/>
      <c r="P180" s="177"/>
      <c r="Q180" s="178"/>
      <c r="R180" s="180"/>
      <c r="S180" s="180"/>
      <c r="T180" s="180"/>
      <c r="U180" s="180"/>
      <c r="V180" s="180"/>
      <c r="W180" s="180"/>
      <c r="X180" s="181"/>
      <c r="Y180" s="181"/>
    </row>
    <row r="181" spans="1:25" ht="15" hidden="1" customHeight="1" x14ac:dyDescent="0.35">
      <c r="A181" s="232"/>
      <c r="B181" s="187"/>
      <c r="C181" s="178"/>
      <c r="D181" s="242"/>
      <c r="E181" s="178"/>
      <c r="F181" s="178"/>
      <c r="G181" s="178"/>
      <c r="H181" s="178"/>
      <c r="I181" s="178"/>
      <c r="J181" s="178"/>
      <c r="K181" s="214"/>
      <c r="L181" s="178"/>
      <c r="M181" s="178"/>
      <c r="N181" s="211"/>
      <c r="O181" s="178"/>
      <c r="P181" s="177"/>
      <c r="Q181" s="178"/>
      <c r="R181" s="181"/>
      <c r="S181" s="181"/>
      <c r="T181" s="181"/>
      <c r="U181" s="181"/>
      <c r="V181" s="181"/>
      <c r="W181" s="181"/>
      <c r="X181" s="178"/>
      <c r="Y181" s="178"/>
    </row>
    <row r="182" spans="1:25" ht="15" hidden="1" customHeight="1" x14ac:dyDescent="0.35">
      <c r="A182" s="232"/>
      <c r="B182" s="187"/>
      <c r="C182" s="178"/>
      <c r="D182" s="242"/>
      <c r="E182" s="178"/>
      <c r="F182" s="178"/>
      <c r="G182" s="178"/>
      <c r="H182" s="178"/>
      <c r="I182" s="178"/>
      <c r="J182" s="178"/>
      <c r="K182" s="214"/>
      <c r="L182" s="178"/>
      <c r="M182" s="178"/>
      <c r="N182" s="211"/>
      <c r="O182" s="178"/>
      <c r="P182" s="177"/>
      <c r="Q182" s="178"/>
      <c r="R182" s="178"/>
      <c r="S182" s="178"/>
      <c r="T182" s="178"/>
      <c r="U182" s="178"/>
      <c r="V182" s="178"/>
      <c r="W182" s="178"/>
      <c r="X182" s="178"/>
      <c r="Y182" s="178"/>
    </row>
    <row r="183" spans="1:25" ht="15" hidden="1" customHeight="1" x14ac:dyDescent="0.35">
      <c r="A183" s="232"/>
      <c r="B183" s="187"/>
      <c r="C183" s="178"/>
      <c r="D183" s="242"/>
      <c r="E183" s="178"/>
      <c r="F183" s="178"/>
      <c r="G183" s="178"/>
      <c r="H183" s="178"/>
      <c r="I183" s="178"/>
      <c r="J183" s="178"/>
      <c r="K183" s="214"/>
      <c r="L183" s="178"/>
      <c r="M183" s="178"/>
      <c r="N183" s="211"/>
      <c r="O183" s="178"/>
      <c r="P183" s="177"/>
      <c r="Q183" s="178"/>
      <c r="R183" s="178"/>
      <c r="S183" s="178"/>
      <c r="T183" s="178"/>
      <c r="U183" s="178"/>
      <c r="V183" s="178"/>
      <c r="W183" s="178"/>
      <c r="X183" s="178"/>
      <c r="Y183" s="178"/>
    </row>
    <row r="184" spans="1:25" ht="15" hidden="1" customHeight="1" x14ac:dyDescent="0.35">
      <c r="A184" s="232"/>
      <c r="B184" s="187"/>
      <c r="C184" s="178"/>
      <c r="D184" s="242"/>
      <c r="E184" s="178"/>
      <c r="F184" s="178"/>
      <c r="G184" s="178"/>
      <c r="H184" s="178"/>
      <c r="I184" s="178"/>
      <c r="J184" s="178"/>
      <c r="K184" s="214"/>
      <c r="L184" s="178"/>
      <c r="M184" s="178"/>
      <c r="N184" s="211"/>
      <c r="O184" s="178"/>
      <c r="P184" s="177"/>
      <c r="Q184" s="178"/>
      <c r="R184" s="178"/>
      <c r="S184" s="178"/>
      <c r="T184" s="178"/>
      <c r="U184" s="178"/>
      <c r="V184" s="178"/>
      <c r="W184" s="178"/>
      <c r="X184" s="178"/>
      <c r="Y184" s="178"/>
    </row>
    <row r="185" spans="1:25" ht="15" hidden="1" customHeight="1" x14ac:dyDescent="0.35">
      <c r="A185" s="232"/>
      <c r="B185" s="187"/>
      <c r="C185" s="178"/>
      <c r="D185" s="242"/>
      <c r="E185" s="178"/>
      <c r="F185" s="178"/>
      <c r="G185" s="178"/>
      <c r="H185" s="178"/>
      <c r="I185" s="178"/>
      <c r="J185" s="178"/>
      <c r="K185" s="214"/>
      <c r="L185" s="178"/>
      <c r="M185" s="178"/>
      <c r="N185" s="211"/>
      <c r="O185" s="178"/>
      <c r="P185" s="177"/>
      <c r="Q185" s="178"/>
      <c r="R185" s="178"/>
      <c r="S185" s="178"/>
      <c r="T185" s="178"/>
      <c r="U185" s="178"/>
      <c r="V185" s="178"/>
      <c r="W185" s="178"/>
      <c r="X185" s="178"/>
      <c r="Y185" s="178"/>
    </row>
    <row r="186" spans="1:25" ht="15" hidden="1" customHeight="1" x14ac:dyDescent="0.35">
      <c r="A186" s="232"/>
      <c r="B186" s="187"/>
      <c r="C186" s="178"/>
      <c r="D186" s="242"/>
      <c r="E186" s="178"/>
      <c r="F186" s="178"/>
      <c r="G186" s="178"/>
      <c r="H186" s="178"/>
      <c r="I186" s="178"/>
      <c r="J186" s="178"/>
      <c r="K186" s="214"/>
      <c r="L186" s="178"/>
      <c r="M186" s="178"/>
      <c r="N186" s="211"/>
      <c r="O186" s="178"/>
      <c r="P186" s="177"/>
      <c r="Q186" s="178"/>
      <c r="R186" s="178"/>
      <c r="S186" s="178"/>
      <c r="T186" s="178"/>
      <c r="U186" s="178"/>
      <c r="V186" s="178"/>
      <c r="W186" s="178"/>
      <c r="X186" s="178"/>
      <c r="Y186" s="178"/>
    </row>
    <row r="187" spans="1:25" ht="15" hidden="1" customHeight="1" x14ac:dyDescent="0.35">
      <c r="A187" s="232"/>
      <c r="B187" s="187"/>
      <c r="C187" s="178"/>
      <c r="D187" s="242"/>
      <c r="E187" s="178"/>
      <c r="F187" s="178"/>
      <c r="G187" s="178"/>
      <c r="H187" s="178"/>
      <c r="I187" s="178"/>
      <c r="J187" s="178"/>
      <c r="K187" s="214"/>
      <c r="L187" s="178"/>
      <c r="M187" s="178"/>
      <c r="N187" s="211"/>
      <c r="O187" s="178"/>
      <c r="P187" s="177"/>
      <c r="Q187" s="178"/>
      <c r="R187" s="178"/>
      <c r="S187" s="178"/>
      <c r="T187" s="178"/>
      <c r="U187" s="178"/>
      <c r="V187" s="178"/>
      <c r="W187" s="178"/>
      <c r="X187" s="178"/>
      <c r="Y187" s="178"/>
    </row>
    <row r="188" spans="1:25" ht="15" hidden="1" customHeight="1" x14ac:dyDescent="0.35">
      <c r="A188" s="232"/>
      <c r="B188" s="187"/>
      <c r="C188" s="178"/>
      <c r="D188" s="242"/>
      <c r="E188" s="178"/>
      <c r="F188" s="178"/>
      <c r="G188" s="178"/>
      <c r="H188" s="178"/>
      <c r="I188" s="178"/>
      <c r="J188" s="178"/>
      <c r="K188" s="214"/>
      <c r="L188" s="178"/>
      <c r="M188" s="178"/>
      <c r="N188" s="211"/>
      <c r="O188" s="178"/>
      <c r="P188" s="177"/>
      <c r="Q188" s="178"/>
      <c r="R188" s="178"/>
      <c r="S188" s="178"/>
      <c r="T188" s="178"/>
      <c r="U188" s="178"/>
      <c r="V188" s="178"/>
      <c r="W188" s="178"/>
      <c r="X188" s="178"/>
      <c r="Y188" s="178"/>
    </row>
    <row r="189" spans="1:25" ht="15" hidden="1" customHeight="1" x14ac:dyDescent="0.35">
      <c r="A189" s="232"/>
      <c r="B189" s="187"/>
      <c r="C189" s="178"/>
      <c r="D189" s="242"/>
      <c r="E189" s="178"/>
      <c r="F189" s="178"/>
      <c r="G189" s="178"/>
      <c r="H189" s="178"/>
      <c r="I189" s="178"/>
      <c r="J189" s="178"/>
      <c r="K189" s="214"/>
      <c r="L189" s="178"/>
      <c r="M189" s="178"/>
      <c r="N189" s="211"/>
      <c r="O189" s="178"/>
      <c r="P189" s="177"/>
      <c r="Q189" s="178"/>
      <c r="R189" s="178"/>
      <c r="S189" s="178"/>
      <c r="T189" s="178"/>
      <c r="U189" s="178"/>
      <c r="V189" s="178"/>
      <c r="W189" s="178"/>
      <c r="X189" s="178"/>
      <c r="Y189" s="178"/>
    </row>
    <row r="190" spans="1:25" ht="15" hidden="1" customHeight="1" x14ac:dyDescent="0.35">
      <c r="A190" s="232"/>
      <c r="B190" s="252"/>
      <c r="C190" s="178"/>
      <c r="D190" s="242"/>
      <c r="E190" s="178"/>
      <c r="F190" s="178"/>
      <c r="G190" s="178"/>
      <c r="H190" s="181"/>
      <c r="I190" s="181"/>
      <c r="J190" s="178"/>
      <c r="K190" s="214"/>
      <c r="L190" s="178"/>
      <c r="M190" s="178"/>
      <c r="N190" s="211"/>
      <c r="O190" s="178"/>
      <c r="P190" s="177"/>
      <c r="Q190" s="178"/>
      <c r="R190" s="178"/>
      <c r="S190" s="178"/>
      <c r="T190" s="178"/>
      <c r="U190" s="178"/>
      <c r="V190" s="178"/>
      <c r="W190" s="178"/>
      <c r="X190" s="178"/>
      <c r="Y190" s="178"/>
    </row>
    <row r="191" spans="1:25" ht="15" hidden="1" customHeight="1" x14ac:dyDescent="0.35">
      <c r="A191" s="233"/>
      <c r="B191" s="187"/>
      <c r="C191" s="181"/>
      <c r="D191" s="246"/>
      <c r="E191" s="181"/>
      <c r="F191" s="181"/>
      <c r="G191" s="178"/>
      <c r="H191" s="178"/>
      <c r="I191" s="178"/>
      <c r="J191" s="181"/>
      <c r="K191" s="214"/>
      <c r="L191" s="181"/>
      <c r="M191" s="181"/>
      <c r="N191" s="225"/>
      <c r="O191" s="181"/>
      <c r="P191" s="181"/>
      <c r="Q191" s="181"/>
      <c r="R191" s="178"/>
      <c r="S191" s="178"/>
      <c r="T191" s="178"/>
      <c r="U191" s="178"/>
      <c r="V191" s="178"/>
      <c r="W191" s="178"/>
      <c r="X191" s="178"/>
      <c r="Y191" s="178"/>
    </row>
    <row r="192" spans="1:25" s="130" customFormat="1" ht="15" hidden="1" customHeight="1" x14ac:dyDescent="0.35">
      <c r="A192" s="232"/>
      <c r="B192" s="187"/>
      <c r="C192" s="178"/>
      <c r="D192" s="242"/>
      <c r="E192" s="178"/>
      <c r="F192" s="178"/>
      <c r="G192" s="181"/>
      <c r="H192" s="178"/>
      <c r="I192" s="178"/>
      <c r="J192" s="178"/>
      <c r="K192" s="214"/>
      <c r="L192" s="178"/>
      <c r="M192" s="178"/>
      <c r="N192" s="211"/>
      <c r="O192" s="178"/>
      <c r="P192" s="177"/>
      <c r="Q192" s="178"/>
      <c r="R192" s="178"/>
      <c r="S192" s="178"/>
      <c r="T192" s="178"/>
      <c r="U192" s="178"/>
      <c r="V192" s="178"/>
      <c r="W192" s="178"/>
      <c r="X192" s="181"/>
      <c r="Y192" s="181"/>
    </row>
    <row r="193" spans="1:25" ht="15" hidden="1" customHeight="1" x14ac:dyDescent="0.35">
      <c r="A193" s="232"/>
      <c r="B193" s="187"/>
      <c r="C193" s="178"/>
      <c r="D193" s="242"/>
      <c r="E193" s="178"/>
      <c r="F193" s="178"/>
      <c r="G193" s="178"/>
      <c r="H193" s="178"/>
      <c r="I193" s="178"/>
      <c r="J193" s="178"/>
      <c r="K193" s="214"/>
      <c r="L193" s="178"/>
      <c r="M193" s="178"/>
      <c r="N193" s="211"/>
      <c r="O193" s="178"/>
      <c r="P193" s="177"/>
      <c r="Q193" s="178"/>
      <c r="R193" s="181"/>
      <c r="S193" s="181"/>
      <c r="T193" s="181"/>
      <c r="U193" s="181"/>
      <c r="V193" s="181"/>
      <c r="W193" s="181"/>
      <c r="X193" s="178"/>
      <c r="Y193" s="178"/>
    </row>
    <row r="194" spans="1:25" ht="15" hidden="1" customHeight="1" x14ac:dyDescent="0.35">
      <c r="A194" s="232"/>
      <c r="B194" s="187"/>
      <c r="C194" s="178"/>
      <c r="D194" s="242"/>
      <c r="E194" s="178"/>
      <c r="F194" s="178"/>
      <c r="G194" s="178"/>
      <c r="H194" s="178"/>
      <c r="I194" s="178"/>
      <c r="J194" s="178"/>
      <c r="K194" s="214"/>
      <c r="L194" s="178"/>
      <c r="M194" s="178"/>
      <c r="N194" s="211"/>
      <c r="O194" s="178"/>
      <c r="P194" s="177"/>
      <c r="Q194" s="178"/>
      <c r="R194" s="178"/>
      <c r="S194" s="178"/>
      <c r="T194" s="178"/>
      <c r="U194" s="178"/>
      <c r="V194" s="178"/>
      <c r="W194" s="178"/>
      <c r="X194" s="178"/>
      <c r="Y194" s="178"/>
    </row>
    <row r="195" spans="1:25" ht="15" hidden="1" customHeight="1" x14ac:dyDescent="0.35">
      <c r="A195" s="232"/>
      <c r="B195" s="187"/>
      <c r="C195" s="178"/>
      <c r="D195" s="242"/>
      <c r="E195" s="178"/>
      <c r="F195" s="178"/>
      <c r="G195" s="178"/>
      <c r="H195" s="178"/>
      <c r="I195" s="178"/>
      <c r="J195" s="178"/>
      <c r="K195" s="214"/>
      <c r="L195" s="178"/>
      <c r="M195" s="178"/>
      <c r="N195" s="211"/>
      <c r="O195" s="178"/>
      <c r="P195" s="177"/>
      <c r="Q195" s="178"/>
      <c r="R195" s="178"/>
      <c r="S195" s="178"/>
      <c r="T195" s="178"/>
      <c r="U195" s="178"/>
      <c r="V195" s="178"/>
      <c r="W195" s="178"/>
      <c r="X195" s="178"/>
      <c r="Y195" s="178"/>
    </row>
    <row r="196" spans="1:25" ht="15" hidden="1" customHeight="1" x14ac:dyDescent="0.35">
      <c r="A196" s="232"/>
      <c r="B196" s="252"/>
      <c r="C196" s="178"/>
      <c r="D196" s="242"/>
      <c r="E196" s="178"/>
      <c r="F196" s="178"/>
      <c r="G196" s="178"/>
      <c r="H196" s="181"/>
      <c r="I196" s="181"/>
      <c r="J196" s="178"/>
      <c r="K196" s="214"/>
      <c r="L196" s="178"/>
      <c r="M196" s="178"/>
      <c r="N196" s="211"/>
      <c r="O196" s="178"/>
      <c r="P196" s="177"/>
      <c r="Q196" s="178"/>
      <c r="R196" s="178"/>
      <c r="S196" s="178"/>
      <c r="T196" s="178"/>
      <c r="U196" s="178"/>
      <c r="V196" s="178"/>
      <c r="W196" s="178"/>
      <c r="X196" s="178"/>
      <c r="Y196" s="178"/>
    </row>
    <row r="197" spans="1:25" ht="15" hidden="1" customHeight="1" x14ac:dyDescent="0.35">
      <c r="A197" s="233"/>
      <c r="B197" s="187"/>
      <c r="C197" s="181"/>
      <c r="D197" s="246"/>
      <c r="E197" s="181"/>
      <c r="F197" s="181"/>
      <c r="G197" s="178"/>
      <c r="H197" s="178"/>
      <c r="I197" s="178"/>
      <c r="J197" s="181"/>
      <c r="K197" s="214"/>
      <c r="L197" s="181"/>
      <c r="M197" s="181"/>
      <c r="N197" s="225"/>
      <c r="O197" s="181"/>
      <c r="P197" s="181"/>
      <c r="Q197" s="181"/>
      <c r="R197" s="178"/>
      <c r="S197" s="178"/>
      <c r="T197" s="178"/>
      <c r="U197" s="178"/>
      <c r="V197" s="178"/>
      <c r="W197" s="178"/>
      <c r="X197" s="178"/>
      <c r="Y197" s="178"/>
    </row>
    <row r="198" spans="1:25" s="130" customFormat="1" ht="15" hidden="1" customHeight="1" x14ac:dyDescent="0.35">
      <c r="A198" s="232"/>
      <c r="B198" s="187"/>
      <c r="C198" s="178"/>
      <c r="D198" s="242"/>
      <c r="E198" s="178"/>
      <c r="F198" s="178"/>
      <c r="G198" s="181"/>
      <c r="H198" s="178"/>
      <c r="I198" s="178"/>
      <c r="J198" s="178"/>
      <c r="K198" s="214"/>
      <c r="L198" s="178"/>
      <c r="M198" s="178"/>
      <c r="N198" s="211"/>
      <c r="O198" s="178"/>
      <c r="P198" s="177"/>
      <c r="Q198" s="178"/>
      <c r="R198" s="178"/>
      <c r="S198" s="178"/>
      <c r="T198" s="178"/>
      <c r="U198" s="178"/>
      <c r="V198" s="178"/>
      <c r="W198" s="178"/>
      <c r="X198" s="181"/>
      <c r="Y198" s="181"/>
    </row>
    <row r="199" spans="1:25" ht="15" hidden="1" customHeight="1" x14ac:dyDescent="0.35">
      <c r="A199" s="232"/>
      <c r="B199" s="187"/>
      <c r="C199" s="178"/>
      <c r="D199" s="242"/>
      <c r="E199" s="178"/>
      <c r="F199" s="178"/>
      <c r="G199" s="178"/>
      <c r="H199" s="178"/>
      <c r="I199" s="178"/>
      <c r="J199" s="178"/>
      <c r="K199" s="214"/>
      <c r="L199" s="178"/>
      <c r="M199" s="178"/>
      <c r="N199" s="211"/>
      <c r="O199" s="178"/>
      <c r="P199" s="177"/>
      <c r="Q199" s="178"/>
      <c r="R199" s="181"/>
      <c r="S199" s="181"/>
      <c r="T199" s="181"/>
      <c r="U199" s="181"/>
      <c r="V199" s="181"/>
      <c r="W199" s="181"/>
      <c r="X199" s="178"/>
      <c r="Y199" s="178"/>
    </row>
    <row r="200" spans="1:25" ht="15" hidden="1" customHeight="1" x14ac:dyDescent="0.35">
      <c r="A200" s="232"/>
      <c r="B200" s="187"/>
      <c r="C200" s="178"/>
      <c r="D200" s="242"/>
      <c r="E200" s="178"/>
      <c r="F200" s="178"/>
      <c r="G200" s="178"/>
      <c r="H200" s="178"/>
      <c r="I200" s="178"/>
      <c r="J200" s="178"/>
      <c r="K200" s="214"/>
      <c r="L200" s="178"/>
      <c r="M200" s="178"/>
      <c r="N200" s="211"/>
      <c r="O200" s="178"/>
      <c r="P200" s="177"/>
      <c r="Q200" s="178"/>
      <c r="R200" s="178"/>
      <c r="S200" s="178"/>
      <c r="T200" s="178"/>
      <c r="U200" s="178"/>
      <c r="V200" s="178"/>
      <c r="W200" s="178"/>
      <c r="X200" s="178"/>
      <c r="Y200" s="178"/>
    </row>
    <row r="201" spans="1:25" ht="15" hidden="1" customHeight="1" x14ac:dyDescent="0.35">
      <c r="A201" s="232"/>
      <c r="B201" s="187"/>
      <c r="C201" s="178"/>
      <c r="D201" s="242"/>
      <c r="E201" s="178"/>
      <c r="F201" s="178"/>
      <c r="G201" s="178"/>
      <c r="H201" s="178"/>
      <c r="I201" s="178"/>
      <c r="J201" s="178"/>
      <c r="K201" s="214"/>
      <c r="L201" s="178"/>
      <c r="M201" s="178"/>
      <c r="N201" s="211"/>
      <c r="O201" s="178"/>
      <c r="P201" s="177"/>
      <c r="Q201" s="178"/>
      <c r="R201" s="178"/>
      <c r="S201" s="178"/>
      <c r="T201" s="178"/>
      <c r="U201" s="178"/>
      <c r="V201" s="178"/>
      <c r="W201" s="178"/>
      <c r="X201" s="178"/>
      <c r="Y201" s="178"/>
    </row>
    <row r="202" spans="1:25" ht="15" hidden="1" customHeight="1" x14ac:dyDescent="0.35">
      <c r="A202" s="232"/>
      <c r="B202" s="252"/>
      <c r="C202" s="178"/>
      <c r="D202" s="242"/>
      <c r="E202" s="178"/>
      <c r="F202" s="178"/>
      <c r="G202" s="178"/>
      <c r="H202" s="181"/>
      <c r="I202" s="181"/>
      <c r="J202" s="178"/>
      <c r="K202" s="214"/>
      <c r="L202" s="178"/>
      <c r="M202" s="178"/>
      <c r="N202" s="211"/>
      <c r="O202" s="178"/>
      <c r="P202" s="177"/>
      <c r="Q202" s="178"/>
      <c r="R202" s="178"/>
      <c r="S202" s="178"/>
      <c r="T202" s="178"/>
      <c r="U202" s="178"/>
      <c r="V202" s="178"/>
      <c r="W202" s="178"/>
      <c r="X202" s="178"/>
      <c r="Y202" s="178"/>
    </row>
    <row r="203" spans="1:25" ht="15" hidden="1" customHeight="1" x14ac:dyDescent="0.35">
      <c r="A203" s="233"/>
      <c r="B203" s="187"/>
      <c r="C203" s="181"/>
      <c r="D203" s="246"/>
      <c r="E203" s="181"/>
      <c r="F203" s="181"/>
      <c r="G203" s="178"/>
      <c r="H203" s="178"/>
      <c r="I203" s="178"/>
      <c r="J203" s="181"/>
      <c r="K203" s="214"/>
      <c r="L203" s="181"/>
      <c r="M203" s="181"/>
      <c r="N203" s="225"/>
      <c r="O203" s="181"/>
      <c r="P203" s="181"/>
      <c r="Q203" s="181"/>
      <c r="R203" s="178"/>
      <c r="S203" s="178"/>
      <c r="T203" s="178"/>
      <c r="U203" s="178"/>
      <c r="V203" s="178"/>
      <c r="W203" s="178"/>
      <c r="X203" s="178"/>
      <c r="Y203" s="178"/>
    </row>
    <row r="204" spans="1:25" s="130" customFormat="1" ht="15" hidden="1" customHeight="1" x14ac:dyDescent="0.35">
      <c r="A204" s="232"/>
      <c r="B204" s="187"/>
      <c r="C204" s="178"/>
      <c r="D204" s="242"/>
      <c r="E204" s="178"/>
      <c r="F204" s="178"/>
      <c r="G204" s="181"/>
      <c r="H204" s="178"/>
      <c r="I204" s="178"/>
      <c r="J204" s="178"/>
      <c r="K204" s="214"/>
      <c r="L204" s="178"/>
      <c r="M204" s="178"/>
      <c r="N204" s="211"/>
      <c r="O204" s="178"/>
      <c r="P204" s="177"/>
      <c r="Q204" s="178"/>
      <c r="R204" s="178"/>
      <c r="S204" s="178"/>
      <c r="T204" s="178"/>
      <c r="U204" s="178"/>
      <c r="V204" s="178"/>
      <c r="W204" s="178"/>
      <c r="X204" s="181"/>
      <c r="Y204" s="181"/>
    </row>
    <row r="205" spans="1:25" ht="15" hidden="1" customHeight="1" x14ac:dyDescent="0.35">
      <c r="A205" s="232"/>
      <c r="B205" s="187"/>
      <c r="C205" s="178"/>
      <c r="D205" s="242"/>
      <c r="E205" s="178"/>
      <c r="F205" s="178"/>
      <c r="G205" s="178"/>
      <c r="H205" s="178"/>
      <c r="I205" s="178"/>
      <c r="J205" s="178"/>
      <c r="K205" s="214"/>
      <c r="L205" s="178"/>
      <c r="M205" s="178"/>
      <c r="N205" s="211"/>
      <c r="O205" s="178"/>
      <c r="P205" s="177"/>
      <c r="Q205" s="178"/>
      <c r="R205" s="181"/>
      <c r="S205" s="181"/>
      <c r="T205" s="181"/>
      <c r="U205" s="181"/>
      <c r="V205" s="181"/>
      <c r="W205" s="181"/>
      <c r="X205" s="178"/>
      <c r="Y205" s="178"/>
    </row>
    <row r="206" spans="1:25" ht="15" hidden="1" customHeight="1" x14ac:dyDescent="0.35">
      <c r="A206" s="232"/>
      <c r="B206" s="187"/>
      <c r="C206" s="178"/>
      <c r="D206" s="242"/>
      <c r="E206" s="178"/>
      <c r="F206" s="178"/>
      <c r="G206" s="178"/>
      <c r="H206" s="178"/>
      <c r="I206" s="178"/>
      <c r="J206" s="178"/>
      <c r="K206" s="214"/>
      <c r="L206" s="178"/>
      <c r="M206" s="178"/>
      <c r="N206" s="211"/>
      <c r="O206" s="178"/>
      <c r="P206" s="177"/>
      <c r="Q206" s="178"/>
      <c r="R206" s="178"/>
      <c r="S206" s="178"/>
      <c r="T206" s="178"/>
      <c r="U206" s="178"/>
      <c r="V206" s="178"/>
      <c r="W206" s="178"/>
      <c r="X206" s="178"/>
      <c r="Y206" s="178"/>
    </row>
    <row r="207" spans="1:25" ht="15" hidden="1" customHeight="1" x14ac:dyDescent="0.35">
      <c r="A207" s="232"/>
      <c r="B207" s="187"/>
      <c r="C207" s="178"/>
      <c r="D207" s="242"/>
      <c r="E207" s="178"/>
      <c r="F207" s="178"/>
      <c r="G207" s="178"/>
      <c r="H207" s="178"/>
      <c r="I207" s="178"/>
      <c r="J207" s="178"/>
      <c r="K207" s="214"/>
      <c r="L207" s="178"/>
      <c r="M207" s="178"/>
      <c r="N207" s="211"/>
      <c r="O207" s="178"/>
      <c r="P207" s="177"/>
      <c r="Q207" s="178"/>
      <c r="R207" s="178"/>
      <c r="S207" s="178"/>
      <c r="T207" s="178"/>
      <c r="U207" s="178"/>
      <c r="V207" s="178"/>
      <c r="W207" s="178"/>
      <c r="X207" s="178"/>
      <c r="Y207" s="178"/>
    </row>
    <row r="208" spans="1:25" ht="15" hidden="1" customHeight="1" x14ac:dyDescent="0.35">
      <c r="A208" s="232"/>
      <c r="B208" s="252"/>
      <c r="C208" s="178"/>
      <c r="D208" s="242"/>
      <c r="E208" s="178"/>
      <c r="F208" s="178"/>
      <c r="G208" s="178"/>
      <c r="H208" s="181"/>
      <c r="I208" s="181"/>
      <c r="J208" s="178"/>
      <c r="K208" s="214"/>
      <c r="L208" s="178"/>
      <c r="M208" s="178"/>
      <c r="N208" s="211"/>
      <c r="O208" s="178"/>
      <c r="P208" s="177"/>
      <c r="Q208" s="178"/>
      <c r="R208" s="178"/>
      <c r="S208" s="178"/>
      <c r="T208" s="178"/>
      <c r="U208" s="178"/>
      <c r="V208" s="178"/>
      <c r="W208" s="178"/>
      <c r="X208" s="178"/>
      <c r="Y208" s="178"/>
    </row>
    <row r="209" spans="1:25" ht="15" hidden="1" customHeight="1" x14ac:dyDescent="0.35">
      <c r="A209" s="233"/>
      <c r="B209" s="187"/>
      <c r="C209" s="181"/>
      <c r="D209" s="246"/>
      <c r="E209" s="181"/>
      <c r="F209" s="181"/>
      <c r="G209" s="178"/>
      <c r="H209" s="178"/>
      <c r="I209" s="178"/>
      <c r="J209" s="181"/>
      <c r="K209" s="214"/>
      <c r="L209" s="181"/>
      <c r="M209" s="181"/>
      <c r="N209" s="225"/>
      <c r="O209" s="181"/>
      <c r="P209" s="181"/>
      <c r="Q209" s="181"/>
      <c r="R209" s="178"/>
      <c r="S209" s="178"/>
      <c r="T209" s="178"/>
      <c r="U209" s="178"/>
      <c r="V209" s="178"/>
      <c r="W209" s="178"/>
      <c r="X209" s="178"/>
      <c r="Y209" s="178"/>
    </row>
    <row r="210" spans="1:25" s="130" customFormat="1" ht="15" hidden="1" customHeight="1" x14ac:dyDescent="0.35">
      <c r="A210" s="232"/>
      <c r="B210" s="187"/>
      <c r="C210" s="178"/>
      <c r="D210" s="242"/>
      <c r="E210" s="178"/>
      <c r="F210" s="178"/>
      <c r="G210" s="181"/>
      <c r="H210" s="178"/>
      <c r="I210" s="178"/>
      <c r="J210" s="178"/>
      <c r="K210" s="214"/>
      <c r="L210" s="178"/>
      <c r="M210" s="178"/>
      <c r="N210" s="211"/>
      <c r="O210" s="178"/>
      <c r="P210" s="177"/>
      <c r="Q210" s="178"/>
      <c r="R210" s="178"/>
      <c r="S210" s="178"/>
      <c r="T210" s="178"/>
      <c r="U210" s="178"/>
      <c r="V210" s="178"/>
      <c r="W210" s="178"/>
      <c r="X210" s="181"/>
      <c r="Y210" s="181"/>
    </row>
    <row r="211" spans="1:25" ht="15" hidden="1" customHeight="1" x14ac:dyDescent="0.35">
      <c r="A211" s="232"/>
      <c r="B211" s="187"/>
      <c r="C211" s="178"/>
      <c r="D211" s="242"/>
      <c r="E211" s="178"/>
      <c r="F211" s="178"/>
      <c r="G211" s="178"/>
      <c r="H211" s="178"/>
      <c r="I211" s="178"/>
      <c r="J211" s="178"/>
      <c r="K211" s="214"/>
      <c r="L211" s="178"/>
      <c r="M211" s="178"/>
      <c r="N211" s="211"/>
      <c r="O211" s="178"/>
      <c r="P211" s="177"/>
      <c r="Q211" s="178"/>
      <c r="R211" s="181"/>
      <c r="S211" s="181"/>
      <c r="T211" s="181"/>
      <c r="U211" s="181"/>
      <c r="V211" s="181"/>
      <c r="W211" s="181"/>
      <c r="X211" s="178"/>
      <c r="Y211" s="178"/>
    </row>
    <row r="212" spans="1:25" ht="15" hidden="1" customHeight="1" x14ac:dyDescent="0.35">
      <c r="A212" s="232"/>
      <c r="B212" s="187"/>
      <c r="C212" s="178"/>
      <c r="D212" s="242"/>
      <c r="E212" s="178"/>
      <c r="F212" s="178"/>
      <c r="G212" s="178"/>
      <c r="H212" s="178"/>
      <c r="I212" s="178"/>
      <c r="J212" s="178"/>
      <c r="K212" s="214"/>
      <c r="L212" s="178"/>
      <c r="M212" s="178"/>
      <c r="N212" s="211"/>
      <c r="O212" s="178"/>
      <c r="P212" s="177"/>
      <c r="Q212" s="178"/>
      <c r="R212" s="178"/>
      <c r="S212" s="178"/>
      <c r="T212" s="178"/>
      <c r="U212" s="178"/>
      <c r="V212" s="178"/>
      <c r="W212" s="178"/>
      <c r="X212" s="178"/>
      <c r="Y212" s="178"/>
    </row>
    <row r="213" spans="1:25" ht="15" hidden="1" customHeight="1" x14ac:dyDescent="0.35">
      <c r="A213" s="232"/>
      <c r="B213" s="187"/>
      <c r="C213" s="178"/>
      <c r="D213" s="242"/>
      <c r="E213" s="178"/>
      <c r="F213" s="178"/>
      <c r="G213" s="178"/>
      <c r="H213" s="178"/>
      <c r="I213" s="178"/>
      <c r="J213" s="178"/>
      <c r="K213" s="214"/>
      <c r="L213" s="178"/>
      <c r="M213" s="178"/>
      <c r="N213" s="211"/>
      <c r="O213" s="178"/>
      <c r="P213" s="177"/>
      <c r="Q213" s="178"/>
      <c r="R213" s="178"/>
      <c r="S213" s="178"/>
      <c r="T213" s="178"/>
      <c r="U213" s="178"/>
      <c r="V213" s="178"/>
      <c r="W213" s="178"/>
      <c r="X213" s="178"/>
      <c r="Y213" s="178"/>
    </row>
    <row r="214" spans="1:25" ht="15" hidden="1" customHeight="1" x14ac:dyDescent="0.35">
      <c r="A214" s="232"/>
      <c r="B214" s="187"/>
      <c r="C214" s="178"/>
      <c r="D214" s="242"/>
      <c r="E214" s="178"/>
      <c r="F214" s="178"/>
      <c r="G214" s="178"/>
      <c r="H214" s="178"/>
      <c r="I214" s="178"/>
      <c r="J214" s="178"/>
      <c r="K214" s="214"/>
      <c r="L214" s="178"/>
      <c r="M214" s="178"/>
      <c r="N214" s="211"/>
      <c r="O214" s="178"/>
      <c r="P214" s="177"/>
      <c r="Q214" s="178"/>
      <c r="R214" s="178"/>
      <c r="S214" s="178"/>
      <c r="T214" s="178"/>
      <c r="U214" s="178"/>
      <c r="V214" s="178"/>
      <c r="W214" s="178"/>
      <c r="X214" s="178"/>
      <c r="Y214" s="178"/>
    </row>
    <row r="215" spans="1:25" ht="15" hidden="1" customHeight="1" x14ac:dyDescent="0.35">
      <c r="A215" s="232"/>
      <c r="B215" s="187"/>
      <c r="C215" s="178"/>
      <c r="D215" s="242"/>
      <c r="E215" s="178"/>
      <c r="F215" s="178"/>
      <c r="G215" s="178"/>
      <c r="H215" s="178"/>
      <c r="I215" s="178"/>
      <c r="J215" s="178"/>
      <c r="K215" s="214"/>
      <c r="L215" s="178"/>
      <c r="M215" s="178"/>
      <c r="N215" s="211"/>
      <c r="O215" s="178"/>
      <c r="P215" s="177"/>
      <c r="Q215" s="178"/>
      <c r="R215" s="178"/>
      <c r="S215" s="178"/>
      <c r="T215" s="178"/>
      <c r="U215" s="178"/>
      <c r="V215" s="178"/>
      <c r="W215" s="178"/>
      <c r="X215" s="178"/>
      <c r="Y215" s="178"/>
    </row>
    <row r="216" spans="1:25" ht="15" hidden="1" customHeight="1" x14ac:dyDescent="0.35">
      <c r="A216" s="232"/>
      <c r="B216" s="189"/>
      <c r="C216" s="178"/>
      <c r="D216" s="242"/>
      <c r="E216" s="178"/>
      <c r="F216" s="178"/>
      <c r="G216" s="178"/>
      <c r="H216" s="193"/>
      <c r="J216" s="178"/>
      <c r="K216" s="214"/>
      <c r="L216" s="178"/>
      <c r="M216" s="178"/>
      <c r="N216" s="211"/>
      <c r="O216" s="178"/>
      <c r="P216" s="177"/>
      <c r="Q216" s="178"/>
      <c r="R216" s="178"/>
      <c r="S216" s="178"/>
      <c r="T216" s="178"/>
      <c r="U216" s="178"/>
      <c r="V216" s="178"/>
      <c r="W216" s="178"/>
      <c r="X216" s="178"/>
      <c r="Y216" s="178"/>
    </row>
    <row r="217" spans="1:25" ht="15" hidden="1" customHeight="1" x14ac:dyDescent="0.3">
      <c r="A217" s="232"/>
      <c r="B217" s="189"/>
      <c r="C217" s="189"/>
      <c r="D217" s="237"/>
      <c r="E217" s="189"/>
      <c r="F217" s="189"/>
      <c r="G217" s="178"/>
      <c r="H217" s="193"/>
      <c r="R217" s="178"/>
      <c r="S217" s="178"/>
      <c r="T217" s="178"/>
      <c r="U217" s="178"/>
      <c r="V217" s="178"/>
      <c r="W217" s="178"/>
      <c r="X217" s="178"/>
      <c r="Y217" s="178"/>
    </row>
    <row r="218" spans="1:25" ht="15" hidden="1" customHeight="1" x14ac:dyDescent="0.3">
      <c r="A218" s="232"/>
      <c r="C218" s="189"/>
      <c r="D218" s="237"/>
      <c r="E218" s="189"/>
      <c r="F218" s="189"/>
      <c r="G218" s="189"/>
      <c r="H218" s="193"/>
      <c r="R218" s="178"/>
      <c r="S218" s="178"/>
      <c r="T218" s="178"/>
      <c r="U218" s="178"/>
      <c r="V218" s="178"/>
      <c r="W218" s="178"/>
    </row>
    <row r="219" spans="1:25" ht="15" hidden="1" customHeight="1" x14ac:dyDescent="0.3">
      <c r="A219" s="232"/>
      <c r="D219" s="237"/>
      <c r="E219" s="189"/>
      <c r="F219" s="189"/>
      <c r="G219" s="189"/>
      <c r="H219" s="193"/>
    </row>
    <row r="220" spans="1:25" ht="15" hidden="1" customHeight="1" x14ac:dyDescent="0.3">
      <c r="A220" s="232"/>
      <c r="D220" s="237"/>
      <c r="E220" s="189"/>
      <c r="F220" s="189"/>
      <c r="G220" s="189"/>
      <c r="H220" s="193"/>
    </row>
    <row r="221" spans="1:25" ht="15" hidden="1" customHeight="1" x14ac:dyDescent="0.3">
      <c r="A221" s="232"/>
      <c r="C221" s="253"/>
      <c r="D221" s="237"/>
      <c r="E221" s="189"/>
      <c r="F221" s="189"/>
      <c r="G221" s="189"/>
      <c r="H221" s="193"/>
    </row>
    <row r="222" spans="1:25" ht="15" hidden="1" customHeight="1" x14ac:dyDescent="0.3">
      <c r="A222" s="232"/>
      <c r="B222" s="254"/>
      <c r="D222" s="237"/>
      <c r="E222" s="189"/>
      <c r="F222" s="189"/>
      <c r="G222" s="189"/>
      <c r="H222" s="193"/>
    </row>
    <row r="223" spans="1:25" ht="15" hidden="1" customHeight="1" x14ac:dyDescent="0.3">
      <c r="A223" s="232"/>
      <c r="B223" s="254"/>
      <c r="C223" s="254"/>
      <c r="D223" s="237"/>
      <c r="E223" s="189"/>
      <c r="F223" s="189"/>
      <c r="G223" s="189"/>
      <c r="H223" s="193"/>
    </row>
    <row r="224" spans="1:25" ht="15" hidden="1" customHeight="1" x14ac:dyDescent="0.3">
      <c r="A224" s="232"/>
      <c r="B224" s="255"/>
      <c r="C224" s="254"/>
      <c r="D224" s="237"/>
      <c r="E224" s="189"/>
      <c r="F224" s="189"/>
      <c r="G224" s="189"/>
      <c r="H224" s="193"/>
    </row>
    <row r="225" spans="1:8" ht="9" hidden="1" customHeight="1" x14ac:dyDescent="0.3">
      <c r="A225" s="232"/>
      <c r="B225" s="255"/>
      <c r="C225" s="130"/>
      <c r="D225" s="237"/>
      <c r="E225" s="189"/>
      <c r="F225" s="189"/>
      <c r="G225" s="189"/>
      <c r="H225" s="193"/>
    </row>
    <row r="226" spans="1:8" ht="15" hidden="1" customHeight="1" x14ac:dyDescent="0.3">
      <c r="A226" s="232"/>
      <c r="B226" s="255"/>
      <c r="D226" s="237"/>
      <c r="E226" s="189"/>
      <c r="F226" s="189"/>
      <c r="G226" s="189"/>
      <c r="H226" s="193"/>
    </row>
    <row r="227" spans="1:8" ht="15" hidden="1" customHeight="1" x14ac:dyDescent="0.3">
      <c r="A227" s="232"/>
      <c r="B227" s="255"/>
      <c r="C227" s="130"/>
      <c r="D227" s="237"/>
      <c r="E227" s="189"/>
      <c r="F227" s="189"/>
      <c r="G227" s="189"/>
      <c r="H227" s="193"/>
    </row>
    <row r="228" spans="1:8" ht="15" hidden="1" customHeight="1" x14ac:dyDescent="0.3">
      <c r="A228" s="232"/>
      <c r="B228" s="255"/>
      <c r="D228" s="237"/>
      <c r="E228" s="189"/>
      <c r="F228" s="189"/>
      <c r="G228" s="189"/>
      <c r="H228" s="193"/>
    </row>
    <row r="229" spans="1:8" ht="15" hidden="1" customHeight="1" x14ac:dyDescent="0.3">
      <c r="A229" s="232"/>
      <c r="B229" s="255"/>
      <c r="C229" s="130"/>
      <c r="D229" s="237"/>
      <c r="E229" s="189"/>
      <c r="F229" s="189"/>
      <c r="G229" s="189"/>
      <c r="H229" s="193"/>
    </row>
    <row r="230" spans="1:8" ht="15" hidden="1" customHeight="1" x14ac:dyDescent="0.3">
      <c r="A230" s="232"/>
      <c r="B230" s="255"/>
      <c r="D230" s="237"/>
      <c r="E230" s="189"/>
      <c r="F230" s="189"/>
      <c r="G230" s="189"/>
      <c r="H230" s="193"/>
    </row>
    <row r="231" spans="1:8" ht="15" hidden="1" customHeight="1" x14ac:dyDescent="0.3">
      <c r="A231" s="232"/>
      <c r="B231" s="255"/>
      <c r="C231" s="130"/>
      <c r="D231" s="237"/>
      <c r="E231" s="189"/>
      <c r="F231" s="189"/>
      <c r="G231" s="189"/>
      <c r="H231" s="193"/>
    </row>
    <row r="232" spans="1:8" ht="3" hidden="1" customHeight="1" x14ac:dyDescent="0.3">
      <c r="A232" s="232"/>
      <c r="B232" s="255"/>
      <c r="D232" s="237"/>
      <c r="E232" s="189"/>
      <c r="F232" s="189"/>
      <c r="G232" s="189"/>
      <c r="H232" s="193"/>
    </row>
    <row r="233" spans="1:8" ht="15" hidden="1" customHeight="1" x14ac:dyDescent="0.3">
      <c r="A233" s="232"/>
      <c r="B233" s="255"/>
      <c r="C233" s="130"/>
      <c r="D233" s="237"/>
      <c r="E233" s="189"/>
      <c r="F233" s="189"/>
      <c r="G233" s="189"/>
      <c r="H233" s="193"/>
    </row>
    <row r="234" spans="1:8" ht="15" hidden="1" customHeight="1" x14ac:dyDescent="0.3">
      <c r="A234" s="232"/>
      <c r="B234" s="255"/>
      <c r="D234" s="237"/>
      <c r="E234" s="189"/>
      <c r="F234" s="189"/>
      <c r="G234" s="189"/>
      <c r="H234" s="193"/>
    </row>
    <row r="235" spans="1:8" ht="15" hidden="1" customHeight="1" x14ac:dyDescent="0.3">
      <c r="A235" s="232"/>
      <c r="B235" s="255"/>
      <c r="C235" s="130"/>
      <c r="D235" s="237"/>
      <c r="E235" s="189"/>
      <c r="F235" s="189"/>
      <c r="G235" s="189"/>
      <c r="H235" s="193"/>
    </row>
    <row r="236" spans="1:8" ht="15" hidden="1" customHeight="1" x14ac:dyDescent="0.3">
      <c r="A236" s="232"/>
      <c r="B236" s="255"/>
      <c r="D236" s="237"/>
      <c r="E236" s="189"/>
      <c r="F236" s="189"/>
      <c r="G236" s="189"/>
      <c r="H236" s="193"/>
    </row>
    <row r="237" spans="1:8" ht="15" hidden="1" customHeight="1" x14ac:dyDescent="0.3">
      <c r="A237" s="232"/>
      <c r="B237" s="255"/>
      <c r="C237" s="130"/>
      <c r="D237" s="237"/>
      <c r="E237" s="189"/>
      <c r="F237" s="189"/>
      <c r="G237" s="189"/>
      <c r="H237" s="193"/>
    </row>
    <row r="238" spans="1:8" ht="15" hidden="1" customHeight="1" x14ac:dyDescent="0.3">
      <c r="A238" s="232"/>
      <c r="B238" s="255"/>
      <c r="D238" s="237"/>
      <c r="E238" s="189"/>
      <c r="F238" s="189"/>
      <c r="G238" s="189"/>
      <c r="H238" s="193"/>
    </row>
    <row r="239" spans="1:8" ht="15" hidden="1" customHeight="1" x14ac:dyDescent="0.3">
      <c r="A239" s="232"/>
      <c r="B239" s="255"/>
      <c r="C239" s="130"/>
      <c r="D239" s="237"/>
      <c r="E239" s="189"/>
      <c r="F239" s="189"/>
      <c r="G239" s="189"/>
      <c r="H239" s="193"/>
    </row>
    <row r="240" spans="1:8" ht="15" hidden="1" customHeight="1" x14ac:dyDescent="0.3">
      <c r="A240" s="232"/>
      <c r="B240" s="255"/>
      <c r="D240" s="237"/>
      <c r="E240" s="189"/>
      <c r="F240" s="189"/>
      <c r="G240" s="189"/>
      <c r="H240" s="193"/>
    </row>
    <row r="241" spans="1:8" ht="15" hidden="1" customHeight="1" x14ac:dyDescent="0.3">
      <c r="A241" s="232"/>
      <c r="B241" s="255"/>
      <c r="C241" s="130"/>
      <c r="D241" s="237"/>
      <c r="E241" s="189"/>
      <c r="F241" s="189"/>
      <c r="G241" s="189"/>
      <c r="H241" s="193"/>
    </row>
    <row r="242" spans="1:8" ht="15" hidden="1" customHeight="1" x14ac:dyDescent="0.3">
      <c r="A242" s="232"/>
      <c r="B242" s="255"/>
      <c r="D242" s="237"/>
      <c r="E242" s="189"/>
      <c r="F242" s="189"/>
      <c r="G242" s="189"/>
      <c r="H242" s="193"/>
    </row>
    <row r="243" spans="1:8" ht="15" hidden="1" customHeight="1" x14ac:dyDescent="0.3">
      <c r="A243" s="232"/>
      <c r="B243" s="255"/>
      <c r="C243" s="130"/>
      <c r="D243" s="237"/>
      <c r="E243" s="189"/>
      <c r="F243" s="189"/>
      <c r="G243" s="189"/>
      <c r="H243" s="193"/>
    </row>
    <row r="244" spans="1:8" ht="15" hidden="1" customHeight="1" x14ac:dyDescent="0.3">
      <c r="A244" s="232"/>
      <c r="B244" s="255"/>
      <c r="D244" s="237"/>
      <c r="E244" s="189"/>
      <c r="F244" s="189"/>
      <c r="G244" s="189"/>
      <c r="H244" s="193"/>
    </row>
    <row r="245" spans="1:8" ht="15" hidden="1" customHeight="1" x14ac:dyDescent="0.3">
      <c r="A245" s="232"/>
      <c r="B245" s="255"/>
      <c r="C245" s="130"/>
      <c r="D245" s="237"/>
      <c r="E245" s="189"/>
      <c r="F245" s="189"/>
      <c r="G245" s="189"/>
      <c r="H245" s="193"/>
    </row>
    <row r="246" spans="1:8" ht="15" hidden="1" customHeight="1" x14ac:dyDescent="0.3">
      <c r="A246" s="232"/>
      <c r="B246" s="255"/>
      <c r="D246" s="237"/>
      <c r="E246" s="189"/>
      <c r="F246" s="189"/>
      <c r="G246" s="189"/>
      <c r="H246" s="193"/>
    </row>
    <row r="247" spans="1:8" ht="5.25" hidden="1" customHeight="1" x14ac:dyDescent="0.3">
      <c r="A247" s="232"/>
      <c r="B247" s="255"/>
      <c r="C247" s="130"/>
      <c r="D247" s="237"/>
      <c r="E247" s="189"/>
      <c r="F247" s="189"/>
      <c r="G247" s="189"/>
      <c r="H247" s="193"/>
    </row>
    <row r="248" spans="1:8" ht="15" hidden="1" customHeight="1" x14ac:dyDescent="0.3">
      <c r="A248" s="232"/>
      <c r="B248" s="255"/>
      <c r="D248" s="237"/>
      <c r="E248" s="189"/>
      <c r="F248" s="189"/>
      <c r="G248" s="189"/>
      <c r="H248" s="193"/>
    </row>
    <row r="249" spans="1:8" ht="15" hidden="1" customHeight="1" x14ac:dyDescent="0.3">
      <c r="A249" s="232"/>
      <c r="B249" s="255"/>
      <c r="C249" s="174"/>
      <c r="D249" s="237"/>
      <c r="E249" s="189"/>
      <c r="F249" s="189"/>
      <c r="G249" s="189"/>
      <c r="H249" s="193"/>
    </row>
    <row r="250" spans="1:8" ht="15" hidden="1" customHeight="1" x14ac:dyDescent="0.3">
      <c r="A250" s="232"/>
      <c r="B250" s="255"/>
      <c r="C250" s="174"/>
      <c r="D250" s="237"/>
      <c r="E250" s="189"/>
      <c r="F250" s="189"/>
      <c r="G250" s="189"/>
      <c r="H250" s="193"/>
    </row>
    <row r="251" spans="1:8" ht="15" hidden="1" customHeight="1" x14ac:dyDescent="0.3">
      <c r="A251" s="232"/>
      <c r="B251" s="255"/>
      <c r="C251" s="174"/>
      <c r="D251" s="237"/>
      <c r="E251" s="189"/>
      <c r="F251" s="189"/>
      <c r="G251" s="189"/>
      <c r="H251" s="193"/>
    </row>
    <row r="252" spans="1:8" ht="15" hidden="1" customHeight="1" x14ac:dyDescent="0.3">
      <c r="A252" s="232"/>
      <c r="B252" s="255"/>
      <c r="C252" s="174"/>
      <c r="D252" s="237"/>
      <c r="E252" s="189"/>
      <c r="F252" s="189"/>
      <c r="G252" s="189"/>
      <c r="H252" s="193"/>
    </row>
    <row r="253" spans="1:8" ht="15" hidden="1" customHeight="1" x14ac:dyDescent="0.3">
      <c r="A253" s="232"/>
      <c r="B253" s="255"/>
      <c r="C253" s="256"/>
      <c r="D253" s="237"/>
      <c r="E253" s="189"/>
      <c r="F253" s="189"/>
      <c r="G253" s="189"/>
      <c r="H253" s="193"/>
    </row>
    <row r="254" spans="1:8" ht="15" hidden="1" customHeight="1" x14ac:dyDescent="0.3">
      <c r="A254" s="232"/>
      <c r="B254" s="255"/>
      <c r="C254" s="256"/>
      <c r="D254" s="237"/>
      <c r="E254" s="189"/>
      <c r="F254" s="189"/>
      <c r="G254" s="189"/>
      <c r="H254" s="193"/>
    </row>
    <row r="255" spans="1:8" ht="6.75" hidden="1" customHeight="1" x14ac:dyDescent="0.3">
      <c r="A255" s="232"/>
      <c r="B255" s="255"/>
      <c r="D255" s="237"/>
      <c r="E255" s="189"/>
      <c r="F255" s="189"/>
      <c r="G255" s="189"/>
      <c r="H255" s="193"/>
    </row>
    <row r="256" spans="1:8" ht="15" hidden="1" customHeight="1" x14ac:dyDescent="0.3">
      <c r="A256" s="232"/>
      <c r="B256" s="255"/>
      <c r="D256" s="237"/>
      <c r="E256" s="189"/>
      <c r="F256" s="189"/>
      <c r="G256" s="189"/>
      <c r="H256" s="193"/>
    </row>
    <row r="257" spans="1:8" ht="15" hidden="1" customHeight="1" x14ac:dyDescent="0.3">
      <c r="A257" s="232"/>
      <c r="B257" s="255"/>
      <c r="C257" s="130"/>
      <c r="D257" s="237"/>
      <c r="E257" s="189"/>
      <c r="F257" s="189"/>
      <c r="G257" s="189"/>
      <c r="H257" s="193"/>
    </row>
    <row r="258" spans="1:8" ht="15" hidden="1" customHeight="1" x14ac:dyDescent="0.3">
      <c r="A258" s="232"/>
      <c r="B258" s="255"/>
      <c r="D258" s="237"/>
      <c r="E258" s="189"/>
      <c r="F258" s="189"/>
      <c r="G258" s="189"/>
      <c r="H258" s="193"/>
    </row>
    <row r="259" spans="1:8" ht="15" hidden="1" customHeight="1" x14ac:dyDescent="0.3">
      <c r="A259" s="232"/>
      <c r="B259" s="255"/>
      <c r="C259" s="130"/>
      <c r="D259" s="237"/>
      <c r="E259" s="189"/>
      <c r="F259" s="189"/>
      <c r="G259" s="189"/>
      <c r="H259" s="193"/>
    </row>
    <row r="260" spans="1:8" ht="15" hidden="1" customHeight="1" x14ac:dyDescent="0.3">
      <c r="A260" s="232"/>
      <c r="B260" s="255"/>
      <c r="D260" s="237"/>
      <c r="E260" s="189"/>
      <c r="F260" s="189"/>
      <c r="G260" s="189"/>
      <c r="H260" s="193"/>
    </row>
    <row r="261" spans="1:8" ht="15" hidden="1" customHeight="1" x14ac:dyDescent="0.3">
      <c r="A261" s="232"/>
      <c r="B261" s="255"/>
      <c r="C261" s="130"/>
      <c r="D261" s="237"/>
      <c r="E261" s="189"/>
      <c r="F261" s="189"/>
      <c r="G261" s="189"/>
      <c r="H261" s="193"/>
    </row>
    <row r="262" spans="1:8" ht="15" hidden="1" customHeight="1" x14ac:dyDescent="0.3">
      <c r="A262" s="232"/>
      <c r="B262" s="255"/>
      <c r="D262" s="237"/>
      <c r="E262" s="189"/>
      <c r="F262" s="189"/>
      <c r="G262" s="189"/>
      <c r="H262" s="193"/>
    </row>
    <row r="263" spans="1:8" ht="15" hidden="1" customHeight="1" x14ac:dyDescent="0.3">
      <c r="A263" s="232"/>
      <c r="B263" s="255"/>
      <c r="C263" s="130"/>
      <c r="D263" s="237"/>
      <c r="E263" s="189"/>
      <c r="F263" s="189"/>
      <c r="G263" s="189"/>
      <c r="H263" s="193"/>
    </row>
    <row r="264" spans="1:8" ht="15" hidden="1" customHeight="1" x14ac:dyDescent="0.3">
      <c r="A264" s="232"/>
      <c r="B264" s="255"/>
      <c r="D264" s="237"/>
      <c r="E264" s="189"/>
      <c r="F264" s="189"/>
      <c r="G264" s="189"/>
      <c r="H264" s="193"/>
    </row>
    <row r="265" spans="1:8" ht="15" hidden="1" customHeight="1" x14ac:dyDescent="0.3">
      <c r="A265" s="232"/>
      <c r="B265" s="255"/>
      <c r="C265" s="130"/>
      <c r="D265" s="237"/>
      <c r="E265" s="189"/>
      <c r="F265" s="189"/>
      <c r="G265" s="189"/>
      <c r="H265" s="193"/>
    </row>
    <row r="266" spans="1:8" ht="15" hidden="1" customHeight="1" x14ac:dyDescent="0.3">
      <c r="A266" s="232"/>
      <c r="B266" s="174"/>
      <c r="D266" s="237"/>
      <c r="E266" s="189"/>
      <c r="F266" s="189"/>
      <c r="G266" s="189"/>
      <c r="H266" s="193"/>
    </row>
    <row r="267" spans="1:8" ht="15" hidden="1" customHeight="1" x14ac:dyDescent="0.3">
      <c r="A267" s="232"/>
      <c r="B267" s="174"/>
      <c r="C267" s="130"/>
      <c r="D267" s="237"/>
      <c r="E267" s="189"/>
      <c r="F267" s="189"/>
      <c r="G267" s="189"/>
      <c r="H267" s="193"/>
    </row>
    <row r="268" spans="1:8" ht="15" hidden="1" customHeight="1" x14ac:dyDescent="0.3">
      <c r="A268" s="232"/>
      <c r="B268" s="174"/>
      <c r="D268" s="237"/>
      <c r="E268" s="189"/>
      <c r="F268" s="189"/>
      <c r="G268" s="189"/>
      <c r="H268" s="193"/>
    </row>
    <row r="269" spans="1:8" ht="15" hidden="1" customHeight="1" x14ac:dyDescent="0.3">
      <c r="A269" s="232"/>
      <c r="B269" s="174"/>
      <c r="C269" s="130"/>
      <c r="D269" s="237"/>
      <c r="E269" s="189"/>
      <c r="F269" s="189"/>
      <c r="G269" s="189"/>
      <c r="H269" s="193"/>
    </row>
    <row r="270" spans="1:8" ht="15" hidden="1" customHeight="1" x14ac:dyDescent="0.3">
      <c r="A270" s="232"/>
      <c r="B270" s="174"/>
      <c r="D270" s="237"/>
      <c r="E270" s="189"/>
      <c r="F270" s="189"/>
      <c r="G270" s="189"/>
      <c r="H270" s="193"/>
    </row>
    <row r="271" spans="1:8" ht="15" hidden="1" customHeight="1" x14ac:dyDescent="0.3">
      <c r="A271" s="232"/>
      <c r="B271" s="174"/>
      <c r="C271" s="130"/>
      <c r="D271" s="237"/>
      <c r="E271" s="189"/>
      <c r="F271" s="189"/>
      <c r="G271" s="189"/>
      <c r="H271" s="193"/>
    </row>
    <row r="272" spans="1:8" ht="15" hidden="1" customHeight="1" x14ac:dyDescent="0.3">
      <c r="A272" s="232"/>
      <c r="B272" s="174"/>
      <c r="D272" s="237"/>
      <c r="E272" s="189"/>
      <c r="F272" s="189"/>
      <c r="G272" s="189"/>
      <c r="H272" s="193"/>
    </row>
    <row r="273" spans="1:8" ht="15" hidden="1" customHeight="1" x14ac:dyDescent="0.3">
      <c r="A273" s="232"/>
      <c r="B273" s="255"/>
      <c r="D273" s="237"/>
      <c r="E273" s="189"/>
      <c r="F273" s="189"/>
      <c r="G273" s="189"/>
      <c r="H273" s="193"/>
    </row>
    <row r="274" spans="1:8" ht="6.75" hidden="1" customHeight="1" x14ac:dyDescent="0.3">
      <c r="A274" s="232"/>
      <c r="B274" s="255"/>
      <c r="D274" s="237"/>
      <c r="E274" s="189"/>
      <c r="F274" s="189"/>
      <c r="G274" s="189"/>
      <c r="H274" s="193"/>
    </row>
    <row r="275" spans="1:8" ht="5.25" hidden="1" customHeight="1" x14ac:dyDescent="0.3">
      <c r="A275" s="232"/>
      <c r="B275" s="255"/>
      <c r="C275" s="130"/>
      <c r="D275" s="237"/>
      <c r="E275" s="189"/>
      <c r="F275" s="189"/>
      <c r="G275" s="189"/>
      <c r="H275" s="193"/>
    </row>
    <row r="276" spans="1:8" ht="15" hidden="1" customHeight="1" x14ac:dyDescent="0.3">
      <c r="A276" s="232"/>
      <c r="B276" s="255"/>
      <c r="D276" s="237"/>
      <c r="E276" s="189"/>
      <c r="F276" s="189"/>
      <c r="G276" s="189"/>
      <c r="H276" s="193"/>
    </row>
    <row r="277" spans="1:8" ht="15" hidden="1" customHeight="1" x14ac:dyDescent="0.3">
      <c r="A277" s="232"/>
      <c r="B277" s="255"/>
      <c r="C277" s="130"/>
      <c r="D277" s="237"/>
      <c r="E277" s="189"/>
      <c r="F277" s="189"/>
      <c r="G277" s="189"/>
      <c r="H277" s="193"/>
    </row>
    <row r="278" spans="1:8" ht="15" hidden="1" customHeight="1" x14ac:dyDescent="0.3">
      <c r="A278" s="232"/>
      <c r="B278" s="255"/>
      <c r="D278" s="237"/>
      <c r="E278" s="189"/>
      <c r="F278" s="189"/>
      <c r="G278" s="189"/>
      <c r="H278" s="193"/>
    </row>
    <row r="279" spans="1:8" ht="15" hidden="1" customHeight="1" x14ac:dyDescent="0.3">
      <c r="A279" s="232"/>
      <c r="B279" s="255"/>
      <c r="C279" s="130"/>
      <c r="D279" s="237"/>
      <c r="E279" s="189"/>
      <c r="F279" s="189"/>
      <c r="G279" s="189"/>
      <c r="H279" s="193"/>
    </row>
    <row r="280" spans="1:8" ht="15" hidden="1" customHeight="1" x14ac:dyDescent="0.3">
      <c r="A280" s="232"/>
      <c r="B280" s="255"/>
      <c r="D280" s="237"/>
      <c r="E280" s="189"/>
      <c r="F280" s="189"/>
      <c r="G280" s="189"/>
      <c r="H280" s="193"/>
    </row>
    <row r="281" spans="1:8" ht="15" hidden="1" customHeight="1" x14ac:dyDescent="0.3">
      <c r="A281" s="232"/>
      <c r="B281" s="255"/>
      <c r="C281" s="130"/>
      <c r="D281" s="237"/>
      <c r="E281" s="189"/>
      <c r="F281" s="189"/>
      <c r="G281" s="189"/>
      <c r="H281" s="193"/>
    </row>
    <row r="282" spans="1:8" ht="15" hidden="1" customHeight="1" x14ac:dyDescent="0.3">
      <c r="A282" s="232"/>
      <c r="B282" s="255"/>
      <c r="D282" s="237"/>
      <c r="E282" s="189"/>
      <c r="F282" s="189"/>
      <c r="G282" s="189"/>
      <c r="H282" s="193"/>
    </row>
    <row r="283" spans="1:8" ht="15" hidden="1" customHeight="1" x14ac:dyDescent="0.3">
      <c r="A283" s="232"/>
      <c r="B283" s="255"/>
      <c r="C283" s="130"/>
      <c r="D283" s="237"/>
      <c r="E283" s="189"/>
      <c r="F283" s="189"/>
      <c r="G283" s="189"/>
      <c r="H283" s="193"/>
    </row>
    <row r="284" spans="1:8" ht="15" hidden="1" customHeight="1" x14ac:dyDescent="0.3">
      <c r="A284" s="232"/>
      <c r="B284" s="255"/>
      <c r="D284" s="237"/>
      <c r="E284" s="189"/>
      <c r="F284" s="189"/>
      <c r="G284" s="189"/>
      <c r="H284" s="193"/>
    </row>
    <row r="285" spans="1:8" ht="15" hidden="1" customHeight="1" x14ac:dyDescent="0.3">
      <c r="A285" s="232"/>
      <c r="B285" s="255"/>
      <c r="C285" s="130"/>
      <c r="D285" s="237"/>
      <c r="E285" s="189"/>
      <c r="F285" s="189"/>
      <c r="G285" s="189"/>
      <c r="H285" s="193"/>
    </row>
    <row r="286" spans="1:8" ht="15" hidden="1" customHeight="1" x14ac:dyDescent="0.3">
      <c r="A286" s="232"/>
      <c r="B286" s="255"/>
      <c r="D286" s="237"/>
      <c r="E286" s="189"/>
      <c r="F286" s="189"/>
      <c r="G286" s="189"/>
      <c r="H286" s="193"/>
    </row>
    <row r="287" spans="1:8" ht="15" hidden="1" customHeight="1" x14ac:dyDescent="0.3">
      <c r="A287" s="232"/>
      <c r="B287" s="255"/>
      <c r="C287" s="130"/>
      <c r="D287" s="237"/>
      <c r="E287" s="189"/>
      <c r="F287" s="189"/>
      <c r="G287" s="189"/>
      <c r="H287" s="193"/>
    </row>
    <row r="288" spans="1:8" ht="15" hidden="1" customHeight="1" x14ac:dyDescent="0.3">
      <c r="A288" s="232"/>
      <c r="B288" s="255"/>
      <c r="D288" s="237"/>
      <c r="E288" s="189"/>
      <c r="F288" s="189"/>
      <c r="G288" s="189"/>
      <c r="H288" s="193"/>
    </row>
    <row r="289" spans="1:8" ht="15" hidden="1" customHeight="1" x14ac:dyDescent="0.3">
      <c r="A289" s="232"/>
      <c r="B289" s="255"/>
      <c r="C289" s="130"/>
      <c r="D289" s="237"/>
      <c r="E289" s="189"/>
      <c r="F289" s="189"/>
      <c r="G289" s="189"/>
      <c r="H289" s="193"/>
    </row>
    <row r="290" spans="1:8" ht="15" hidden="1" customHeight="1" x14ac:dyDescent="0.3">
      <c r="A290" s="232"/>
      <c r="B290" s="255"/>
      <c r="D290" s="237"/>
      <c r="E290" s="189"/>
      <c r="F290" s="189"/>
      <c r="G290" s="189"/>
      <c r="H290" s="193"/>
    </row>
    <row r="291" spans="1:8" ht="15" hidden="1" customHeight="1" x14ac:dyDescent="0.3">
      <c r="A291" s="232"/>
      <c r="B291" s="255"/>
      <c r="C291" s="130"/>
      <c r="D291" s="237"/>
      <c r="E291" s="189"/>
      <c r="F291" s="189"/>
      <c r="G291" s="189"/>
      <c r="H291" s="193"/>
    </row>
    <row r="292" spans="1:8" ht="15" hidden="1" customHeight="1" x14ac:dyDescent="0.3">
      <c r="A292" s="232"/>
      <c r="B292" s="189"/>
      <c r="D292" s="237"/>
      <c r="E292" s="189"/>
      <c r="F292" s="189"/>
      <c r="G292" s="189"/>
      <c r="H292" s="193"/>
    </row>
    <row r="293" spans="1:8" ht="15" hidden="1" customHeight="1" x14ac:dyDescent="0.3">
      <c r="A293" s="232"/>
      <c r="B293" s="189"/>
      <c r="C293" s="189"/>
      <c r="D293" s="237"/>
      <c r="E293" s="189"/>
      <c r="F293" s="189"/>
      <c r="G293" s="189"/>
      <c r="H293" s="193"/>
    </row>
    <row r="294" spans="1:8" ht="15" hidden="1" customHeight="1" x14ac:dyDescent="0.3">
      <c r="A294" s="232"/>
      <c r="B294" s="189"/>
      <c r="C294" s="189"/>
      <c r="D294" s="237"/>
      <c r="E294" s="189"/>
      <c r="F294" s="189"/>
      <c r="G294" s="189"/>
      <c r="H294" s="193"/>
    </row>
    <row r="295" spans="1:8" ht="15" hidden="1" customHeight="1" x14ac:dyDescent="0.3">
      <c r="A295" s="232"/>
      <c r="B295" s="189"/>
      <c r="C295" s="189"/>
      <c r="D295" s="237"/>
      <c r="E295" s="189"/>
      <c r="F295" s="189"/>
      <c r="G295" s="189"/>
      <c r="H295" s="193"/>
    </row>
    <row r="296" spans="1:8" ht="15" hidden="1" customHeight="1" x14ac:dyDescent="0.3">
      <c r="A296" s="232"/>
      <c r="B296" s="189"/>
      <c r="C296" s="189"/>
      <c r="D296" s="237"/>
      <c r="E296" s="189"/>
      <c r="F296" s="189"/>
      <c r="G296" s="189"/>
      <c r="H296" s="193"/>
    </row>
    <row r="297" spans="1:8" ht="15" hidden="1" customHeight="1" x14ac:dyDescent="0.3">
      <c r="A297" s="232"/>
      <c r="B297" s="189"/>
      <c r="C297" s="189"/>
      <c r="D297" s="237"/>
      <c r="E297" s="189"/>
      <c r="F297" s="189"/>
      <c r="G297" s="189"/>
      <c r="H297" s="193"/>
    </row>
    <row r="298" spans="1:8" ht="15" hidden="1" customHeight="1" x14ac:dyDescent="0.3">
      <c r="A298" s="232"/>
      <c r="B298" s="189"/>
      <c r="C298" s="189"/>
      <c r="D298" s="237"/>
      <c r="E298" s="189"/>
      <c r="F298" s="189"/>
      <c r="G298" s="189"/>
      <c r="H298" s="193"/>
    </row>
    <row r="299" spans="1:8" ht="15" hidden="1" customHeight="1" x14ac:dyDescent="0.3">
      <c r="A299" s="232"/>
      <c r="B299" s="189"/>
      <c r="C299" s="189"/>
      <c r="D299" s="237"/>
      <c r="E299" s="189"/>
      <c r="F299" s="189"/>
      <c r="G299" s="189"/>
      <c r="H299" s="193"/>
    </row>
    <row r="300" spans="1:8" ht="15" hidden="1" customHeight="1" x14ac:dyDescent="0.3">
      <c r="A300" s="232"/>
      <c r="B300" s="189"/>
      <c r="C300" s="189"/>
      <c r="D300" s="237"/>
      <c r="E300" s="189"/>
      <c r="F300" s="189"/>
      <c r="G300" s="189"/>
      <c r="H300" s="193"/>
    </row>
    <row r="301" spans="1:8" ht="15" hidden="1" customHeight="1" x14ac:dyDescent="0.3">
      <c r="A301" s="232"/>
      <c r="B301" s="189"/>
      <c r="C301" s="189"/>
      <c r="D301" s="237"/>
      <c r="E301" s="189"/>
      <c r="F301" s="189"/>
      <c r="G301" s="189"/>
      <c r="H301" s="193"/>
    </row>
    <row r="302" spans="1:8" ht="15" hidden="1" customHeight="1" x14ac:dyDescent="0.3">
      <c r="A302" s="232"/>
      <c r="B302" s="189"/>
      <c r="C302" s="189"/>
      <c r="D302" s="237"/>
      <c r="E302" s="189"/>
      <c r="F302" s="189"/>
      <c r="G302" s="189"/>
      <c r="H302" s="193"/>
    </row>
    <row r="303" spans="1:8" ht="15" hidden="1" customHeight="1" x14ac:dyDescent="0.3">
      <c r="A303" s="232"/>
      <c r="B303" s="189"/>
      <c r="C303" s="189"/>
      <c r="D303" s="237"/>
      <c r="E303" s="189"/>
      <c r="F303" s="189"/>
      <c r="G303" s="189"/>
      <c r="H303" s="193"/>
    </row>
    <row r="304" spans="1:8" ht="15" hidden="1" customHeight="1" x14ac:dyDescent="0.3">
      <c r="A304" s="232"/>
      <c r="B304" s="189"/>
      <c r="C304" s="189"/>
      <c r="D304" s="237"/>
      <c r="E304" s="189"/>
      <c r="F304" s="189"/>
      <c r="G304" s="189"/>
      <c r="H304" s="193"/>
    </row>
    <row r="305" spans="1:8" ht="15" hidden="1" customHeight="1" x14ac:dyDescent="0.3">
      <c r="A305" s="232"/>
      <c r="B305" s="189"/>
      <c r="C305" s="189"/>
      <c r="D305" s="237"/>
      <c r="E305" s="189"/>
      <c r="F305" s="189"/>
      <c r="G305" s="189"/>
      <c r="H305" s="193"/>
    </row>
    <row r="306" spans="1:8" ht="15" hidden="1" customHeight="1" x14ac:dyDescent="0.3">
      <c r="A306" s="232"/>
      <c r="B306" s="189"/>
      <c r="C306" s="189"/>
      <c r="D306" s="237"/>
      <c r="E306" s="189"/>
      <c r="F306" s="189"/>
      <c r="G306" s="189"/>
      <c r="H306" s="193"/>
    </row>
    <row r="307" spans="1:8" ht="15" hidden="1" customHeight="1" x14ac:dyDescent="0.3">
      <c r="A307" s="232"/>
      <c r="B307" s="189"/>
      <c r="C307" s="189"/>
      <c r="D307" s="237"/>
      <c r="E307" s="189"/>
      <c r="F307" s="189"/>
      <c r="G307" s="189"/>
      <c r="H307" s="193"/>
    </row>
    <row r="308" spans="1:8" ht="15" hidden="1" customHeight="1" x14ac:dyDescent="0.3">
      <c r="A308" s="232"/>
      <c r="B308" s="189"/>
      <c r="C308" s="189"/>
      <c r="D308" s="237"/>
      <c r="E308" s="189"/>
      <c r="F308" s="189"/>
      <c r="G308" s="189"/>
      <c r="H308" s="193"/>
    </row>
    <row r="309" spans="1:8" ht="15" hidden="1" customHeight="1" x14ac:dyDescent="0.3">
      <c r="A309" s="232"/>
      <c r="B309" s="189"/>
      <c r="C309" s="189"/>
      <c r="D309" s="237"/>
      <c r="E309" s="189"/>
      <c r="F309" s="189"/>
      <c r="G309" s="189"/>
      <c r="H309" s="193"/>
    </row>
    <row r="310" spans="1:8" ht="15" hidden="1" customHeight="1" x14ac:dyDescent="0.3">
      <c r="A310" s="232"/>
      <c r="B310" s="189"/>
      <c r="C310" s="189"/>
      <c r="D310" s="237"/>
      <c r="E310" s="189"/>
      <c r="F310" s="189"/>
      <c r="G310" s="189"/>
      <c r="H310" s="193"/>
    </row>
    <row r="311" spans="1:8" ht="15" hidden="1" customHeight="1" x14ac:dyDescent="0.3">
      <c r="A311" s="232"/>
      <c r="B311" s="189"/>
      <c r="C311" s="189"/>
      <c r="D311" s="237"/>
      <c r="E311" s="189"/>
      <c r="F311" s="189"/>
      <c r="G311" s="189"/>
      <c r="H311" s="193"/>
    </row>
    <row r="312" spans="1:8" ht="15" hidden="1" customHeight="1" x14ac:dyDescent="0.3">
      <c r="A312" s="232"/>
      <c r="B312" s="189"/>
      <c r="C312" s="189"/>
      <c r="D312" s="237"/>
      <c r="E312" s="189"/>
      <c r="F312" s="189"/>
      <c r="G312" s="189"/>
      <c r="H312" s="193"/>
    </row>
    <row r="313" spans="1:8" ht="15" hidden="1" customHeight="1" x14ac:dyDescent="0.3">
      <c r="A313" s="232"/>
      <c r="B313" s="189"/>
      <c r="C313" s="189"/>
      <c r="D313" s="237"/>
      <c r="E313" s="189"/>
      <c r="F313" s="189"/>
      <c r="G313" s="189"/>
      <c r="H313" s="193"/>
    </row>
    <row r="314" spans="1:8" ht="15" hidden="1" customHeight="1" x14ac:dyDescent="0.3">
      <c r="A314" s="232"/>
      <c r="B314" s="189"/>
      <c r="C314" s="189"/>
      <c r="D314" s="237"/>
      <c r="E314" s="189"/>
      <c r="F314" s="189"/>
      <c r="G314" s="189"/>
      <c r="H314" s="193"/>
    </row>
    <row r="315" spans="1:8" ht="15" hidden="1" customHeight="1" x14ac:dyDescent="0.3">
      <c r="A315" s="232"/>
      <c r="B315" s="189"/>
      <c r="C315" s="189"/>
      <c r="D315" s="237"/>
      <c r="E315" s="189"/>
      <c r="F315" s="189"/>
      <c r="G315" s="189"/>
      <c r="H315" s="193"/>
    </row>
    <row r="316" spans="1:8" ht="15" hidden="1" customHeight="1" x14ac:dyDescent="0.3">
      <c r="A316" s="232"/>
      <c r="B316" s="189"/>
      <c r="C316" s="189"/>
      <c r="D316" s="237"/>
      <c r="E316" s="189"/>
      <c r="F316" s="189"/>
      <c r="G316" s="189"/>
      <c r="H316" s="193"/>
    </row>
    <row r="317" spans="1:8" ht="15" hidden="1" customHeight="1" x14ac:dyDescent="0.3">
      <c r="A317" s="232"/>
      <c r="B317" s="189"/>
      <c r="C317" s="189"/>
      <c r="D317" s="237"/>
      <c r="E317" s="189"/>
      <c r="F317" s="189"/>
      <c r="G317" s="189"/>
      <c r="H317" s="193"/>
    </row>
    <row r="318" spans="1:8" ht="15" hidden="1" customHeight="1" x14ac:dyDescent="0.3">
      <c r="A318" s="232"/>
      <c r="B318" s="189"/>
      <c r="C318" s="189"/>
      <c r="D318" s="237"/>
      <c r="E318" s="189"/>
      <c r="F318" s="189"/>
      <c r="G318" s="189"/>
      <c r="H318" s="193"/>
    </row>
    <row r="319" spans="1:8" ht="15" hidden="1" customHeight="1" x14ac:dyDescent="0.3">
      <c r="A319" s="232"/>
      <c r="B319" s="189"/>
      <c r="C319" s="189"/>
      <c r="D319" s="237"/>
      <c r="E319" s="189"/>
      <c r="F319" s="189"/>
      <c r="G319" s="189"/>
      <c r="H319" s="193"/>
    </row>
    <row r="320" spans="1:8" ht="15" hidden="1" customHeight="1" x14ac:dyDescent="0.3">
      <c r="A320" s="232"/>
      <c r="B320" s="189"/>
      <c r="C320" s="189"/>
      <c r="D320" s="237"/>
      <c r="E320" s="189"/>
      <c r="F320" s="189"/>
      <c r="G320" s="189"/>
      <c r="H320" s="193"/>
    </row>
    <row r="321" spans="1:8" ht="15" hidden="1" customHeight="1" x14ac:dyDescent="0.3">
      <c r="A321" s="232"/>
      <c r="B321" s="189"/>
      <c r="C321" s="189"/>
      <c r="D321" s="237"/>
      <c r="E321" s="189"/>
      <c r="F321" s="189"/>
      <c r="G321" s="189"/>
      <c r="H321" s="193"/>
    </row>
    <row r="322" spans="1:8" ht="15" hidden="1" customHeight="1" x14ac:dyDescent="0.3">
      <c r="A322" s="232"/>
      <c r="B322" s="189"/>
      <c r="C322" s="189"/>
      <c r="D322" s="237"/>
      <c r="E322" s="189"/>
      <c r="F322" s="189"/>
      <c r="G322" s="189"/>
      <c r="H322" s="193"/>
    </row>
    <row r="323" spans="1:8" ht="15" hidden="1" customHeight="1" x14ac:dyDescent="0.3">
      <c r="A323" s="232"/>
      <c r="B323" s="189"/>
      <c r="C323" s="189"/>
      <c r="D323" s="237"/>
      <c r="E323" s="189"/>
      <c r="F323" s="189"/>
      <c r="G323" s="189"/>
      <c r="H323" s="193"/>
    </row>
    <row r="324" spans="1:8" ht="15" hidden="1" customHeight="1" x14ac:dyDescent="0.3">
      <c r="A324" s="232"/>
      <c r="B324" s="189"/>
      <c r="C324" s="189"/>
      <c r="D324" s="237"/>
      <c r="E324" s="189"/>
      <c r="F324" s="189"/>
      <c r="G324" s="189"/>
      <c r="H324" s="193"/>
    </row>
    <row r="325" spans="1:8" ht="15" hidden="1" customHeight="1" x14ac:dyDescent="0.3">
      <c r="A325" s="232"/>
      <c r="B325" s="189"/>
      <c r="C325" s="189"/>
      <c r="D325" s="237"/>
      <c r="E325" s="189"/>
      <c r="F325" s="189"/>
      <c r="G325" s="189"/>
      <c r="H325" s="193"/>
    </row>
    <row r="326" spans="1:8" ht="15" hidden="1" customHeight="1" x14ac:dyDescent="0.3">
      <c r="A326" s="232"/>
      <c r="B326" s="189"/>
      <c r="C326" s="189"/>
      <c r="D326" s="237"/>
      <c r="E326" s="189"/>
      <c r="F326" s="189"/>
      <c r="G326" s="189"/>
      <c r="H326" s="193"/>
    </row>
    <row r="327" spans="1:8" ht="15" hidden="1" customHeight="1" x14ac:dyDescent="0.3">
      <c r="A327" s="232"/>
      <c r="B327" s="189"/>
      <c r="C327" s="189"/>
      <c r="D327" s="237"/>
      <c r="E327" s="189"/>
      <c r="F327" s="189"/>
      <c r="G327" s="189"/>
      <c r="H327" s="193"/>
    </row>
    <row r="328" spans="1:8" ht="15" hidden="1" customHeight="1" x14ac:dyDescent="0.3">
      <c r="A328" s="232"/>
      <c r="B328" s="189"/>
      <c r="C328" s="189"/>
      <c r="D328" s="237"/>
      <c r="E328" s="189"/>
      <c r="F328" s="189"/>
      <c r="G328" s="189"/>
      <c r="H328" s="193"/>
    </row>
    <row r="329" spans="1:8" ht="15" hidden="1" customHeight="1" x14ac:dyDescent="0.3">
      <c r="A329" s="232"/>
      <c r="B329" s="189"/>
      <c r="C329" s="189"/>
      <c r="D329" s="237"/>
      <c r="E329" s="189"/>
      <c r="F329" s="189"/>
      <c r="G329" s="189"/>
      <c r="H329" s="193"/>
    </row>
    <row r="330" spans="1:8" ht="15" hidden="1" customHeight="1" x14ac:dyDescent="0.3">
      <c r="A330" s="232"/>
      <c r="B330" s="189"/>
      <c r="C330" s="189"/>
      <c r="D330" s="237"/>
      <c r="E330" s="189"/>
      <c r="F330" s="189"/>
      <c r="G330" s="189"/>
      <c r="H330" s="193"/>
    </row>
    <row r="331" spans="1:8" ht="15" hidden="1" customHeight="1" x14ac:dyDescent="0.3">
      <c r="A331" s="232"/>
      <c r="B331" s="189"/>
      <c r="C331" s="189"/>
      <c r="D331" s="237"/>
      <c r="E331" s="189"/>
      <c r="F331" s="189"/>
      <c r="G331" s="189"/>
      <c r="H331" s="193"/>
    </row>
    <row r="332" spans="1:8" ht="15" hidden="1" customHeight="1" x14ac:dyDescent="0.3">
      <c r="A332" s="232"/>
      <c r="B332" s="189"/>
      <c r="C332" s="189"/>
      <c r="D332" s="237"/>
      <c r="E332" s="189"/>
      <c r="F332" s="189"/>
      <c r="G332" s="189"/>
      <c r="H332" s="193"/>
    </row>
    <row r="333" spans="1:8" ht="15" hidden="1" customHeight="1" x14ac:dyDescent="0.3">
      <c r="A333" s="232"/>
      <c r="B333" s="189"/>
      <c r="C333" s="189"/>
      <c r="D333" s="237"/>
      <c r="E333" s="189"/>
      <c r="F333" s="189"/>
      <c r="G333" s="189"/>
      <c r="H333" s="193"/>
    </row>
    <row r="334" spans="1:8" ht="15" hidden="1" customHeight="1" x14ac:dyDescent="0.3">
      <c r="A334" s="232"/>
      <c r="B334" s="189"/>
      <c r="C334" s="189"/>
      <c r="D334" s="237"/>
      <c r="E334" s="189"/>
      <c r="F334" s="189"/>
      <c r="G334" s="189"/>
      <c r="H334" s="193"/>
    </row>
    <row r="335" spans="1:8" ht="15" hidden="1" customHeight="1" x14ac:dyDescent="0.3">
      <c r="A335" s="232"/>
      <c r="B335" s="189"/>
      <c r="C335" s="189"/>
      <c r="D335" s="237"/>
      <c r="E335" s="189"/>
      <c r="F335" s="189"/>
      <c r="G335" s="189"/>
      <c r="H335" s="193"/>
    </row>
    <row r="336" spans="1:8" ht="15" hidden="1" customHeight="1" x14ac:dyDescent="0.3">
      <c r="A336" s="232"/>
      <c r="B336" s="189"/>
      <c r="C336" s="189"/>
      <c r="D336" s="237"/>
      <c r="E336" s="189"/>
      <c r="F336" s="189"/>
      <c r="G336" s="189"/>
      <c r="H336" s="193"/>
    </row>
    <row r="337" spans="1:8" ht="15" hidden="1" customHeight="1" x14ac:dyDescent="0.3">
      <c r="A337" s="232"/>
      <c r="B337" s="189"/>
      <c r="C337" s="189"/>
      <c r="D337" s="237"/>
      <c r="E337" s="189"/>
      <c r="F337" s="189"/>
      <c r="G337" s="189"/>
      <c r="H337" s="193"/>
    </row>
    <row r="338" spans="1:8" ht="15" hidden="1" customHeight="1" x14ac:dyDescent="0.3">
      <c r="A338" s="232"/>
      <c r="B338" s="189"/>
      <c r="C338" s="189"/>
      <c r="D338" s="237"/>
      <c r="E338" s="189"/>
      <c r="F338" s="189"/>
      <c r="G338" s="189"/>
      <c r="H338" s="193"/>
    </row>
    <row r="339" spans="1:8" ht="15" hidden="1" customHeight="1" x14ac:dyDescent="0.3">
      <c r="A339" s="232"/>
      <c r="B339" s="189"/>
      <c r="C339" s="189"/>
      <c r="D339" s="237"/>
      <c r="E339" s="189"/>
      <c r="F339" s="189"/>
      <c r="G339" s="189"/>
      <c r="H339" s="193"/>
    </row>
    <row r="340" spans="1:8" ht="15" hidden="1" customHeight="1" x14ac:dyDescent="0.3">
      <c r="A340" s="232"/>
      <c r="B340" s="189"/>
      <c r="C340" s="189"/>
      <c r="D340" s="237"/>
      <c r="E340" s="189"/>
      <c r="F340" s="189"/>
      <c r="G340" s="189"/>
      <c r="H340" s="193"/>
    </row>
    <row r="341" spans="1:8" ht="15" hidden="1" customHeight="1" x14ac:dyDescent="0.3">
      <c r="A341" s="232"/>
      <c r="B341" s="189"/>
      <c r="C341" s="189"/>
      <c r="D341" s="237"/>
      <c r="E341" s="189"/>
      <c r="F341" s="189"/>
      <c r="G341" s="189"/>
      <c r="H341" s="193"/>
    </row>
    <row r="342" spans="1:8" ht="15" hidden="1" customHeight="1" x14ac:dyDescent="0.3">
      <c r="A342" s="232"/>
      <c r="B342" s="189"/>
      <c r="C342" s="189"/>
      <c r="D342" s="237"/>
      <c r="E342" s="189"/>
      <c r="F342" s="189"/>
      <c r="G342" s="189"/>
      <c r="H342" s="193"/>
    </row>
    <row r="343" spans="1:8" ht="15" hidden="1" customHeight="1" x14ac:dyDescent="0.3">
      <c r="A343" s="232"/>
      <c r="B343" s="189"/>
      <c r="C343" s="189"/>
      <c r="D343" s="237"/>
      <c r="E343" s="189"/>
      <c r="F343" s="189"/>
      <c r="G343" s="189"/>
      <c r="H343" s="193"/>
    </row>
    <row r="344" spans="1:8" ht="15" hidden="1" customHeight="1" x14ac:dyDescent="0.3">
      <c r="A344" s="232"/>
      <c r="B344" s="189"/>
      <c r="C344" s="189"/>
      <c r="D344" s="237"/>
      <c r="E344" s="189"/>
      <c r="F344" s="189"/>
      <c r="G344" s="189"/>
      <c r="H344" s="193"/>
    </row>
    <row r="345" spans="1:8" ht="15" hidden="1" customHeight="1" x14ac:dyDescent="0.3">
      <c r="A345" s="232"/>
      <c r="B345" s="189"/>
      <c r="C345" s="189"/>
      <c r="D345" s="237"/>
      <c r="E345" s="189"/>
      <c r="F345" s="189"/>
      <c r="G345" s="189"/>
      <c r="H345" s="193"/>
    </row>
    <row r="346" spans="1:8" ht="15" hidden="1" customHeight="1" x14ac:dyDescent="0.3">
      <c r="A346" s="232"/>
      <c r="B346" s="189"/>
      <c r="C346" s="189"/>
      <c r="D346" s="237"/>
      <c r="E346" s="189"/>
      <c r="F346" s="189"/>
      <c r="G346" s="189"/>
      <c r="H346" s="193"/>
    </row>
    <row r="347" spans="1:8" ht="15" hidden="1" customHeight="1" x14ac:dyDescent="0.3">
      <c r="A347" s="232"/>
      <c r="B347" s="189"/>
      <c r="C347" s="189"/>
      <c r="D347" s="237"/>
      <c r="E347" s="189"/>
      <c r="F347" s="189"/>
      <c r="G347" s="189"/>
      <c r="H347" s="193"/>
    </row>
    <row r="348" spans="1:8" ht="15" hidden="1" customHeight="1" x14ac:dyDescent="0.3">
      <c r="A348" s="232"/>
      <c r="B348" s="189"/>
      <c r="C348" s="189"/>
      <c r="D348" s="237"/>
      <c r="E348" s="189"/>
      <c r="F348" s="189"/>
      <c r="G348" s="189"/>
      <c r="H348" s="193"/>
    </row>
    <row r="349" spans="1:8" ht="15" hidden="1" customHeight="1" x14ac:dyDescent="0.3">
      <c r="A349" s="232"/>
      <c r="B349" s="189"/>
      <c r="C349" s="189"/>
      <c r="D349" s="237"/>
      <c r="E349" s="189"/>
      <c r="F349" s="189"/>
      <c r="G349" s="189"/>
      <c r="H349" s="193"/>
    </row>
    <row r="350" spans="1:8" ht="15" hidden="1" customHeight="1" x14ac:dyDescent="0.3">
      <c r="A350" s="232"/>
      <c r="B350" s="189"/>
      <c r="C350" s="189"/>
      <c r="D350" s="237"/>
      <c r="E350" s="189"/>
      <c r="F350" s="189"/>
      <c r="G350" s="189"/>
      <c r="H350" s="193"/>
    </row>
    <row r="351" spans="1:8" ht="15" hidden="1" customHeight="1" x14ac:dyDescent="0.3">
      <c r="A351" s="232"/>
      <c r="B351" s="189"/>
      <c r="C351" s="189"/>
      <c r="D351" s="237"/>
      <c r="E351" s="189"/>
      <c r="F351" s="189"/>
      <c r="G351" s="189"/>
      <c r="H351" s="193"/>
    </row>
    <row r="352" spans="1:8" ht="15" hidden="1" customHeight="1" x14ac:dyDescent="0.3">
      <c r="A352" s="232"/>
      <c r="B352" s="189"/>
      <c r="C352" s="189"/>
      <c r="D352" s="237"/>
      <c r="E352" s="189"/>
      <c r="F352" s="189"/>
      <c r="G352" s="189"/>
      <c r="H352" s="193"/>
    </row>
    <row r="353" spans="1:8" ht="15" hidden="1" customHeight="1" x14ac:dyDescent="0.3">
      <c r="A353" s="232"/>
      <c r="B353" s="189"/>
      <c r="C353" s="189"/>
      <c r="D353" s="237"/>
      <c r="E353" s="189"/>
      <c r="F353" s="189"/>
      <c r="G353" s="189"/>
      <c r="H353" s="193"/>
    </row>
    <row r="354" spans="1:8" ht="15" hidden="1" customHeight="1" x14ac:dyDescent="0.3">
      <c r="A354" s="232"/>
      <c r="B354" s="189"/>
      <c r="C354" s="189"/>
      <c r="D354" s="237"/>
      <c r="E354" s="189"/>
      <c r="F354" s="189"/>
      <c r="G354" s="189"/>
      <c r="H354" s="193"/>
    </row>
    <row r="355" spans="1:8" ht="15" hidden="1" customHeight="1" x14ac:dyDescent="0.3">
      <c r="A355" s="232"/>
      <c r="B355" s="189"/>
      <c r="C355" s="189"/>
      <c r="D355" s="237"/>
      <c r="E355" s="189"/>
      <c r="F355" s="189"/>
      <c r="G355" s="189"/>
      <c r="H355" s="193"/>
    </row>
    <row r="356" spans="1:8" ht="15" hidden="1" customHeight="1" x14ac:dyDescent="0.3">
      <c r="A356" s="232"/>
      <c r="B356" s="189"/>
      <c r="C356" s="189"/>
      <c r="D356" s="237"/>
      <c r="E356" s="189"/>
      <c r="F356" s="189"/>
      <c r="G356" s="189"/>
      <c r="H356" s="193"/>
    </row>
    <row r="357" spans="1:8" ht="15" hidden="1" customHeight="1" x14ac:dyDescent="0.3">
      <c r="A357" s="232"/>
      <c r="B357" s="189"/>
      <c r="C357" s="189"/>
      <c r="D357" s="237"/>
      <c r="E357" s="189"/>
      <c r="F357" s="189"/>
      <c r="G357" s="189"/>
      <c r="H357" s="193"/>
    </row>
    <row r="358" spans="1:8" ht="15" hidden="1" customHeight="1" x14ac:dyDescent="0.3">
      <c r="A358" s="232"/>
      <c r="B358" s="189"/>
      <c r="C358" s="189"/>
      <c r="D358" s="237"/>
      <c r="E358" s="189"/>
      <c r="F358" s="189"/>
      <c r="G358" s="189"/>
      <c r="H358" s="193"/>
    </row>
    <row r="359" spans="1:8" ht="15" hidden="1" customHeight="1" x14ac:dyDescent="0.3">
      <c r="A359" s="232"/>
      <c r="B359" s="189"/>
      <c r="C359" s="189"/>
      <c r="D359" s="237"/>
      <c r="E359" s="189"/>
      <c r="F359" s="189"/>
      <c r="G359" s="189"/>
      <c r="H359" s="193"/>
    </row>
    <row r="360" spans="1:8" ht="15" hidden="1" customHeight="1" x14ac:dyDescent="0.3">
      <c r="A360" s="232"/>
      <c r="B360" s="189"/>
      <c r="C360" s="189"/>
      <c r="D360" s="237"/>
      <c r="E360" s="189"/>
      <c r="F360" s="189"/>
      <c r="G360" s="189"/>
      <c r="H360" s="193"/>
    </row>
    <row r="361" spans="1:8" ht="15" hidden="1" customHeight="1" x14ac:dyDescent="0.3">
      <c r="A361" s="232"/>
      <c r="B361" s="189"/>
      <c r="C361" s="189"/>
      <c r="D361" s="237"/>
      <c r="E361" s="189"/>
      <c r="F361" s="189"/>
      <c r="G361" s="189"/>
      <c r="H361" s="193"/>
    </row>
    <row r="362" spans="1:8" ht="15" hidden="1" customHeight="1" x14ac:dyDescent="0.3">
      <c r="A362" s="232"/>
      <c r="B362" s="189"/>
      <c r="C362" s="189"/>
      <c r="D362" s="237"/>
      <c r="E362" s="189"/>
      <c r="F362" s="189"/>
      <c r="G362" s="189"/>
      <c r="H362" s="193"/>
    </row>
    <row r="363" spans="1:8" ht="15" hidden="1" customHeight="1" x14ac:dyDescent="0.3">
      <c r="A363" s="232"/>
      <c r="B363" s="189"/>
      <c r="C363" s="189"/>
      <c r="D363" s="237"/>
      <c r="E363" s="189"/>
      <c r="F363" s="189"/>
      <c r="G363" s="189"/>
      <c r="H363" s="193"/>
    </row>
    <row r="364" spans="1:8" ht="15" hidden="1" customHeight="1" x14ac:dyDescent="0.3">
      <c r="A364" s="232"/>
      <c r="B364" s="189"/>
      <c r="C364" s="189"/>
      <c r="D364" s="237"/>
      <c r="E364" s="189"/>
      <c r="F364" s="189"/>
      <c r="G364" s="189"/>
      <c r="H364" s="193"/>
    </row>
    <row r="365" spans="1:8" ht="15" hidden="1" customHeight="1" x14ac:dyDescent="0.3">
      <c r="A365" s="232"/>
      <c r="B365" s="189"/>
      <c r="C365" s="189"/>
      <c r="D365" s="237"/>
      <c r="E365" s="189"/>
      <c r="F365" s="189"/>
      <c r="G365" s="189"/>
      <c r="H365" s="193"/>
    </row>
    <row r="366" spans="1:8" ht="15" hidden="1" customHeight="1" x14ac:dyDescent="0.3">
      <c r="A366" s="232"/>
      <c r="B366" s="189"/>
      <c r="C366" s="189"/>
      <c r="D366" s="237"/>
      <c r="E366" s="189"/>
      <c r="F366" s="189"/>
      <c r="G366" s="189"/>
      <c r="H366" s="193"/>
    </row>
    <row r="367" spans="1:8" ht="15" hidden="1" customHeight="1" x14ac:dyDescent="0.3">
      <c r="A367" s="232"/>
      <c r="B367" s="189"/>
      <c r="C367" s="189"/>
      <c r="D367" s="237"/>
      <c r="E367" s="189"/>
      <c r="F367" s="189"/>
      <c r="G367" s="189"/>
      <c r="H367" s="193"/>
    </row>
    <row r="368" spans="1:8" ht="15" hidden="1" customHeight="1" x14ac:dyDescent="0.3">
      <c r="A368" s="232"/>
      <c r="B368" s="189"/>
      <c r="C368" s="189"/>
      <c r="D368" s="237"/>
      <c r="E368" s="189"/>
      <c r="F368" s="189"/>
      <c r="G368" s="189"/>
      <c r="H368" s="193"/>
    </row>
    <row r="369" spans="1:8" ht="15" hidden="1" customHeight="1" x14ac:dyDescent="0.3">
      <c r="A369" s="232"/>
      <c r="B369" s="189"/>
      <c r="C369" s="189"/>
      <c r="D369" s="237"/>
      <c r="E369" s="189"/>
      <c r="F369" s="189"/>
      <c r="G369" s="189"/>
      <c r="H369" s="193"/>
    </row>
    <row r="370" spans="1:8" ht="15" hidden="1" customHeight="1" x14ac:dyDescent="0.3">
      <c r="A370" s="232"/>
      <c r="B370" s="189"/>
      <c r="C370" s="189"/>
      <c r="D370" s="237"/>
      <c r="E370" s="189"/>
      <c r="F370" s="189"/>
      <c r="G370" s="189"/>
      <c r="H370" s="193"/>
    </row>
    <row r="371" spans="1:8" ht="15" hidden="1" customHeight="1" x14ac:dyDescent="0.3">
      <c r="A371" s="232"/>
      <c r="B371" s="189"/>
      <c r="C371" s="189"/>
      <c r="D371" s="237"/>
      <c r="E371" s="189"/>
      <c r="F371" s="189"/>
      <c r="G371" s="189"/>
      <c r="H371" s="193"/>
    </row>
    <row r="372" spans="1:8" ht="15" hidden="1" customHeight="1" x14ac:dyDescent="0.3">
      <c r="A372" s="232"/>
      <c r="B372" s="189"/>
      <c r="C372" s="189"/>
      <c r="D372" s="237"/>
      <c r="E372" s="189"/>
      <c r="F372" s="189"/>
      <c r="G372" s="189"/>
      <c r="H372" s="193"/>
    </row>
    <row r="373" spans="1:8" ht="15" hidden="1" customHeight="1" x14ac:dyDescent="0.3">
      <c r="A373" s="232"/>
      <c r="B373" s="189"/>
      <c r="C373" s="189"/>
      <c r="D373" s="237"/>
      <c r="E373" s="189"/>
      <c r="F373" s="189"/>
      <c r="G373" s="189"/>
      <c r="H373" s="193"/>
    </row>
    <row r="374" spans="1:8" ht="15" hidden="1" customHeight="1" x14ac:dyDescent="0.3">
      <c r="A374" s="232"/>
      <c r="B374" s="189"/>
      <c r="C374" s="189"/>
      <c r="D374" s="237"/>
      <c r="E374" s="189"/>
      <c r="F374" s="189"/>
      <c r="G374" s="189"/>
      <c r="H374" s="193"/>
    </row>
    <row r="375" spans="1:8" ht="15" hidden="1" customHeight="1" x14ac:dyDescent="0.3">
      <c r="A375" s="232"/>
      <c r="B375" s="189"/>
      <c r="C375" s="189"/>
      <c r="D375" s="237"/>
      <c r="E375" s="189"/>
      <c r="F375" s="189"/>
      <c r="G375" s="189"/>
      <c r="H375" s="193"/>
    </row>
    <row r="376" spans="1:8" ht="15" hidden="1" customHeight="1" x14ac:dyDescent="0.3">
      <c r="A376" s="232"/>
      <c r="B376" s="189"/>
      <c r="C376" s="189"/>
      <c r="D376" s="237"/>
      <c r="E376" s="189"/>
      <c r="F376" s="189"/>
      <c r="G376" s="189"/>
      <c r="H376" s="193"/>
    </row>
    <row r="377" spans="1:8" ht="15" hidden="1" customHeight="1" x14ac:dyDescent="0.3">
      <c r="A377" s="232"/>
      <c r="B377" s="189"/>
      <c r="C377" s="189"/>
      <c r="D377" s="237"/>
      <c r="E377" s="189"/>
      <c r="F377" s="189"/>
      <c r="G377" s="189"/>
      <c r="H377" s="193"/>
    </row>
    <row r="378" spans="1:8" ht="15" hidden="1" customHeight="1" x14ac:dyDescent="0.3">
      <c r="A378" s="232"/>
      <c r="B378" s="189"/>
      <c r="C378" s="189"/>
      <c r="D378" s="237"/>
      <c r="E378" s="189"/>
      <c r="F378" s="189"/>
      <c r="G378" s="189"/>
      <c r="H378" s="193"/>
    </row>
    <row r="379" spans="1:8" ht="15" hidden="1" customHeight="1" x14ac:dyDescent="0.3">
      <c r="A379" s="232"/>
      <c r="B379" s="189"/>
      <c r="C379" s="189"/>
      <c r="D379" s="237"/>
      <c r="E379" s="189"/>
      <c r="F379" s="189"/>
      <c r="G379" s="189"/>
      <c r="H379" s="193"/>
    </row>
    <row r="380" spans="1:8" ht="15" hidden="1" customHeight="1" x14ac:dyDescent="0.3">
      <c r="A380" s="232"/>
      <c r="B380" s="189"/>
      <c r="C380" s="189"/>
      <c r="D380" s="237"/>
      <c r="E380" s="189"/>
      <c r="F380" s="189"/>
      <c r="G380" s="189"/>
      <c r="H380" s="193"/>
    </row>
    <row r="381" spans="1:8" ht="15" hidden="1" customHeight="1" x14ac:dyDescent="0.3">
      <c r="A381" s="232"/>
      <c r="B381" s="189"/>
      <c r="C381" s="189"/>
      <c r="D381" s="237"/>
      <c r="E381" s="189"/>
      <c r="F381" s="189"/>
      <c r="G381" s="189"/>
      <c r="H381" s="193"/>
    </row>
    <row r="382" spans="1:8" ht="15" hidden="1" customHeight="1" x14ac:dyDescent="0.3">
      <c r="A382" s="232"/>
      <c r="B382" s="189"/>
      <c r="C382" s="189"/>
      <c r="D382" s="237"/>
      <c r="E382" s="189"/>
      <c r="F382" s="189"/>
      <c r="G382" s="189"/>
      <c r="H382" s="193"/>
    </row>
    <row r="383" spans="1:8" ht="15" hidden="1" customHeight="1" x14ac:dyDescent="0.3">
      <c r="A383" s="232"/>
      <c r="B383" s="189"/>
      <c r="C383" s="189"/>
      <c r="D383" s="237"/>
      <c r="E383" s="189"/>
      <c r="F383" s="189"/>
      <c r="G383" s="189"/>
      <c r="H383" s="193"/>
    </row>
    <row r="384" spans="1:8" ht="15" hidden="1" customHeight="1" x14ac:dyDescent="0.3">
      <c r="A384" s="232"/>
      <c r="B384" s="189"/>
      <c r="C384" s="189"/>
      <c r="D384" s="237"/>
      <c r="E384" s="189"/>
      <c r="F384" s="189"/>
      <c r="G384" s="189"/>
      <c r="H384" s="193"/>
    </row>
    <row r="385" spans="1:8" ht="15" hidden="1" customHeight="1" x14ac:dyDescent="0.3">
      <c r="A385" s="232"/>
      <c r="B385" s="189"/>
      <c r="C385" s="189"/>
      <c r="D385" s="237"/>
      <c r="E385" s="189"/>
      <c r="F385" s="189"/>
      <c r="G385" s="189"/>
      <c r="H385" s="193"/>
    </row>
    <row r="386" spans="1:8" ht="15" hidden="1" customHeight="1" x14ac:dyDescent="0.3">
      <c r="A386" s="232"/>
      <c r="B386" s="189"/>
      <c r="C386" s="189"/>
      <c r="D386" s="237"/>
      <c r="E386" s="189"/>
      <c r="F386" s="189"/>
      <c r="G386" s="189"/>
      <c r="H386" s="193"/>
    </row>
    <row r="387" spans="1:8" ht="15" hidden="1" customHeight="1" x14ac:dyDescent="0.3">
      <c r="A387" s="232"/>
      <c r="B387" s="189"/>
      <c r="C387" s="189"/>
      <c r="D387" s="237"/>
      <c r="E387" s="189"/>
      <c r="F387" s="189"/>
      <c r="G387" s="189"/>
      <c r="H387" s="193"/>
    </row>
    <row r="388" spans="1:8" ht="15" hidden="1" customHeight="1" x14ac:dyDescent="0.3">
      <c r="A388" s="232"/>
      <c r="B388" s="189"/>
      <c r="C388" s="189"/>
      <c r="D388" s="237"/>
      <c r="E388" s="189"/>
      <c r="F388" s="189"/>
      <c r="G388" s="189"/>
      <c r="H388" s="193"/>
    </row>
    <row r="389" spans="1:8" ht="15" hidden="1" customHeight="1" x14ac:dyDescent="0.3">
      <c r="A389" s="232"/>
      <c r="B389" s="189"/>
      <c r="C389" s="189"/>
      <c r="D389" s="237"/>
      <c r="E389" s="189"/>
      <c r="F389" s="189"/>
      <c r="G389" s="189"/>
      <c r="H389" s="193"/>
    </row>
    <row r="390" spans="1:8" ht="15" hidden="1" customHeight="1" x14ac:dyDescent="0.3">
      <c r="A390" s="232"/>
      <c r="B390" s="189"/>
      <c r="C390" s="189"/>
      <c r="D390" s="237"/>
      <c r="E390" s="189"/>
      <c r="F390" s="189"/>
      <c r="G390" s="189"/>
      <c r="H390" s="193"/>
    </row>
    <row r="391" spans="1:8" ht="15" hidden="1" customHeight="1" x14ac:dyDescent="0.3">
      <c r="A391" s="232"/>
      <c r="B391" s="189"/>
      <c r="C391" s="189"/>
      <c r="D391" s="237"/>
      <c r="E391" s="189"/>
      <c r="F391" s="189"/>
      <c r="G391" s="189"/>
      <c r="H391" s="193"/>
    </row>
    <row r="392" spans="1:8" ht="15" hidden="1" customHeight="1" x14ac:dyDescent="0.3">
      <c r="A392" s="232"/>
      <c r="B392" s="189"/>
      <c r="C392" s="189"/>
      <c r="D392" s="237"/>
      <c r="E392" s="189"/>
      <c r="F392" s="189"/>
      <c r="G392" s="189"/>
      <c r="H392" s="193"/>
    </row>
    <row r="393" spans="1:8" ht="15" hidden="1" customHeight="1" x14ac:dyDescent="0.3">
      <c r="A393" s="232"/>
      <c r="B393" s="189"/>
      <c r="C393" s="189"/>
      <c r="D393" s="237"/>
      <c r="E393" s="189"/>
      <c r="F393" s="189"/>
      <c r="G393" s="189"/>
      <c r="H393" s="193"/>
    </row>
    <row r="394" spans="1:8" ht="15" hidden="1" customHeight="1" x14ac:dyDescent="0.3">
      <c r="A394" s="232"/>
      <c r="B394" s="189"/>
      <c r="C394" s="189"/>
      <c r="D394" s="237"/>
      <c r="E394" s="189"/>
      <c r="F394" s="189"/>
      <c r="G394" s="189"/>
      <c r="H394" s="193"/>
    </row>
    <row r="395" spans="1:8" ht="15" hidden="1" customHeight="1" x14ac:dyDescent="0.3">
      <c r="A395" s="232"/>
      <c r="B395" s="189"/>
      <c r="C395" s="189"/>
      <c r="D395" s="237"/>
      <c r="E395" s="189"/>
      <c r="F395" s="189"/>
      <c r="G395" s="189"/>
      <c r="H395" s="193"/>
    </row>
    <row r="396" spans="1:8" ht="15" hidden="1" customHeight="1" x14ac:dyDescent="0.3">
      <c r="A396" s="232"/>
      <c r="B396" s="189"/>
      <c r="C396" s="189"/>
      <c r="D396" s="237"/>
      <c r="E396" s="189"/>
      <c r="F396" s="189"/>
      <c r="G396" s="189"/>
      <c r="H396" s="193"/>
    </row>
    <row r="397" spans="1:8" ht="15" hidden="1" customHeight="1" x14ac:dyDescent="0.3">
      <c r="A397" s="232"/>
      <c r="B397" s="189"/>
      <c r="C397" s="189"/>
      <c r="D397" s="237"/>
      <c r="E397" s="189"/>
      <c r="F397" s="189"/>
      <c r="G397" s="189"/>
      <c r="H397" s="193"/>
    </row>
    <row r="398" spans="1:8" ht="15" hidden="1" customHeight="1" x14ac:dyDescent="0.3">
      <c r="A398" s="232"/>
      <c r="B398" s="189"/>
      <c r="C398" s="189"/>
      <c r="D398" s="237"/>
      <c r="E398" s="189"/>
      <c r="F398" s="189"/>
      <c r="G398" s="189"/>
      <c r="H398" s="193"/>
    </row>
    <row r="399" spans="1:8" ht="15" hidden="1" customHeight="1" x14ac:dyDescent="0.3">
      <c r="A399" s="232"/>
      <c r="B399" s="189"/>
      <c r="C399" s="189"/>
      <c r="D399" s="237"/>
      <c r="E399" s="189"/>
      <c r="F399" s="189"/>
      <c r="G399" s="189"/>
      <c r="H399" s="193"/>
    </row>
    <row r="400" spans="1:8" ht="15" hidden="1" customHeight="1" x14ac:dyDescent="0.3">
      <c r="A400" s="232"/>
      <c r="B400" s="189"/>
      <c r="C400" s="189"/>
      <c r="D400" s="237"/>
      <c r="E400" s="189"/>
      <c r="F400" s="189"/>
      <c r="G400" s="189"/>
      <c r="H400" s="193"/>
    </row>
    <row r="401" spans="1:8" ht="15" hidden="1" customHeight="1" x14ac:dyDescent="0.3">
      <c r="A401" s="232"/>
      <c r="B401" s="189"/>
      <c r="C401" s="189"/>
      <c r="D401" s="237"/>
      <c r="E401" s="189"/>
      <c r="F401" s="189"/>
      <c r="G401" s="189"/>
      <c r="H401" s="193"/>
    </row>
    <row r="402" spans="1:8" ht="15" hidden="1" customHeight="1" x14ac:dyDescent="0.3">
      <c r="A402" s="232"/>
      <c r="B402" s="189"/>
      <c r="C402" s="189"/>
      <c r="D402" s="237"/>
      <c r="E402" s="189"/>
      <c r="F402" s="189"/>
      <c r="G402" s="189"/>
      <c r="H402" s="193"/>
    </row>
    <row r="403" spans="1:8" ht="15" hidden="1" customHeight="1" x14ac:dyDescent="0.3">
      <c r="A403" s="232"/>
      <c r="B403" s="189"/>
      <c r="C403" s="189"/>
      <c r="D403" s="237"/>
      <c r="E403" s="189"/>
      <c r="F403" s="189"/>
      <c r="G403" s="189"/>
      <c r="H403" s="193"/>
    </row>
    <row r="404" spans="1:8" ht="15" hidden="1" customHeight="1" x14ac:dyDescent="0.3">
      <c r="A404" s="232"/>
      <c r="B404" s="189"/>
      <c r="C404" s="189"/>
      <c r="D404" s="237"/>
      <c r="E404" s="189"/>
      <c r="F404" s="189"/>
      <c r="G404" s="189"/>
      <c r="H404" s="193"/>
    </row>
    <row r="405" spans="1:8" ht="15" hidden="1" customHeight="1" x14ac:dyDescent="0.3">
      <c r="A405" s="232"/>
      <c r="B405" s="189"/>
      <c r="C405" s="189"/>
      <c r="D405" s="237"/>
      <c r="E405" s="189"/>
      <c r="F405" s="189"/>
      <c r="G405" s="189"/>
      <c r="H405" s="193"/>
    </row>
    <row r="406" spans="1:8" ht="15" hidden="1" customHeight="1" x14ac:dyDescent="0.3">
      <c r="A406" s="232"/>
      <c r="B406" s="189"/>
      <c r="C406" s="189"/>
      <c r="D406" s="237"/>
      <c r="E406" s="189"/>
      <c r="F406" s="189"/>
      <c r="G406" s="189"/>
      <c r="H406" s="193"/>
    </row>
    <row r="407" spans="1:8" ht="15" hidden="1" customHeight="1" x14ac:dyDescent="0.3">
      <c r="A407" s="232"/>
      <c r="B407" s="189"/>
      <c r="C407" s="189"/>
      <c r="D407" s="237"/>
      <c r="E407" s="189"/>
      <c r="F407" s="189"/>
      <c r="G407" s="189"/>
      <c r="H407" s="193"/>
    </row>
    <row r="408" spans="1:8" ht="15" hidden="1" customHeight="1" x14ac:dyDescent="0.3">
      <c r="A408" s="232"/>
      <c r="B408" s="189"/>
      <c r="C408" s="189"/>
      <c r="D408" s="237"/>
      <c r="E408" s="189"/>
      <c r="F408" s="189"/>
      <c r="G408" s="189"/>
      <c r="H408" s="193"/>
    </row>
    <row r="409" spans="1:8" ht="15" hidden="1" customHeight="1" x14ac:dyDescent="0.3">
      <c r="A409" s="232"/>
      <c r="B409" s="189"/>
      <c r="C409" s="189"/>
      <c r="D409" s="237"/>
      <c r="E409" s="189"/>
      <c r="F409" s="189"/>
      <c r="G409" s="189"/>
      <c r="H409" s="193"/>
    </row>
    <row r="410" spans="1:8" ht="15" hidden="1" customHeight="1" x14ac:dyDescent="0.3">
      <c r="A410" s="232"/>
      <c r="B410" s="189"/>
      <c r="C410" s="189"/>
      <c r="D410" s="237"/>
      <c r="E410" s="189"/>
      <c r="F410" s="189"/>
      <c r="G410" s="189"/>
      <c r="H410" s="193"/>
    </row>
    <row r="411" spans="1:8" ht="15" hidden="1" customHeight="1" x14ac:dyDescent="0.3">
      <c r="A411" s="232"/>
      <c r="B411" s="189"/>
      <c r="C411" s="189"/>
      <c r="D411" s="237"/>
      <c r="E411" s="189"/>
      <c r="F411" s="189"/>
      <c r="G411" s="189"/>
      <c r="H411" s="193"/>
    </row>
    <row r="412" spans="1:8" ht="15" hidden="1" customHeight="1" x14ac:dyDescent="0.3">
      <c r="A412" s="232"/>
      <c r="B412" s="189"/>
      <c r="C412" s="189"/>
      <c r="D412" s="237"/>
      <c r="E412" s="189"/>
      <c r="F412" s="189"/>
      <c r="G412" s="189"/>
      <c r="H412" s="193"/>
    </row>
    <row r="413" spans="1:8" ht="15" hidden="1" customHeight="1" x14ac:dyDescent="0.3">
      <c r="A413" s="232"/>
      <c r="B413" s="189"/>
      <c r="C413" s="189"/>
      <c r="D413" s="237"/>
      <c r="E413" s="189"/>
      <c r="F413" s="189"/>
      <c r="G413" s="189"/>
      <c r="H413" s="193"/>
    </row>
    <row r="414" spans="1:8" ht="15" hidden="1" customHeight="1" x14ac:dyDescent="0.3">
      <c r="A414" s="232"/>
      <c r="B414" s="189"/>
      <c r="C414" s="189"/>
      <c r="D414" s="237"/>
      <c r="E414" s="189"/>
      <c r="F414" s="189"/>
      <c r="G414" s="189"/>
      <c r="H414" s="193"/>
    </row>
    <row r="415" spans="1:8" ht="15" hidden="1" customHeight="1" x14ac:dyDescent="0.3">
      <c r="A415" s="232"/>
      <c r="B415" s="189"/>
      <c r="C415" s="189"/>
      <c r="D415" s="237"/>
      <c r="E415" s="189"/>
      <c r="F415" s="189"/>
      <c r="G415" s="189"/>
      <c r="H415" s="193"/>
    </row>
    <row r="416" spans="1:8" ht="15" hidden="1" customHeight="1" x14ac:dyDescent="0.3">
      <c r="A416" s="232"/>
      <c r="B416" s="189"/>
      <c r="C416" s="189"/>
      <c r="D416" s="237"/>
      <c r="E416" s="189"/>
      <c r="F416" s="189"/>
      <c r="G416" s="189"/>
      <c r="H416" s="193"/>
    </row>
    <row r="417" spans="1:8" ht="15" hidden="1" customHeight="1" x14ac:dyDescent="0.3">
      <c r="A417" s="232"/>
      <c r="B417" s="189"/>
      <c r="C417" s="189"/>
      <c r="D417" s="237"/>
      <c r="E417" s="189"/>
      <c r="F417" s="189"/>
      <c r="G417" s="189"/>
      <c r="H417" s="193"/>
    </row>
    <row r="418" spans="1:8" ht="15" hidden="1" customHeight="1" x14ac:dyDescent="0.3">
      <c r="A418" s="232"/>
      <c r="B418" s="189"/>
      <c r="C418" s="189"/>
      <c r="D418" s="237"/>
      <c r="E418" s="189"/>
      <c r="F418" s="189"/>
      <c r="G418" s="189"/>
      <c r="H418" s="193"/>
    </row>
    <row r="419" spans="1:8" ht="15" hidden="1" customHeight="1" x14ac:dyDescent="0.3">
      <c r="A419" s="232"/>
      <c r="B419" s="189"/>
      <c r="C419" s="189"/>
      <c r="D419" s="237"/>
      <c r="E419" s="189"/>
      <c r="F419" s="189"/>
      <c r="G419" s="189"/>
      <c r="H419" s="193"/>
    </row>
    <row r="420" spans="1:8" ht="15" hidden="1" customHeight="1" x14ac:dyDescent="0.3">
      <c r="A420" s="232"/>
      <c r="B420" s="189"/>
      <c r="C420" s="189"/>
      <c r="D420" s="237"/>
      <c r="E420" s="189"/>
      <c r="F420" s="189"/>
      <c r="G420" s="189"/>
      <c r="H420" s="193"/>
    </row>
    <row r="421" spans="1:8" ht="15" hidden="1" customHeight="1" x14ac:dyDescent="0.3">
      <c r="A421" s="232"/>
      <c r="B421" s="189"/>
      <c r="C421" s="189"/>
      <c r="D421" s="237"/>
      <c r="E421" s="189"/>
      <c r="F421" s="189"/>
      <c r="G421" s="189"/>
      <c r="H421" s="193"/>
    </row>
    <row r="422" spans="1:8" ht="15" hidden="1" customHeight="1" x14ac:dyDescent="0.3">
      <c r="A422" s="232"/>
      <c r="B422" s="189"/>
      <c r="C422" s="189"/>
      <c r="D422" s="237"/>
      <c r="E422" s="189"/>
      <c r="F422" s="189"/>
      <c r="G422" s="189"/>
      <c r="H422" s="193"/>
    </row>
    <row r="423" spans="1:8" ht="15" hidden="1" customHeight="1" x14ac:dyDescent="0.3">
      <c r="A423" s="232"/>
      <c r="B423" s="189"/>
      <c r="C423" s="189"/>
      <c r="D423" s="237"/>
      <c r="E423" s="189"/>
      <c r="F423" s="189"/>
      <c r="G423" s="189"/>
      <c r="H423" s="193"/>
    </row>
    <row r="424" spans="1:8" ht="15" hidden="1" customHeight="1" x14ac:dyDescent="0.3">
      <c r="A424" s="232"/>
      <c r="B424" s="189"/>
      <c r="C424" s="189"/>
      <c r="D424" s="237"/>
      <c r="E424" s="189"/>
      <c r="F424" s="189"/>
      <c r="G424" s="189"/>
      <c r="H424" s="193"/>
    </row>
    <row r="425" spans="1:8" ht="15" hidden="1" customHeight="1" x14ac:dyDescent="0.3">
      <c r="A425" s="232"/>
      <c r="B425" s="189"/>
      <c r="C425" s="189"/>
      <c r="D425" s="237"/>
      <c r="E425" s="189"/>
      <c r="F425" s="189"/>
      <c r="G425" s="189"/>
      <c r="H425" s="193"/>
    </row>
    <row r="426" spans="1:8" ht="15" hidden="1" customHeight="1" x14ac:dyDescent="0.3">
      <c r="A426" s="232"/>
      <c r="B426" s="189"/>
      <c r="C426" s="189"/>
      <c r="D426" s="237"/>
      <c r="E426" s="189"/>
      <c r="F426" s="189"/>
      <c r="G426" s="189"/>
      <c r="H426" s="193"/>
    </row>
    <row r="427" spans="1:8" ht="15" hidden="1" customHeight="1" x14ac:dyDescent="0.3">
      <c r="A427" s="232"/>
      <c r="B427" s="189"/>
      <c r="C427" s="189"/>
      <c r="D427" s="237"/>
      <c r="E427" s="189"/>
      <c r="F427" s="189"/>
      <c r="G427" s="189"/>
      <c r="H427" s="193"/>
    </row>
    <row r="428" spans="1:8" ht="15" hidden="1" customHeight="1" x14ac:dyDescent="0.3">
      <c r="A428" s="232"/>
      <c r="B428" s="189"/>
      <c r="C428" s="189"/>
      <c r="D428" s="237"/>
      <c r="E428" s="189"/>
      <c r="F428" s="189"/>
      <c r="G428" s="189"/>
      <c r="H428" s="193"/>
    </row>
    <row r="429" spans="1:8" ht="15" hidden="1" customHeight="1" x14ac:dyDescent="0.3">
      <c r="A429" s="232"/>
      <c r="B429" s="189"/>
      <c r="C429" s="189"/>
      <c r="D429" s="237"/>
      <c r="E429" s="189"/>
      <c r="F429" s="189"/>
      <c r="G429" s="189"/>
      <c r="H429" s="193"/>
    </row>
    <row r="430" spans="1:8" ht="15" hidden="1" customHeight="1" x14ac:dyDescent="0.3">
      <c r="A430" s="232"/>
      <c r="B430" s="189"/>
      <c r="C430" s="189"/>
      <c r="D430" s="237"/>
      <c r="E430" s="189"/>
      <c r="F430" s="189"/>
      <c r="G430" s="189"/>
      <c r="H430" s="193"/>
    </row>
    <row r="431" spans="1:8" ht="15" hidden="1" customHeight="1" x14ac:dyDescent="0.3">
      <c r="A431" s="232"/>
      <c r="B431" s="189"/>
      <c r="C431" s="189"/>
      <c r="D431" s="237"/>
      <c r="E431" s="189"/>
      <c r="F431" s="189"/>
      <c r="G431" s="189"/>
      <c r="H431" s="193"/>
    </row>
    <row r="432" spans="1:8" ht="15" hidden="1" customHeight="1" x14ac:dyDescent="0.3">
      <c r="A432" s="232"/>
      <c r="B432" s="189"/>
      <c r="C432" s="189"/>
      <c r="D432" s="237"/>
      <c r="E432" s="189"/>
      <c r="F432" s="189"/>
      <c r="G432" s="189"/>
      <c r="H432" s="193"/>
    </row>
    <row r="433" spans="1:8" ht="15" hidden="1" customHeight="1" x14ac:dyDescent="0.3">
      <c r="A433" s="232"/>
      <c r="B433" s="189"/>
      <c r="C433" s="189"/>
      <c r="D433" s="237"/>
      <c r="E433" s="189"/>
      <c r="F433" s="189"/>
      <c r="G433" s="189"/>
      <c r="H433" s="193"/>
    </row>
    <row r="434" spans="1:8" ht="15" hidden="1" customHeight="1" x14ac:dyDescent="0.3">
      <c r="A434" s="232"/>
      <c r="B434" s="189"/>
      <c r="C434" s="189"/>
      <c r="D434" s="237"/>
      <c r="E434" s="189"/>
      <c r="F434" s="189"/>
      <c r="G434" s="189"/>
      <c r="H434" s="193"/>
    </row>
    <row r="435" spans="1:8" ht="15" hidden="1" customHeight="1" x14ac:dyDescent="0.3">
      <c r="A435" s="232"/>
      <c r="B435" s="189"/>
      <c r="C435" s="189"/>
      <c r="D435" s="237"/>
      <c r="E435" s="189"/>
      <c r="F435" s="189"/>
      <c r="G435" s="189"/>
      <c r="H435" s="193"/>
    </row>
    <row r="436" spans="1:8" ht="15" hidden="1" customHeight="1" x14ac:dyDescent="0.3">
      <c r="A436" s="232"/>
      <c r="B436" s="189"/>
      <c r="C436" s="189"/>
      <c r="D436" s="237"/>
      <c r="E436" s="189"/>
      <c r="F436" s="189"/>
      <c r="G436" s="189"/>
      <c r="H436" s="193"/>
    </row>
    <row r="437" spans="1:8" ht="15" hidden="1" customHeight="1" x14ac:dyDescent="0.3">
      <c r="A437" s="232"/>
      <c r="B437" s="189"/>
      <c r="C437" s="189"/>
      <c r="D437" s="237"/>
      <c r="E437" s="189"/>
      <c r="F437" s="189"/>
      <c r="G437" s="189"/>
      <c r="H437" s="193"/>
    </row>
    <row r="438" spans="1:8" ht="15" hidden="1" customHeight="1" x14ac:dyDescent="0.3">
      <c r="A438" s="232"/>
      <c r="B438" s="189"/>
      <c r="C438" s="189"/>
      <c r="D438" s="237"/>
      <c r="E438" s="189"/>
      <c r="F438" s="189"/>
      <c r="G438" s="189"/>
      <c r="H438" s="193"/>
    </row>
    <row r="439" spans="1:8" ht="15" hidden="1" customHeight="1" x14ac:dyDescent="0.3">
      <c r="A439" s="232"/>
      <c r="B439" s="189"/>
      <c r="C439" s="189"/>
      <c r="D439" s="237"/>
      <c r="E439" s="189"/>
      <c r="F439" s="189"/>
      <c r="G439" s="189"/>
      <c r="H439" s="193"/>
    </row>
    <row r="440" spans="1:8" ht="15" hidden="1" customHeight="1" x14ac:dyDescent="0.3">
      <c r="A440" s="232"/>
      <c r="B440" s="189"/>
      <c r="C440" s="189"/>
      <c r="D440" s="237"/>
      <c r="E440" s="189"/>
      <c r="F440" s="189"/>
      <c r="G440" s="189"/>
      <c r="H440" s="193"/>
    </row>
    <row r="441" spans="1:8" ht="15" hidden="1" customHeight="1" x14ac:dyDescent="0.3">
      <c r="A441" s="232"/>
      <c r="B441" s="189"/>
      <c r="C441" s="189"/>
      <c r="D441" s="237"/>
      <c r="E441" s="189"/>
      <c r="F441" s="189"/>
      <c r="G441" s="189"/>
      <c r="H441" s="193"/>
    </row>
    <row r="442" spans="1:8" ht="15" hidden="1" customHeight="1" x14ac:dyDescent="0.3">
      <c r="A442" s="232"/>
      <c r="B442" s="189"/>
      <c r="C442" s="189"/>
      <c r="D442" s="237"/>
      <c r="E442" s="189"/>
      <c r="F442" s="189"/>
      <c r="G442" s="189"/>
      <c r="H442" s="193"/>
    </row>
    <row r="443" spans="1:8" ht="15" hidden="1" customHeight="1" x14ac:dyDescent="0.3">
      <c r="A443" s="232"/>
      <c r="B443" s="189"/>
      <c r="C443" s="189"/>
      <c r="D443" s="237"/>
      <c r="E443" s="189"/>
      <c r="F443" s="189"/>
      <c r="G443" s="189"/>
      <c r="H443" s="193"/>
    </row>
    <row r="444" spans="1:8" ht="15" hidden="1" customHeight="1" x14ac:dyDescent="0.3">
      <c r="A444" s="232"/>
      <c r="B444" s="189"/>
      <c r="C444" s="189"/>
      <c r="D444" s="237"/>
      <c r="E444" s="189"/>
      <c r="F444" s="189"/>
      <c r="G444" s="189"/>
      <c r="H444" s="193"/>
    </row>
    <row r="445" spans="1:8" ht="15" hidden="1" customHeight="1" x14ac:dyDescent="0.3">
      <c r="A445" s="232"/>
      <c r="B445" s="189"/>
      <c r="C445" s="189"/>
      <c r="D445" s="237"/>
      <c r="E445" s="189"/>
      <c r="F445" s="189"/>
      <c r="G445" s="189"/>
      <c r="H445" s="193"/>
    </row>
    <row r="446" spans="1:8" ht="15" hidden="1" customHeight="1" x14ac:dyDescent="0.3">
      <c r="A446" s="232"/>
      <c r="B446" s="189"/>
      <c r="C446" s="189"/>
      <c r="D446" s="237"/>
      <c r="E446" s="189"/>
      <c r="F446" s="189"/>
      <c r="G446" s="189"/>
      <c r="H446" s="193"/>
    </row>
    <row r="447" spans="1:8" ht="15" hidden="1" customHeight="1" x14ac:dyDescent="0.3">
      <c r="A447" s="232"/>
      <c r="B447" s="189"/>
      <c r="C447" s="189"/>
      <c r="D447" s="237"/>
      <c r="E447" s="189"/>
      <c r="F447" s="189"/>
      <c r="G447" s="189"/>
      <c r="H447" s="193"/>
    </row>
    <row r="448" spans="1:8" ht="15" hidden="1" customHeight="1" x14ac:dyDescent="0.3">
      <c r="A448" s="232"/>
      <c r="B448" s="189"/>
      <c r="C448" s="189"/>
      <c r="D448" s="237"/>
      <c r="E448" s="189"/>
      <c r="F448" s="189"/>
      <c r="G448" s="189"/>
      <c r="H448" s="193"/>
    </row>
    <row r="449" spans="1:8" ht="15" hidden="1" customHeight="1" x14ac:dyDescent="0.3">
      <c r="A449" s="232"/>
      <c r="B449" s="189"/>
      <c r="C449" s="189"/>
      <c r="D449" s="237"/>
      <c r="E449" s="189"/>
      <c r="F449" s="189"/>
      <c r="G449" s="189"/>
      <c r="H449" s="193"/>
    </row>
    <row r="450" spans="1:8" ht="15" hidden="1" customHeight="1" x14ac:dyDescent="0.3">
      <c r="A450" s="232"/>
      <c r="B450" s="189"/>
      <c r="C450" s="189"/>
      <c r="D450" s="237"/>
      <c r="E450" s="189"/>
      <c r="F450" s="189"/>
      <c r="G450" s="189"/>
      <c r="H450" s="193"/>
    </row>
    <row r="451" spans="1:8" ht="15" hidden="1" customHeight="1" x14ac:dyDescent="0.3">
      <c r="A451" s="232"/>
      <c r="B451" s="189"/>
      <c r="C451" s="189"/>
      <c r="D451" s="237"/>
      <c r="E451" s="189"/>
      <c r="F451" s="189"/>
      <c r="G451" s="189"/>
      <c r="H451" s="193"/>
    </row>
    <row r="452" spans="1:8" ht="15" hidden="1" customHeight="1" x14ac:dyDescent="0.3">
      <c r="A452" s="232"/>
      <c r="B452" s="189"/>
      <c r="C452" s="189"/>
      <c r="D452" s="237"/>
      <c r="E452" s="189"/>
      <c r="F452" s="189"/>
      <c r="G452" s="189"/>
      <c r="H452" s="193"/>
    </row>
    <row r="453" spans="1:8" ht="15" hidden="1" customHeight="1" x14ac:dyDescent="0.3">
      <c r="A453" s="232"/>
      <c r="B453" s="189"/>
      <c r="C453" s="189"/>
      <c r="D453" s="237"/>
      <c r="E453" s="189"/>
      <c r="F453" s="189"/>
      <c r="G453" s="189"/>
      <c r="H453" s="193"/>
    </row>
    <row r="454" spans="1:8" ht="15" hidden="1" customHeight="1" x14ac:dyDescent="0.3">
      <c r="A454" s="232"/>
      <c r="B454" s="189"/>
      <c r="C454" s="189"/>
      <c r="D454" s="237"/>
      <c r="E454" s="189"/>
      <c r="F454" s="189"/>
      <c r="G454" s="189"/>
      <c r="H454" s="193"/>
    </row>
    <row r="455" spans="1:8" ht="15" hidden="1" customHeight="1" x14ac:dyDescent="0.3">
      <c r="A455" s="232"/>
      <c r="B455" s="189"/>
      <c r="C455" s="189"/>
      <c r="D455" s="237"/>
      <c r="E455" s="189"/>
      <c r="F455" s="189"/>
      <c r="G455" s="189"/>
      <c r="H455" s="193"/>
    </row>
    <row r="456" spans="1:8" ht="15" hidden="1" customHeight="1" x14ac:dyDescent="0.3">
      <c r="A456" s="232"/>
      <c r="B456" s="189"/>
      <c r="C456" s="189"/>
      <c r="D456" s="237"/>
      <c r="E456" s="189"/>
      <c r="F456" s="189"/>
      <c r="G456" s="189"/>
      <c r="H456" s="193"/>
    </row>
    <row r="457" spans="1:8" ht="15" hidden="1" customHeight="1" x14ac:dyDescent="0.3">
      <c r="A457" s="232"/>
      <c r="B457" s="189"/>
      <c r="C457" s="189"/>
      <c r="D457" s="237"/>
      <c r="E457" s="189"/>
      <c r="F457" s="189"/>
      <c r="G457" s="189"/>
      <c r="H457" s="193"/>
    </row>
    <row r="458" spans="1:8" ht="15" hidden="1" customHeight="1" x14ac:dyDescent="0.3">
      <c r="A458" s="232"/>
      <c r="B458" s="189"/>
      <c r="C458" s="189"/>
      <c r="D458" s="237"/>
      <c r="E458" s="189"/>
      <c r="F458" s="189"/>
      <c r="G458" s="189"/>
      <c r="H458" s="193"/>
    </row>
    <row r="459" spans="1:8" ht="15" hidden="1" customHeight="1" x14ac:dyDescent="0.3">
      <c r="A459" s="232"/>
      <c r="B459" s="189"/>
      <c r="C459" s="189"/>
      <c r="D459" s="237"/>
      <c r="E459" s="189"/>
      <c r="F459" s="189"/>
      <c r="G459" s="189"/>
      <c r="H459" s="193"/>
    </row>
    <row r="460" spans="1:8" ht="15" hidden="1" customHeight="1" x14ac:dyDescent="0.3">
      <c r="A460" s="232"/>
      <c r="B460" s="189"/>
      <c r="C460" s="189"/>
      <c r="D460" s="237"/>
      <c r="E460" s="189"/>
      <c r="F460" s="189"/>
      <c r="G460" s="189"/>
      <c r="H460" s="193"/>
    </row>
    <row r="461" spans="1:8" ht="15" hidden="1" customHeight="1" x14ac:dyDescent="0.3">
      <c r="A461" s="232"/>
      <c r="B461" s="189"/>
      <c r="C461" s="189"/>
      <c r="D461" s="237"/>
      <c r="E461" s="189"/>
      <c r="F461" s="189"/>
      <c r="G461" s="189"/>
      <c r="H461" s="193"/>
    </row>
    <row r="462" spans="1:8" ht="15" hidden="1" customHeight="1" x14ac:dyDescent="0.3">
      <c r="A462" s="232"/>
      <c r="B462" s="189"/>
      <c r="C462" s="189"/>
      <c r="D462" s="237"/>
      <c r="E462" s="189"/>
      <c r="F462" s="189"/>
      <c r="G462" s="189"/>
      <c r="H462" s="193"/>
    </row>
    <row r="463" spans="1:8" ht="15" hidden="1" customHeight="1" x14ac:dyDescent="0.3">
      <c r="A463" s="232"/>
      <c r="B463" s="189"/>
      <c r="C463" s="189"/>
      <c r="D463" s="237"/>
      <c r="E463" s="189"/>
      <c r="F463" s="189"/>
      <c r="G463" s="189"/>
      <c r="H463" s="193"/>
    </row>
    <row r="464" spans="1:8" ht="15" hidden="1" customHeight="1" x14ac:dyDescent="0.3">
      <c r="A464" s="232"/>
      <c r="B464" s="189"/>
      <c r="C464" s="189"/>
      <c r="D464" s="237"/>
      <c r="E464" s="189"/>
      <c r="F464" s="189"/>
      <c r="G464" s="189"/>
      <c r="H464" s="193"/>
    </row>
    <row r="465" spans="1:8" ht="15" hidden="1" customHeight="1" x14ac:dyDescent="0.3">
      <c r="A465" s="232"/>
      <c r="B465" s="189"/>
      <c r="C465" s="189"/>
      <c r="D465" s="237"/>
      <c r="E465" s="189"/>
      <c r="F465" s="189"/>
      <c r="G465" s="189"/>
      <c r="H465" s="193"/>
    </row>
    <row r="466" spans="1:8" ht="15" hidden="1" customHeight="1" x14ac:dyDescent="0.3">
      <c r="A466" s="232"/>
      <c r="B466" s="189"/>
      <c r="C466" s="189"/>
      <c r="D466" s="237"/>
      <c r="E466" s="189"/>
      <c r="F466" s="189"/>
      <c r="G466" s="189"/>
      <c r="H466" s="193"/>
    </row>
    <row r="467" spans="1:8" ht="15" hidden="1" customHeight="1" x14ac:dyDescent="0.3">
      <c r="A467" s="232"/>
      <c r="B467" s="189"/>
      <c r="C467" s="189"/>
      <c r="D467" s="237"/>
      <c r="E467" s="189"/>
      <c r="F467" s="189"/>
      <c r="G467" s="189"/>
      <c r="H467" s="193"/>
    </row>
    <row r="468" spans="1:8" ht="15" hidden="1" customHeight="1" x14ac:dyDescent="0.3">
      <c r="A468" s="232"/>
      <c r="B468" s="189"/>
      <c r="C468" s="189"/>
      <c r="D468" s="237"/>
      <c r="E468" s="189"/>
      <c r="F468" s="189"/>
      <c r="G468" s="189"/>
      <c r="H468" s="193"/>
    </row>
    <row r="469" spans="1:8" ht="15" hidden="1" customHeight="1" x14ac:dyDescent="0.3">
      <c r="A469" s="232"/>
      <c r="B469" s="189"/>
      <c r="C469" s="189"/>
      <c r="D469" s="237"/>
      <c r="E469" s="189"/>
      <c r="F469" s="189"/>
      <c r="G469" s="189"/>
      <c r="H469" s="193"/>
    </row>
    <row r="470" spans="1:8" ht="15" hidden="1" customHeight="1" x14ac:dyDescent="0.3">
      <c r="A470" s="232"/>
      <c r="B470" s="189"/>
      <c r="C470" s="189"/>
      <c r="D470" s="237"/>
      <c r="E470" s="189"/>
      <c r="F470" s="189"/>
      <c r="G470" s="189"/>
      <c r="H470" s="193"/>
    </row>
    <row r="471" spans="1:8" ht="15" hidden="1" customHeight="1" x14ac:dyDescent="0.3">
      <c r="A471" s="232"/>
      <c r="B471" s="189"/>
      <c r="C471" s="189"/>
      <c r="D471" s="237"/>
      <c r="E471" s="189"/>
      <c r="F471" s="189"/>
      <c r="G471" s="189"/>
      <c r="H471" s="193"/>
    </row>
    <row r="472" spans="1:8" ht="15" hidden="1" customHeight="1" x14ac:dyDescent="0.3">
      <c r="A472" s="232"/>
      <c r="B472" s="189"/>
      <c r="C472" s="189"/>
      <c r="D472" s="237"/>
      <c r="E472" s="189"/>
      <c r="F472" s="189"/>
      <c r="G472" s="189"/>
      <c r="H472" s="193"/>
    </row>
    <row r="473" spans="1:8" ht="15" hidden="1" customHeight="1" x14ac:dyDescent="0.3">
      <c r="A473" s="232"/>
      <c r="B473" s="189"/>
      <c r="C473" s="189"/>
      <c r="D473" s="237"/>
      <c r="E473" s="189"/>
      <c r="F473" s="189"/>
      <c r="G473" s="189"/>
      <c r="H473" s="193"/>
    </row>
    <row r="474" spans="1:8" ht="15" hidden="1" customHeight="1" x14ac:dyDescent="0.3">
      <c r="A474" s="232"/>
      <c r="B474" s="189"/>
      <c r="C474" s="189"/>
      <c r="D474" s="237"/>
      <c r="E474" s="189"/>
      <c r="F474" s="189"/>
      <c r="G474" s="189"/>
      <c r="H474" s="193"/>
    </row>
    <row r="475" spans="1:8" ht="15" hidden="1" customHeight="1" x14ac:dyDescent="0.3">
      <c r="A475" s="232"/>
      <c r="B475" s="189"/>
      <c r="C475" s="189"/>
      <c r="D475" s="237"/>
      <c r="E475" s="189"/>
      <c r="F475" s="189"/>
      <c r="G475" s="189"/>
      <c r="H475" s="193"/>
    </row>
    <row r="476" spans="1:8" ht="15" hidden="1" customHeight="1" x14ac:dyDescent="0.3">
      <c r="A476" s="232"/>
      <c r="B476" s="189"/>
      <c r="C476" s="189"/>
      <c r="D476" s="237"/>
      <c r="E476" s="189"/>
      <c r="F476" s="189"/>
      <c r="G476" s="189"/>
      <c r="H476" s="193"/>
    </row>
    <row r="477" spans="1:8" ht="15" hidden="1" customHeight="1" x14ac:dyDescent="0.3">
      <c r="A477" s="232"/>
      <c r="B477" s="189"/>
      <c r="C477" s="189"/>
      <c r="D477" s="237"/>
      <c r="E477" s="189"/>
      <c r="F477" s="189"/>
      <c r="G477" s="189"/>
      <c r="H477" s="193"/>
    </row>
    <row r="478" spans="1:8" ht="15" hidden="1" customHeight="1" x14ac:dyDescent="0.3">
      <c r="A478" s="232"/>
      <c r="B478" s="189"/>
      <c r="C478" s="189"/>
      <c r="D478" s="237"/>
      <c r="E478" s="189"/>
      <c r="F478" s="189"/>
      <c r="G478" s="189"/>
      <c r="H478" s="193"/>
    </row>
    <row r="479" spans="1:8" ht="15" hidden="1" customHeight="1" x14ac:dyDescent="0.3">
      <c r="A479" s="232"/>
      <c r="B479" s="189"/>
      <c r="C479" s="189"/>
      <c r="D479" s="237"/>
      <c r="E479" s="189"/>
      <c r="F479" s="189"/>
      <c r="G479" s="189"/>
      <c r="H479" s="193"/>
    </row>
    <row r="480" spans="1:8" ht="15" hidden="1" customHeight="1" x14ac:dyDescent="0.3">
      <c r="A480" s="232"/>
      <c r="B480" s="189"/>
      <c r="C480" s="189"/>
      <c r="D480" s="237"/>
      <c r="E480" s="189"/>
      <c r="F480" s="189"/>
      <c r="G480" s="189"/>
      <c r="H480" s="193"/>
    </row>
    <row r="481" spans="1:8" ht="15" hidden="1" customHeight="1" x14ac:dyDescent="0.3">
      <c r="A481" s="232"/>
      <c r="B481" s="189"/>
      <c r="C481" s="189"/>
      <c r="D481" s="237"/>
      <c r="E481" s="189"/>
      <c r="F481" s="189"/>
      <c r="G481" s="189"/>
      <c r="H481" s="193"/>
    </row>
    <row r="482" spans="1:8" ht="15" hidden="1" customHeight="1" x14ac:dyDescent="0.3">
      <c r="A482" s="232"/>
      <c r="B482" s="189"/>
      <c r="C482" s="189"/>
      <c r="D482" s="237"/>
      <c r="E482" s="189"/>
      <c r="F482" s="189"/>
      <c r="G482" s="189"/>
      <c r="H482" s="193"/>
    </row>
    <row r="483" spans="1:8" ht="15" hidden="1" customHeight="1" x14ac:dyDescent="0.3">
      <c r="A483" s="232"/>
      <c r="B483" s="189"/>
      <c r="C483" s="189"/>
      <c r="D483" s="237"/>
      <c r="E483" s="189"/>
      <c r="F483" s="189"/>
      <c r="G483" s="189"/>
      <c r="H483" s="193"/>
    </row>
    <row r="484" spans="1:8" ht="15" hidden="1" customHeight="1" x14ac:dyDescent="0.3">
      <c r="A484" s="232"/>
      <c r="B484" s="189"/>
      <c r="C484" s="189"/>
      <c r="D484" s="237"/>
      <c r="E484" s="189"/>
      <c r="F484" s="189"/>
      <c r="G484" s="189"/>
      <c r="H484" s="193"/>
    </row>
    <row r="485" spans="1:8" ht="15" hidden="1" customHeight="1" x14ac:dyDescent="0.3">
      <c r="A485" s="232"/>
      <c r="B485" s="189"/>
      <c r="C485" s="189"/>
      <c r="D485" s="237"/>
      <c r="E485" s="189"/>
      <c r="F485" s="189"/>
      <c r="G485" s="189"/>
      <c r="H485" s="193"/>
    </row>
    <row r="486" spans="1:8" ht="15" hidden="1" customHeight="1" x14ac:dyDescent="0.3">
      <c r="A486" s="232"/>
      <c r="B486" s="189"/>
      <c r="C486" s="189"/>
      <c r="D486" s="237"/>
      <c r="E486" s="189"/>
      <c r="F486" s="189"/>
      <c r="G486" s="189"/>
      <c r="H486" s="193"/>
    </row>
    <row r="487" spans="1:8" ht="15" hidden="1" customHeight="1" x14ac:dyDescent="0.3">
      <c r="A487" s="232"/>
      <c r="B487" s="189"/>
      <c r="C487" s="189"/>
      <c r="D487" s="237"/>
      <c r="E487" s="189"/>
      <c r="F487" s="189"/>
      <c r="G487" s="189"/>
      <c r="H487" s="193"/>
    </row>
    <row r="488" spans="1:8" ht="15" hidden="1" customHeight="1" x14ac:dyDescent="0.3">
      <c r="A488" s="232"/>
      <c r="B488" s="189"/>
      <c r="C488" s="189"/>
      <c r="D488" s="237"/>
      <c r="E488" s="189"/>
      <c r="F488" s="189"/>
      <c r="G488" s="189"/>
      <c r="H488" s="193"/>
    </row>
    <row r="489" spans="1:8" ht="15" hidden="1" customHeight="1" x14ac:dyDescent="0.3">
      <c r="A489" s="232"/>
      <c r="B489" s="189"/>
      <c r="C489" s="189"/>
      <c r="D489" s="237"/>
      <c r="E489" s="189"/>
      <c r="F489" s="189"/>
      <c r="G489" s="189"/>
      <c r="H489" s="193"/>
    </row>
    <row r="490" spans="1:8" ht="15" hidden="1" customHeight="1" x14ac:dyDescent="0.3">
      <c r="A490" s="232"/>
      <c r="B490" s="189"/>
      <c r="C490" s="189"/>
      <c r="D490" s="237"/>
      <c r="E490" s="189"/>
      <c r="F490" s="189"/>
      <c r="G490" s="189"/>
      <c r="H490" s="193"/>
    </row>
    <row r="491" spans="1:8" ht="15" hidden="1" customHeight="1" x14ac:dyDescent="0.3">
      <c r="A491" s="232"/>
      <c r="B491" s="189"/>
      <c r="C491" s="189"/>
      <c r="D491" s="237"/>
      <c r="E491" s="189"/>
      <c r="F491" s="189"/>
      <c r="G491" s="189"/>
      <c r="H491" s="193"/>
    </row>
    <row r="492" spans="1:8" ht="15" hidden="1" customHeight="1" x14ac:dyDescent="0.3">
      <c r="A492" s="232"/>
      <c r="B492" s="189"/>
      <c r="C492" s="189"/>
      <c r="D492" s="237"/>
      <c r="E492" s="189"/>
      <c r="F492" s="189"/>
      <c r="G492" s="189"/>
      <c r="H492" s="193"/>
    </row>
    <row r="493" spans="1:8" ht="15" hidden="1" customHeight="1" x14ac:dyDescent="0.3">
      <c r="A493" s="232"/>
      <c r="B493" s="189"/>
      <c r="C493" s="189"/>
      <c r="D493" s="237"/>
      <c r="E493" s="189"/>
      <c r="F493" s="189"/>
      <c r="G493" s="189"/>
      <c r="H493" s="193"/>
    </row>
    <row r="494" spans="1:8" ht="15" hidden="1" customHeight="1" x14ac:dyDescent="0.3">
      <c r="A494" s="232"/>
      <c r="B494" s="189"/>
      <c r="C494" s="189"/>
      <c r="D494" s="237"/>
      <c r="E494" s="189"/>
      <c r="F494" s="189"/>
      <c r="G494" s="189"/>
      <c r="H494" s="193"/>
    </row>
    <row r="495" spans="1:8" ht="15" hidden="1" customHeight="1" x14ac:dyDescent="0.3">
      <c r="A495" s="232"/>
      <c r="B495" s="189"/>
      <c r="C495" s="189"/>
      <c r="D495" s="237"/>
      <c r="E495" s="189"/>
      <c r="F495" s="189"/>
      <c r="G495" s="189"/>
      <c r="H495" s="193"/>
    </row>
    <row r="496" spans="1:8" ht="15" hidden="1" customHeight="1" x14ac:dyDescent="0.3">
      <c r="A496" s="232"/>
      <c r="B496" s="189"/>
      <c r="C496" s="189"/>
      <c r="D496" s="237"/>
      <c r="E496" s="189"/>
      <c r="F496" s="189"/>
      <c r="G496" s="189"/>
      <c r="H496" s="193"/>
    </row>
    <row r="497" spans="1:8" ht="15" hidden="1" customHeight="1" x14ac:dyDescent="0.3">
      <c r="A497" s="232"/>
      <c r="B497" s="189"/>
      <c r="C497" s="189"/>
      <c r="D497" s="237"/>
      <c r="E497" s="189"/>
      <c r="F497" s="189"/>
      <c r="G497" s="189"/>
      <c r="H497" s="193"/>
    </row>
    <row r="498" spans="1:8" ht="15" hidden="1" customHeight="1" x14ac:dyDescent="0.3">
      <c r="A498" s="232"/>
      <c r="B498" s="189"/>
      <c r="C498" s="189"/>
      <c r="D498" s="237"/>
      <c r="E498" s="189"/>
      <c r="F498" s="189"/>
      <c r="G498" s="189"/>
      <c r="H498" s="193"/>
    </row>
    <row r="499" spans="1:8" ht="15" hidden="1" customHeight="1" x14ac:dyDescent="0.3">
      <c r="A499" s="232"/>
      <c r="B499" s="189"/>
      <c r="C499" s="189"/>
      <c r="D499" s="237"/>
      <c r="E499" s="189"/>
      <c r="F499" s="189"/>
      <c r="G499" s="189"/>
      <c r="H499" s="193"/>
    </row>
    <row r="500" spans="1:8" ht="15" hidden="1" customHeight="1" x14ac:dyDescent="0.3">
      <c r="A500" s="232"/>
      <c r="B500" s="189"/>
      <c r="C500" s="189"/>
      <c r="D500" s="237"/>
      <c r="E500" s="189"/>
      <c r="F500" s="189"/>
      <c r="G500" s="189"/>
      <c r="H500" s="193"/>
    </row>
    <row r="501" spans="1:8" ht="15" hidden="1" customHeight="1" x14ac:dyDescent="0.3">
      <c r="A501" s="232"/>
      <c r="B501" s="189"/>
      <c r="C501" s="189"/>
      <c r="D501" s="237"/>
      <c r="E501" s="189"/>
      <c r="F501" s="189"/>
      <c r="G501" s="189"/>
      <c r="H501" s="193"/>
    </row>
    <row r="502" spans="1:8" ht="15" hidden="1" customHeight="1" x14ac:dyDescent="0.3">
      <c r="A502" s="232"/>
      <c r="B502" s="189"/>
      <c r="C502" s="189"/>
      <c r="D502" s="237"/>
      <c r="E502" s="189"/>
      <c r="F502" s="189"/>
      <c r="G502" s="189"/>
      <c r="H502" s="193"/>
    </row>
    <row r="503" spans="1:8" ht="15" hidden="1" customHeight="1" x14ac:dyDescent="0.3">
      <c r="A503" s="232"/>
      <c r="B503" s="189"/>
      <c r="C503" s="189"/>
      <c r="D503" s="237"/>
      <c r="E503" s="189"/>
      <c r="F503" s="189"/>
      <c r="G503" s="189"/>
      <c r="H503" s="193"/>
    </row>
    <row r="504" spans="1:8" ht="15" hidden="1" customHeight="1" x14ac:dyDescent="0.3">
      <c r="A504" s="232"/>
      <c r="B504" s="189"/>
      <c r="C504" s="189"/>
      <c r="D504" s="237"/>
      <c r="E504" s="189"/>
      <c r="F504" s="189"/>
      <c r="G504" s="189"/>
      <c r="H504" s="193"/>
    </row>
    <row r="505" spans="1:8" ht="15" hidden="1" customHeight="1" x14ac:dyDescent="0.3">
      <c r="A505" s="232"/>
      <c r="B505" s="189"/>
      <c r="C505" s="189"/>
      <c r="D505" s="237"/>
      <c r="E505" s="189"/>
      <c r="F505" s="189"/>
      <c r="G505" s="189"/>
      <c r="H505" s="193"/>
    </row>
    <row r="506" spans="1:8" ht="15" hidden="1" customHeight="1" x14ac:dyDescent="0.3">
      <c r="A506" s="232"/>
      <c r="B506" s="189"/>
      <c r="C506" s="189"/>
      <c r="D506" s="237"/>
      <c r="E506" s="189"/>
      <c r="F506" s="189"/>
      <c r="G506" s="189"/>
      <c r="H506" s="193"/>
    </row>
    <row r="507" spans="1:8" ht="15" hidden="1" customHeight="1" x14ac:dyDescent="0.3">
      <c r="A507" s="232"/>
      <c r="B507" s="189"/>
      <c r="C507" s="189"/>
      <c r="D507" s="237"/>
      <c r="E507" s="189"/>
      <c r="F507" s="189"/>
      <c r="G507" s="189"/>
      <c r="H507" s="193"/>
    </row>
    <row r="508" spans="1:8" ht="15" hidden="1" customHeight="1" x14ac:dyDescent="0.3">
      <c r="A508" s="232"/>
      <c r="B508" s="189"/>
      <c r="C508" s="189"/>
      <c r="D508" s="237"/>
      <c r="E508" s="189"/>
      <c r="F508" s="189"/>
      <c r="G508" s="189"/>
      <c r="H508" s="193"/>
    </row>
    <row r="509" spans="1:8" ht="15" hidden="1" customHeight="1" x14ac:dyDescent="0.3">
      <c r="A509" s="232"/>
      <c r="B509" s="189"/>
      <c r="C509" s="189"/>
      <c r="D509" s="237"/>
      <c r="E509" s="189"/>
      <c r="F509" s="189"/>
      <c r="G509" s="189"/>
      <c r="H509" s="193"/>
    </row>
    <row r="510" spans="1:8" ht="15" hidden="1" customHeight="1" x14ac:dyDescent="0.3">
      <c r="A510" s="232"/>
      <c r="B510" s="189"/>
      <c r="C510" s="189"/>
      <c r="D510" s="237"/>
      <c r="E510" s="189"/>
      <c r="F510" s="189"/>
      <c r="G510" s="189"/>
      <c r="H510" s="193"/>
    </row>
    <row r="511" spans="1:8" ht="15" hidden="1" customHeight="1" x14ac:dyDescent="0.3">
      <c r="A511" s="232"/>
      <c r="B511" s="189"/>
      <c r="C511" s="189"/>
      <c r="D511" s="237"/>
      <c r="E511" s="189"/>
      <c r="F511" s="189"/>
      <c r="G511" s="189"/>
      <c r="H511" s="193"/>
    </row>
    <row r="512" spans="1:8" ht="15" hidden="1" customHeight="1" x14ac:dyDescent="0.3">
      <c r="A512" s="232"/>
      <c r="B512" s="189"/>
      <c r="C512" s="189"/>
      <c r="D512" s="237"/>
      <c r="E512" s="189"/>
      <c r="F512" s="189"/>
      <c r="G512" s="189"/>
      <c r="H512" s="193"/>
    </row>
    <row r="513" spans="1:8" ht="15" hidden="1" customHeight="1" x14ac:dyDescent="0.3">
      <c r="A513" s="232"/>
      <c r="B513" s="189"/>
      <c r="C513" s="189"/>
      <c r="D513" s="237"/>
      <c r="E513" s="189"/>
      <c r="F513" s="189"/>
      <c r="G513" s="189"/>
      <c r="H513" s="193"/>
    </row>
    <row r="514" spans="1:8" ht="15" hidden="1" customHeight="1" x14ac:dyDescent="0.3">
      <c r="A514" s="232"/>
      <c r="B514" s="189"/>
      <c r="C514" s="189"/>
      <c r="D514" s="237"/>
      <c r="E514" s="189"/>
      <c r="F514" s="189"/>
      <c r="G514" s="189"/>
      <c r="H514" s="193"/>
    </row>
    <row r="515" spans="1:8" ht="15" hidden="1" customHeight="1" x14ac:dyDescent="0.3">
      <c r="A515" s="232"/>
      <c r="B515" s="189"/>
      <c r="C515" s="189"/>
      <c r="D515" s="237"/>
      <c r="E515" s="189"/>
      <c r="F515" s="189"/>
      <c r="G515" s="189"/>
      <c r="H515" s="193"/>
    </row>
    <row r="516" spans="1:8" ht="15" hidden="1" customHeight="1" x14ac:dyDescent="0.3">
      <c r="A516" s="232"/>
      <c r="B516" s="189"/>
      <c r="C516" s="189"/>
      <c r="D516" s="237"/>
      <c r="E516" s="189"/>
      <c r="F516" s="189"/>
      <c r="G516" s="189"/>
      <c r="H516" s="193"/>
    </row>
    <row r="517" spans="1:8" ht="15" hidden="1" customHeight="1" x14ac:dyDescent="0.3">
      <c r="A517" s="232"/>
      <c r="B517" s="189"/>
      <c r="C517" s="189"/>
      <c r="D517" s="237"/>
      <c r="E517" s="189"/>
      <c r="F517" s="189"/>
      <c r="G517" s="189"/>
      <c r="H517" s="193"/>
    </row>
    <row r="518" spans="1:8" ht="15" hidden="1" customHeight="1" x14ac:dyDescent="0.3">
      <c r="A518" s="232"/>
      <c r="B518" s="189"/>
      <c r="C518" s="189"/>
      <c r="D518" s="237"/>
      <c r="E518" s="189"/>
      <c r="F518" s="189"/>
      <c r="G518" s="189"/>
      <c r="H518" s="193"/>
    </row>
    <row r="519" spans="1:8" ht="15" hidden="1" customHeight="1" x14ac:dyDescent="0.3">
      <c r="A519" s="232"/>
      <c r="B519" s="189"/>
      <c r="C519" s="189"/>
      <c r="D519" s="237"/>
      <c r="E519" s="189"/>
      <c r="F519" s="189"/>
      <c r="G519" s="189"/>
      <c r="H519" s="193"/>
    </row>
    <row r="520" spans="1:8" ht="15" hidden="1" customHeight="1" x14ac:dyDescent="0.3">
      <c r="A520" s="232"/>
      <c r="B520" s="189"/>
      <c r="C520" s="189"/>
      <c r="D520" s="237"/>
      <c r="E520" s="189"/>
      <c r="F520" s="189"/>
      <c r="G520" s="189"/>
      <c r="H520" s="193"/>
    </row>
    <row r="521" spans="1:8" ht="15" hidden="1" customHeight="1" x14ac:dyDescent="0.3">
      <c r="A521" s="232"/>
      <c r="B521" s="189"/>
      <c r="C521" s="189"/>
      <c r="D521" s="237"/>
      <c r="E521" s="189"/>
      <c r="F521" s="189"/>
      <c r="G521" s="189"/>
      <c r="H521" s="193"/>
    </row>
    <row r="522" spans="1:8" ht="15" hidden="1" customHeight="1" x14ac:dyDescent="0.3">
      <c r="A522" s="232"/>
      <c r="B522" s="189"/>
      <c r="C522" s="189"/>
      <c r="D522" s="237"/>
      <c r="E522" s="189"/>
      <c r="F522" s="189"/>
      <c r="G522" s="189"/>
      <c r="H522" s="193"/>
    </row>
    <row r="523" spans="1:8" ht="15" hidden="1" customHeight="1" x14ac:dyDescent="0.3">
      <c r="A523" s="232"/>
      <c r="B523" s="189"/>
      <c r="C523" s="189"/>
      <c r="D523" s="237"/>
      <c r="E523" s="189"/>
      <c r="F523" s="189"/>
      <c r="G523" s="189"/>
      <c r="H523" s="193"/>
    </row>
    <row r="524" spans="1:8" ht="15" hidden="1" customHeight="1" x14ac:dyDescent="0.3">
      <c r="A524" s="232"/>
      <c r="B524" s="189"/>
      <c r="C524" s="189"/>
      <c r="D524" s="237"/>
      <c r="E524" s="189"/>
      <c r="F524" s="189"/>
      <c r="G524" s="189"/>
      <c r="H524" s="193"/>
    </row>
    <row r="525" spans="1:8" ht="15" hidden="1" customHeight="1" x14ac:dyDescent="0.3">
      <c r="A525" s="232"/>
      <c r="B525" s="189"/>
      <c r="C525" s="189"/>
      <c r="D525" s="237"/>
      <c r="E525" s="189"/>
      <c r="F525" s="189"/>
      <c r="G525" s="189"/>
      <c r="H525" s="193"/>
    </row>
    <row r="526" spans="1:8" ht="15" hidden="1" customHeight="1" x14ac:dyDescent="0.3">
      <c r="A526" s="232"/>
      <c r="B526" s="189"/>
      <c r="C526" s="189"/>
      <c r="D526" s="237"/>
      <c r="E526" s="189"/>
      <c r="F526" s="189"/>
      <c r="G526" s="189"/>
      <c r="H526" s="193"/>
    </row>
    <row r="527" spans="1:8" ht="15" hidden="1" customHeight="1" x14ac:dyDescent="0.3">
      <c r="A527" s="232"/>
      <c r="B527" s="189"/>
      <c r="C527" s="189"/>
      <c r="D527" s="237"/>
      <c r="E527" s="189"/>
      <c r="F527" s="189"/>
      <c r="G527" s="189"/>
      <c r="H527" s="193"/>
    </row>
    <row r="528" spans="1:8" ht="15" hidden="1" customHeight="1" x14ac:dyDescent="0.3">
      <c r="A528" s="232"/>
      <c r="B528" s="189"/>
      <c r="C528" s="189"/>
      <c r="D528" s="237"/>
      <c r="E528" s="189"/>
      <c r="F528" s="189"/>
      <c r="G528" s="189"/>
      <c r="H528" s="193"/>
    </row>
    <row r="529" spans="1:8" ht="15" hidden="1" customHeight="1" x14ac:dyDescent="0.3">
      <c r="A529" s="232"/>
      <c r="B529" s="189"/>
      <c r="C529" s="189"/>
      <c r="D529" s="237"/>
      <c r="E529" s="189"/>
      <c r="F529" s="189"/>
      <c r="G529" s="189"/>
      <c r="H529" s="193"/>
    </row>
    <row r="530" spans="1:8" ht="15" hidden="1" customHeight="1" x14ac:dyDescent="0.3">
      <c r="A530" s="232"/>
      <c r="B530" s="189"/>
      <c r="C530" s="189"/>
      <c r="D530" s="237"/>
      <c r="E530" s="189"/>
      <c r="F530" s="189"/>
      <c r="G530" s="189"/>
      <c r="H530" s="193"/>
    </row>
    <row r="531" spans="1:8" ht="15" hidden="1" customHeight="1" x14ac:dyDescent="0.3">
      <c r="A531" s="232"/>
      <c r="B531" s="189"/>
      <c r="C531" s="189"/>
      <c r="D531" s="237"/>
      <c r="E531" s="189"/>
      <c r="F531" s="189"/>
      <c r="G531" s="189"/>
      <c r="H531" s="193"/>
    </row>
    <row r="532" spans="1:8" ht="15" hidden="1" customHeight="1" x14ac:dyDescent="0.3">
      <c r="A532" s="232"/>
      <c r="B532" s="189"/>
      <c r="C532" s="189"/>
      <c r="D532" s="237"/>
      <c r="E532" s="189"/>
      <c r="F532" s="189"/>
      <c r="G532" s="189"/>
      <c r="H532" s="193"/>
    </row>
    <row r="533" spans="1:8" ht="15" hidden="1" customHeight="1" x14ac:dyDescent="0.3">
      <c r="A533" s="232"/>
      <c r="B533" s="189"/>
      <c r="C533" s="189"/>
      <c r="D533" s="237"/>
      <c r="E533" s="189"/>
      <c r="F533" s="189"/>
      <c r="G533" s="189"/>
      <c r="H533" s="193"/>
    </row>
    <row r="534" spans="1:8" ht="15" hidden="1" customHeight="1" x14ac:dyDescent="0.3">
      <c r="A534" s="232"/>
      <c r="B534" s="189"/>
      <c r="C534" s="189"/>
      <c r="D534" s="237"/>
      <c r="E534" s="189"/>
      <c r="F534" s="189"/>
      <c r="G534" s="189"/>
      <c r="H534" s="193"/>
    </row>
    <row r="535" spans="1:8" ht="15" hidden="1" customHeight="1" x14ac:dyDescent="0.3">
      <c r="A535" s="232"/>
      <c r="B535" s="189"/>
      <c r="C535" s="189"/>
      <c r="D535" s="237"/>
      <c r="E535" s="189"/>
      <c r="F535" s="189"/>
      <c r="G535" s="189"/>
      <c r="H535" s="193"/>
    </row>
    <row r="536" spans="1:8" ht="15" hidden="1" customHeight="1" x14ac:dyDescent="0.3">
      <c r="A536" s="232"/>
      <c r="B536" s="189"/>
      <c r="C536" s="189"/>
      <c r="D536" s="237"/>
      <c r="E536" s="189"/>
      <c r="F536" s="189"/>
      <c r="G536" s="189"/>
      <c r="H536" s="193"/>
    </row>
    <row r="537" spans="1:8" ht="15" hidden="1" customHeight="1" x14ac:dyDescent="0.3">
      <c r="A537" s="232"/>
      <c r="B537" s="189"/>
      <c r="C537" s="189"/>
      <c r="D537" s="237"/>
      <c r="E537" s="189"/>
      <c r="F537" s="189"/>
      <c r="G537" s="189"/>
      <c r="H537" s="193"/>
    </row>
    <row r="538" spans="1:8" ht="15" hidden="1" customHeight="1" x14ac:dyDescent="0.3">
      <c r="A538" s="232"/>
      <c r="B538" s="189"/>
      <c r="C538" s="189"/>
      <c r="D538" s="237"/>
      <c r="E538" s="189"/>
      <c r="F538" s="189"/>
      <c r="G538" s="189"/>
      <c r="H538" s="193"/>
    </row>
    <row r="539" spans="1:8" ht="15" hidden="1" customHeight="1" x14ac:dyDescent="0.3">
      <c r="A539" s="232"/>
      <c r="B539" s="189"/>
      <c r="C539" s="189"/>
      <c r="D539" s="237"/>
      <c r="E539" s="189"/>
      <c r="F539" s="189"/>
      <c r="G539" s="189"/>
      <c r="H539" s="193"/>
    </row>
    <row r="540" spans="1:8" ht="15" hidden="1" customHeight="1" x14ac:dyDescent="0.3">
      <c r="A540" s="232"/>
      <c r="B540" s="189"/>
      <c r="C540" s="189"/>
      <c r="D540" s="237"/>
      <c r="E540" s="189"/>
      <c r="F540" s="189"/>
      <c r="G540" s="189"/>
      <c r="H540" s="193"/>
    </row>
    <row r="541" spans="1:8" ht="15" hidden="1" customHeight="1" x14ac:dyDescent="0.3">
      <c r="A541" s="232"/>
      <c r="B541" s="189"/>
      <c r="C541" s="189"/>
      <c r="D541" s="237"/>
      <c r="E541" s="189"/>
      <c r="F541" s="189"/>
      <c r="G541" s="189"/>
      <c r="H541" s="193"/>
    </row>
    <row r="542" spans="1:8" ht="15" hidden="1" customHeight="1" x14ac:dyDescent="0.3">
      <c r="A542" s="232"/>
      <c r="B542" s="189"/>
      <c r="C542" s="189"/>
      <c r="D542" s="237"/>
      <c r="E542" s="189"/>
      <c r="F542" s="189"/>
      <c r="G542" s="189"/>
      <c r="H542" s="193"/>
    </row>
    <row r="543" spans="1:8" ht="15" hidden="1" customHeight="1" x14ac:dyDescent="0.3">
      <c r="A543" s="232"/>
      <c r="B543" s="189"/>
      <c r="C543" s="189"/>
      <c r="D543" s="237"/>
      <c r="E543" s="189"/>
      <c r="F543" s="189"/>
      <c r="G543" s="189"/>
      <c r="H543" s="193"/>
    </row>
    <row r="544" spans="1:8" ht="15" hidden="1" customHeight="1" x14ac:dyDescent="0.3">
      <c r="A544" s="232"/>
      <c r="B544" s="189"/>
      <c r="C544" s="189"/>
      <c r="D544" s="237"/>
      <c r="E544" s="189"/>
      <c r="F544" s="189"/>
      <c r="G544" s="189"/>
      <c r="H544" s="193"/>
    </row>
    <row r="545" spans="1:8" ht="15" hidden="1" customHeight="1" x14ac:dyDescent="0.3">
      <c r="A545" s="232"/>
      <c r="B545" s="189"/>
      <c r="C545" s="189"/>
      <c r="D545" s="237"/>
      <c r="E545" s="189"/>
      <c r="F545" s="189"/>
      <c r="G545" s="189"/>
      <c r="H545" s="193"/>
    </row>
    <row r="546" spans="1:8" ht="15" hidden="1" customHeight="1" x14ac:dyDescent="0.3">
      <c r="A546" s="232"/>
      <c r="B546" s="189"/>
      <c r="C546" s="189"/>
      <c r="D546" s="237"/>
      <c r="E546" s="189"/>
      <c r="F546" s="189"/>
      <c r="G546" s="189"/>
      <c r="H546" s="193"/>
    </row>
    <row r="547" spans="1:8" ht="15" hidden="1" customHeight="1" x14ac:dyDescent="0.3">
      <c r="A547" s="232"/>
      <c r="B547" s="189"/>
      <c r="C547" s="189"/>
      <c r="D547" s="237"/>
      <c r="E547" s="189"/>
      <c r="F547" s="189"/>
      <c r="G547" s="189"/>
      <c r="H547" s="193"/>
    </row>
    <row r="548" spans="1:8" ht="15" hidden="1" customHeight="1" x14ac:dyDescent="0.3">
      <c r="A548" s="232"/>
      <c r="B548" s="189"/>
      <c r="C548" s="189"/>
      <c r="D548" s="237"/>
      <c r="E548" s="189"/>
      <c r="F548" s="189"/>
      <c r="G548" s="189"/>
      <c r="H548" s="193"/>
    </row>
    <row r="549" spans="1:8" ht="15" hidden="1" customHeight="1" x14ac:dyDescent="0.3">
      <c r="A549" s="232"/>
      <c r="B549" s="189"/>
      <c r="C549" s="189"/>
      <c r="D549" s="237"/>
      <c r="E549" s="189"/>
      <c r="F549" s="189"/>
      <c r="G549" s="189"/>
      <c r="H549" s="193"/>
    </row>
    <row r="550" spans="1:8" ht="15" hidden="1" customHeight="1" x14ac:dyDescent="0.3">
      <c r="A550" s="232"/>
      <c r="B550" s="189"/>
      <c r="C550" s="189"/>
      <c r="D550" s="237"/>
      <c r="E550" s="189"/>
      <c r="F550" s="189"/>
      <c r="G550" s="189"/>
      <c r="H550" s="193"/>
    </row>
    <row r="551" spans="1:8" ht="15" hidden="1" customHeight="1" x14ac:dyDescent="0.3">
      <c r="A551" s="232"/>
      <c r="B551" s="189"/>
      <c r="C551" s="189"/>
      <c r="D551" s="237"/>
      <c r="E551" s="189"/>
      <c r="F551" s="189"/>
      <c r="G551" s="189"/>
      <c r="H551" s="193"/>
    </row>
    <row r="552" spans="1:8" ht="15" hidden="1" customHeight="1" x14ac:dyDescent="0.3">
      <c r="A552" s="232"/>
      <c r="B552" s="189"/>
      <c r="C552" s="189"/>
      <c r="D552" s="237"/>
      <c r="E552" s="189"/>
      <c r="F552" s="189"/>
      <c r="G552" s="189"/>
      <c r="H552" s="193"/>
    </row>
    <row r="553" spans="1:8" ht="15" hidden="1" customHeight="1" x14ac:dyDescent="0.3">
      <c r="A553" s="232"/>
      <c r="B553" s="189"/>
      <c r="C553" s="189"/>
      <c r="D553" s="237"/>
      <c r="E553" s="189"/>
      <c r="F553" s="189"/>
      <c r="G553" s="189"/>
      <c r="H553" s="193"/>
    </row>
    <row r="554" spans="1:8" ht="15" hidden="1" customHeight="1" x14ac:dyDescent="0.3">
      <c r="A554" s="232"/>
      <c r="B554" s="189"/>
      <c r="C554" s="189"/>
      <c r="D554" s="237"/>
      <c r="E554" s="189"/>
      <c r="F554" s="189"/>
      <c r="G554" s="189"/>
      <c r="H554" s="193"/>
    </row>
    <row r="555" spans="1:8" ht="15" hidden="1" customHeight="1" x14ac:dyDescent="0.3">
      <c r="A555" s="232"/>
      <c r="B555" s="189"/>
      <c r="C555" s="189"/>
      <c r="D555" s="237"/>
      <c r="E555" s="189"/>
      <c r="F555" s="189"/>
      <c r="G555" s="189"/>
      <c r="H555" s="193"/>
    </row>
    <row r="556" spans="1:8" ht="15" hidden="1" customHeight="1" x14ac:dyDescent="0.3">
      <c r="A556" s="232"/>
      <c r="B556" s="189"/>
      <c r="C556" s="189"/>
      <c r="D556" s="237"/>
      <c r="E556" s="189"/>
      <c r="F556" s="189"/>
      <c r="G556" s="189"/>
      <c r="H556" s="193"/>
    </row>
    <row r="557" spans="1:8" ht="15" hidden="1" customHeight="1" x14ac:dyDescent="0.3">
      <c r="A557" s="232"/>
      <c r="B557" s="189"/>
      <c r="C557" s="189"/>
      <c r="D557" s="237"/>
      <c r="E557" s="189"/>
      <c r="F557" s="189"/>
      <c r="G557" s="189"/>
      <c r="H557" s="193"/>
    </row>
    <row r="558" spans="1:8" ht="15" hidden="1" customHeight="1" x14ac:dyDescent="0.3">
      <c r="A558" s="232"/>
      <c r="B558" s="189"/>
      <c r="C558" s="189"/>
      <c r="D558" s="237"/>
      <c r="E558" s="189"/>
      <c r="F558" s="189"/>
      <c r="G558" s="189"/>
      <c r="H558" s="193"/>
    </row>
    <row r="559" spans="1:8" ht="15" hidden="1" customHeight="1" x14ac:dyDescent="0.3">
      <c r="A559" s="232"/>
      <c r="B559" s="189"/>
      <c r="C559" s="189"/>
      <c r="D559" s="237"/>
      <c r="E559" s="189"/>
      <c r="F559" s="189"/>
      <c r="G559" s="189"/>
      <c r="H559" s="193"/>
    </row>
    <row r="560" spans="1:8" ht="15" hidden="1" customHeight="1" x14ac:dyDescent="0.3">
      <c r="A560" s="232"/>
      <c r="B560" s="189"/>
      <c r="C560" s="189"/>
      <c r="D560" s="237"/>
      <c r="E560" s="189"/>
      <c r="F560" s="189"/>
      <c r="G560" s="189"/>
      <c r="H560" s="193"/>
    </row>
    <row r="561" spans="1:8" ht="15" hidden="1" customHeight="1" x14ac:dyDescent="0.3">
      <c r="A561" s="232"/>
      <c r="B561" s="189"/>
      <c r="C561" s="189"/>
      <c r="D561" s="237"/>
      <c r="E561" s="189"/>
      <c r="F561" s="189"/>
      <c r="G561" s="189"/>
      <c r="H561" s="193"/>
    </row>
    <row r="562" spans="1:8" ht="15" hidden="1" customHeight="1" x14ac:dyDescent="0.3">
      <c r="A562" s="232"/>
      <c r="B562" s="189"/>
      <c r="C562" s="189"/>
      <c r="D562" s="237"/>
      <c r="E562" s="189"/>
      <c r="F562" s="189"/>
      <c r="G562" s="189"/>
      <c r="H562" s="193"/>
    </row>
    <row r="563" spans="1:8" ht="15" hidden="1" customHeight="1" x14ac:dyDescent="0.3">
      <c r="A563" s="232"/>
      <c r="B563" s="189"/>
      <c r="C563" s="189"/>
      <c r="D563" s="237"/>
      <c r="E563" s="189"/>
      <c r="F563" s="189"/>
      <c r="G563" s="189"/>
      <c r="H563" s="193"/>
    </row>
    <row r="564" spans="1:8" ht="15" hidden="1" customHeight="1" x14ac:dyDescent="0.3">
      <c r="A564" s="232"/>
      <c r="B564" s="189"/>
      <c r="C564" s="189"/>
      <c r="D564" s="237"/>
      <c r="E564" s="189"/>
      <c r="F564" s="189"/>
      <c r="G564" s="189"/>
      <c r="H564" s="193"/>
    </row>
    <row r="565" spans="1:8" ht="15" hidden="1" customHeight="1" x14ac:dyDescent="0.3">
      <c r="A565" s="232"/>
      <c r="B565" s="189"/>
      <c r="C565" s="189"/>
      <c r="D565" s="237"/>
      <c r="E565" s="189"/>
      <c r="F565" s="189"/>
      <c r="G565" s="189"/>
      <c r="H565" s="193"/>
    </row>
    <row r="566" spans="1:8" ht="15" hidden="1" customHeight="1" x14ac:dyDescent="0.3">
      <c r="A566" s="232"/>
      <c r="B566" s="189"/>
      <c r="C566" s="189"/>
      <c r="D566" s="237"/>
      <c r="E566" s="189"/>
      <c r="F566" s="189"/>
      <c r="G566" s="189"/>
      <c r="H566" s="193"/>
    </row>
    <row r="567" spans="1:8" ht="15" hidden="1" customHeight="1" x14ac:dyDescent="0.3">
      <c r="A567" s="232"/>
      <c r="B567" s="189"/>
      <c r="C567" s="189"/>
      <c r="D567" s="237"/>
      <c r="E567" s="189"/>
      <c r="F567" s="189"/>
      <c r="G567" s="189"/>
      <c r="H567" s="193"/>
    </row>
    <row r="568" spans="1:8" ht="15" hidden="1" customHeight="1" x14ac:dyDescent="0.3">
      <c r="A568" s="232"/>
      <c r="B568" s="189"/>
      <c r="C568" s="189"/>
      <c r="D568" s="237"/>
      <c r="E568" s="189"/>
      <c r="F568" s="189"/>
      <c r="G568" s="189"/>
      <c r="H568" s="193"/>
    </row>
    <row r="569" spans="1:8" ht="15" hidden="1" customHeight="1" x14ac:dyDescent="0.3">
      <c r="A569" s="232"/>
      <c r="B569" s="189"/>
      <c r="C569" s="189"/>
      <c r="D569" s="237"/>
      <c r="E569" s="189"/>
      <c r="F569" s="189"/>
      <c r="G569" s="189"/>
      <c r="H569" s="193"/>
    </row>
    <row r="570" spans="1:8" ht="15" hidden="1" customHeight="1" x14ac:dyDescent="0.3">
      <c r="A570" s="232"/>
      <c r="B570" s="189"/>
      <c r="C570" s="189"/>
      <c r="D570" s="237"/>
      <c r="E570" s="189"/>
      <c r="F570" s="189"/>
      <c r="G570" s="189"/>
      <c r="H570" s="193"/>
    </row>
    <row r="571" spans="1:8" ht="15" hidden="1" customHeight="1" x14ac:dyDescent="0.3">
      <c r="A571" s="232"/>
      <c r="B571" s="189"/>
      <c r="C571" s="189"/>
      <c r="D571" s="237"/>
      <c r="E571" s="189"/>
      <c r="F571" s="189"/>
      <c r="G571" s="189"/>
      <c r="H571" s="193"/>
    </row>
    <row r="572" spans="1:8" ht="15" hidden="1" customHeight="1" x14ac:dyDescent="0.3">
      <c r="A572" s="232"/>
      <c r="B572" s="189"/>
      <c r="C572" s="189"/>
      <c r="D572" s="237"/>
      <c r="E572" s="189"/>
      <c r="F572" s="189"/>
      <c r="G572" s="189"/>
      <c r="H572" s="193"/>
    </row>
    <row r="573" spans="1:8" ht="15" hidden="1" customHeight="1" x14ac:dyDescent="0.3">
      <c r="A573" s="232"/>
      <c r="B573" s="189"/>
      <c r="C573" s="189"/>
      <c r="D573" s="237"/>
      <c r="E573" s="189"/>
      <c r="F573" s="189"/>
      <c r="G573" s="189"/>
      <c r="H573" s="193"/>
    </row>
    <row r="574" spans="1:8" ht="15" hidden="1" customHeight="1" x14ac:dyDescent="0.3">
      <c r="A574" s="232"/>
      <c r="B574" s="189"/>
      <c r="C574" s="189"/>
      <c r="D574" s="237"/>
      <c r="E574" s="189"/>
      <c r="F574" s="189"/>
      <c r="G574" s="189"/>
      <c r="H574" s="193"/>
    </row>
    <row r="575" spans="1:8" ht="15" hidden="1" customHeight="1" x14ac:dyDescent="0.3">
      <c r="A575" s="232"/>
      <c r="B575" s="189"/>
      <c r="C575" s="189"/>
      <c r="D575" s="237"/>
      <c r="E575" s="189"/>
      <c r="F575" s="189"/>
      <c r="G575" s="189"/>
      <c r="H575" s="193"/>
    </row>
    <row r="576" spans="1:8" ht="15" hidden="1" customHeight="1" x14ac:dyDescent="0.3">
      <c r="A576" s="232"/>
      <c r="B576" s="189"/>
      <c r="C576" s="189"/>
      <c r="D576" s="237"/>
      <c r="E576" s="189"/>
      <c r="F576" s="189"/>
      <c r="G576" s="189"/>
      <c r="H576" s="193"/>
    </row>
    <row r="577" spans="1:8" ht="15" hidden="1" customHeight="1" x14ac:dyDescent="0.3">
      <c r="A577" s="232"/>
      <c r="B577" s="189"/>
      <c r="C577" s="189"/>
      <c r="D577" s="237"/>
      <c r="E577" s="189"/>
      <c r="F577" s="189"/>
      <c r="G577" s="189"/>
      <c r="H577" s="193"/>
    </row>
    <row r="578" spans="1:8" ht="15" hidden="1" customHeight="1" x14ac:dyDescent="0.3">
      <c r="A578" s="232"/>
      <c r="B578" s="189"/>
      <c r="C578" s="189"/>
      <c r="D578" s="237"/>
      <c r="E578" s="189"/>
      <c r="F578" s="189"/>
      <c r="G578" s="189"/>
      <c r="H578" s="193"/>
    </row>
    <row r="579" spans="1:8" ht="15" hidden="1" customHeight="1" x14ac:dyDescent="0.3">
      <c r="A579" s="232"/>
      <c r="B579" s="189"/>
      <c r="C579" s="189"/>
      <c r="D579" s="237"/>
      <c r="E579" s="189"/>
      <c r="F579" s="189"/>
      <c r="G579" s="189"/>
      <c r="H579" s="193"/>
    </row>
    <row r="580" spans="1:8" ht="15" hidden="1" customHeight="1" x14ac:dyDescent="0.3">
      <c r="A580" s="232"/>
      <c r="B580" s="189"/>
      <c r="C580" s="189"/>
      <c r="D580" s="237"/>
      <c r="E580" s="189"/>
      <c r="F580" s="189"/>
      <c r="G580" s="189"/>
      <c r="H580" s="193"/>
    </row>
    <row r="581" spans="1:8" ht="15" hidden="1" customHeight="1" x14ac:dyDescent="0.3">
      <c r="A581" s="232"/>
      <c r="B581" s="189"/>
      <c r="C581" s="189"/>
      <c r="D581" s="237"/>
      <c r="E581" s="189"/>
      <c r="F581" s="189"/>
      <c r="G581" s="189"/>
      <c r="H581" s="193"/>
    </row>
    <row r="582" spans="1:8" ht="15" hidden="1" customHeight="1" x14ac:dyDescent="0.3">
      <c r="A582" s="232"/>
      <c r="B582" s="189"/>
      <c r="C582" s="189"/>
      <c r="D582" s="237"/>
      <c r="E582" s="189"/>
      <c r="F582" s="189"/>
      <c r="G582" s="189"/>
      <c r="H582" s="193"/>
    </row>
    <row r="583" spans="1:8" ht="15" hidden="1" customHeight="1" x14ac:dyDescent="0.3">
      <c r="A583" s="232"/>
      <c r="B583" s="189"/>
      <c r="C583" s="189"/>
      <c r="D583" s="237"/>
      <c r="E583" s="189"/>
      <c r="F583" s="189"/>
      <c r="G583" s="189"/>
      <c r="H583" s="193"/>
    </row>
    <row r="584" spans="1:8" ht="15" hidden="1" customHeight="1" x14ac:dyDescent="0.3">
      <c r="A584" s="232"/>
      <c r="B584" s="189"/>
      <c r="C584" s="189"/>
      <c r="D584" s="237"/>
      <c r="E584" s="189"/>
      <c r="F584" s="189"/>
      <c r="G584" s="189"/>
      <c r="H584" s="193"/>
    </row>
    <row r="585" spans="1:8" ht="15" hidden="1" customHeight="1" x14ac:dyDescent="0.3">
      <c r="A585" s="232"/>
      <c r="B585" s="189"/>
      <c r="C585" s="189"/>
      <c r="D585" s="237"/>
      <c r="E585" s="189"/>
      <c r="F585" s="189"/>
      <c r="G585" s="189"/>
      <c r="H585" s="193"/>
    </row>
    <row r="586" spans="1:8" ht="15" hidden="1" customHeight="1" x14ac:dyDescent="0.3">
      <c r="A586" s="232"/>
      <c r="B586" s="189"/>
      <c r="C586" s="189"/>
      <c r="D586" s="237"/>
      <c r="E586" s="189"/>
      <c r="F586" s="189"/>
      <c r="G586" s="189"/>
      <c r="H586" s="193"/>
    </row>
    <row r="587" spans="1:8" ht="15" hidden="1" customHeight="1" x14ac:dyDescent="0.3">
      <c r="A587" s="232"/>
      <c r="B587" s="189"/>
      <c r="C587" s="189"/>
      <c r="D587" s="237"/>
      <c r="E587" s="189"/>
      <c r="F587" s="189"/>
      <c r="G587" s="189"/>
      <c r="H587" s="193"/>
    </row>
    <row r="588" spans="1:8" ht="15" hidden="1" customHeight="1" x14ac:dyDescent="0.3">
      <c r="A588" s="232"/>
      <c r="B588" s="189"/>
      <c r="C588" s="189"/>
      <c r="D588" s="237"/>
      <c r="E588" s="189"/>
      <c r="F588" s="189"/>
      <c r="G588" s="189"/>
      <c r="H588" s="193"/>
    </row>
    <row r="589" spans="1:8" ht="15" hidden="1" customHeight="1" x14ac:dyDescent="0.3">
      <c r="A589" s="232"/>
      <c r="B589" s="189"/>
      <c r="C589" s="189"/>
      <c r="D589" s="237"/>
      <c r="E589" s="189"/>
      <c r="F589" s="189"/>
      <c r="G589" s="189"/>
      <c r="H589" s="193"/>
    </row>
    <row r="590" spans="1:8" ht="15" hidden="1" customHeight="1" x14ac:dyDescent="0.3">
      <c r="A590" s="232"/>
      <c r="B590" s="189"/>
      <c r="C590" s="189"/>
      <c r="D590" s="237"/>
      <c r="E590" s="189"/>
      <c r="F590" s="189"/>
      <c r="G590" s="189"/>
      <c r="H590" s="193"/>
    </row>
    <row r="591" spans="1:8" ht="15" hidden="1" customHeight="1" x14ac:dyDescent="0.3">
      <c r="A591" s="232"/>
      <c r="B591" s="189"/>
      <c r="C591" s="189"/>
      <c r="D591" s="237"/>
      <c r="E591" s="189"/>
      <c r="F591" s="189"/>
      <c r="G591" s="189"/>
      <c r="H591" s="193"/>
    </row>
    <row r="592" spans="1:8" ht="15" hidden="1" customHeight="1" x14ac:dyDescent="0.3">
      <c r="A592" s="232"/>
      <c r="B592" s="189"/>
      <c r="C592" s="189"/>
      <c r="D592" s="237"/>
      <c r="E592" s="189"/>
      <c r="F592" s="189"/>
      <c r="G592" s="189"/>
      <c r="H592" s="193"/>
    </row>
    <row r="593" spans="1:8" ht="15" hidden="1" customHeight="1" x14ac:dyDescent="0.3">
      <c r="A593" s="232"/>
      <c r="B593" s="189"/>
      <c r="C593" s="189"/>
      <c r="D593" s="237"/>
      <c r="E593" s="189"/>
      <c r="F593" s="189"/>
      <c r="G593" s="189"/>
      <c r="H593" s="193"/>
    </row>
    <row r="594" spans="1:8" ht="15" hidden="1" customHeight="1" x14ac:dyDescent="0.3">
      <c r="A594" s="232"/>
      <c r="B594" s="189"/>
      <c r="C594" s="189"/>
      <c r="D594" s="237"/>
      <c r="E594" s="189"/>
      <c r="F594" s="189"/>
      <c r="G594" s="189"/>
      <c r="H594" s="193"/>
    </row>
    <row r="595" spans="1:8" ht="15" hidden="1" customHeight="1" x14ac:dyDescent="0.3">
      <c r="A595" s="232"/>
      <c r="B595" s="189"/>
      <c r="C595" s="189"/>
      <c r="D595" s="237"/>
      <c r="E595" s="189"/>
      <c r="F595" s="189"/>
      <c r="G595" s="189"/>
      <c r="H595" s="193"/>
    </row>
    <row r="596" spans="1:8" ht="15" hidden="1" customHeight="1" x14ac:dyDescent="0.3">
      <c r="A596" s="232"/>
      <c r="B596" s="189"/>
      <c r="C596" s="189"/>
      <c r="D596" s="237"/>
      <c r="E596" s="189"/>
      <c r="F596" s="189"/>
      <c r="G596" s="189"/>
      <c r="H596" s="193"/>
    </row>
    <row r="597" spans="1:8" ht="15" hidden="1" customHeight="1" x14ac:dyDescent="0.3">
      <c r="A597" s="232"/>
      <c r="B597" s="189"/>
      <c r="C597" s="189"/>
      <c r="D597" s="237"/>
      <c r="E597" s="189"/>
      <c r="F597" s="189"/>
      <c r="G597" s="189"/>
      <c r="H597" s="193"/>
    </row>
    <row r="598" spans="1:8" ht="15" hidden="1" customHeight="1" x14ac:dyDescent="0.3">
      <c r="A598" s="232"/>
      <c r="B598" s="189"/>
      <c r="C598" s="189"/>
      <c r="D598" s="237"/>
      <c r="E598" s="189"/>
      <c r="F598" s="189"/>
      <c r="G598" s="189"/>
      <c r="H598" s="193"/>
    </row>
    <row r="599" spans="1:8" ht="15" hidden="1" customHeight="1" x14ac:dyDescent="0.3">
      <c r="A599" s="232"/>
      <c r="B599" s="189"/>
      <c r="C599" s="189"/>
      <c r="D599" s="237"/>
      <c r="E599" s="189"/>
      <c r="F599" s="189"/>
      <c r="G599" s="189"/>
      <c r="H599" s="193"/>
    </row>
    <row r="600" spans="1:8" ht="15" hidden="1" customHeight="1" x14ac:dyDescent="0.3">
      <c r="A600" s="232"/>
      <c r="B600" s="189"/>
      <c r="C600" s="189"/>
      <c r="D600" s="237"/>
      <c r="E600" s="189"/>
      <c r="F600" s="189"/>
      <c r="G600" s="189"/>
      <c r="H600" s="193"/>
    </row>
    <row r="601" spans="1:8" ht="15" hidden="1" customHeight="1" x14ac:dyDescent="0.3">
      <c r="A601" s="232"/>
      <c r="B601" s="189"/>
      <c r="C601" s="189"/>
      <c r="D601" s="237"/>
      <c r="E601" s="189"/>
      <c r="F601" s="189"/>
      <c r="G601" s="189"/>
      <c r="H601" s="193"/>
    </row>
    <row r="602" spans="1:8" ht="15" hidden="1" customHeight="1" x14ac:dyDescent="0.3">
      <c r="A602" s="232"/>
      <c r="B602" s="189"/>
      <c r="C602" s="189"/>
      <c r="D602" s="237"/>
      <c r="E602" s="189"/>
      <c r="F602" s="189"/>
      <c r="G602" s="189"/>
      <c r="H602" s="193"/>
    </row>
    <row r="603" spans="1:8" ht="15" hidden="1" customHeight="1" x14ac:dyDescent="0.3">
      <c r="A603" s="232"/>
      <c r="B603" s="189"/>
      <c r="C603" s="189"/>
      <c r="D603" s="237"/>
      <c r="E603" s="189"/>
      <c r="F603" s="189"/>
      <c r="G603" s="189"/>
      <c r="H603" s="193"/>
    </row>
    <row r="604" spans="1:8" ht="15" hidden="1" customHeight="1" x14ac:dyDescent="0.3">
      <c r="A604" s="232"/>
      <c r="B604" s="189"/>
      <c r="C604" s="189"/>
      <c r="D604" s="237"/>
      <c r="E604" s="189"/>
      <c r="F604" s="189"/>
      <c r="G604" s="189"/>
      <c r="H604" s="193"/>
    </row>
    <row r="605" spans="1:8" ht="15" hidden="1" customHeight="1" x14ac:dyDescent="0.3">
      <c r="A605" s="232"/>
      <c r="B605" s="189"/>
      <c r="C605" s="189"/>
      <c r="D605" s="237"/>
      <c r="E605" s="189"/>
      <c r="F605" s="189"/>
      <c r="G605" s="189"/>
      <c r="H605" s="193"/>
    </row>
    <row r="606" spans="1:8" ht="15" hidden="1" customHeight="1" x14ac:dyDescent="0.3">
      <c r="A606" s="232"/>
      <c r="B606" s="189"/>
      <c r="C606" s="189"/>
      <c r="D606" s="237"/>
      <c r="E606" s="189"/>
      <c r="F606" s="189"/>
      <c r="G606" s="189"/>
      <c r="H606" s="193"/>
    </row>
    <row r="607" spans="1:8" ht="15" hidden="1" customHeight="1" x14ac:dyDescent="0.3">
      <c r="A607" s="232"/>
      <c r="B607" s="189"/>
      <c r="C607" s="189"/>
      <c r="D607" s="237"/>
      <c r="E607" s="189"/>
      <c r="F607" s="189"/>
      <c r="G607" s="189"/>
      <c r="H607" s="193"/>
    </row>
    <row r="608" spans="1:8" ht="15" hidden="1" customHeight="1" x14ac:dyDescent="0.3">
      <c r="A608" s="232"/>
      <c r="B608" s="189"/>
      <c r="C608" s="189"/>
      <c r="D608" s="237"/>
      <c r="E608" s="189"/>
      <c r="F608" s="189"/>
      <c r="G608" s="189"/>
      <c r="H608" s="193"/>
    </row>
    <row r="609" spans="1:8" ht="15" hidden="1" customHeight="1" x14ac:dyDescent="0.3">
      <c r="A609" s="232"/>
      <c r="B609" s="189"/>
      <c r="C609" s="189"/>
      <c r="D609" s="237"/>
      <c r="E609" s="189"/>
      <c r="F609" s="189"/>
      <c r="G609" s="189"/>
      <c r="H609" s="193"/>
    </row>
    <row r="610" spans="1:8" ht="15" hidden="1" customHeight="1" x14ac:dyDescent="0.3">
      <c r="A610" s="232"/>
      <c r="B610" s="189"/>
      <c r="C610" s="189"/>
      <c r="D610" s="237"/>
      <c r="E610" s="189"/>
      <c r="F610" s="189"/>
      <c r="G610" s="189"/>
      <c r="H610" s="193"/>
    </row>
    <row r="611" spans="1:8" ht="15" hidden="1" customHeight="1" x14ac:dyDescent="0.3">
      <c r="A611" s="232"/>
      <c r="B611" s="189"/>
      <c r="C611" s="189"/>
      <c r="D611" s="237"/>
      <c r="E611" s="189"/>
      <c r="F611" s="189"/>
      <c r="G611" s="189"/>
      <c r="H611" s="193"/>
    </row>
    <row r="612" spans="1:8" ht="15" hidden="1" customHeight="1" x14ac:dyDescent="0.3">
      <c r="A612" s="232"/>
      <c r="B612" s="189"/>
      <c r="C612" s="189"/>
      <c r="D612" s="237"/>
      <c r="E612" s="189"/>
      <c r="F612" s="189"/>
      <c r="G612" s="189"/>
      <c r="H612" s="193"/>
    </row>
    <row r="613" spans="1:8" ht="15" hidden="1" customHeight="1" x14ac:dyDescent="0.3">
      <c r="A613" s="232"/>
      <c r="B613" s="189"/>
      <c r="C613" s="189"/>
      <c r="D613" s="237"/>
      <c r="E613" s="189"/>
      <c r="F613" s="189"/>
      <c r="G613" s="189"/>
      <c r="H613" s="193"/>
    </row>
    <row r="614" spans="1:8" ht="15" hidden="1" customHeight="1" x14ac:dyDescent="0.3">
      <c r="A614" s="232"/>
      <c r="B614" s="189"/>
      <c r="C614" s="189"/>
      <c r="D614" s="237"/>
      <c r="E614" s="189"/>
      <c r="F614" s="189"/>
      <c r="G614" s="189"/>
      <c r="H614" s="193"/>
    </row>
    <row r="615" spans="1:8" ht="15" hidden="1" customHeight="1" x14ac:dyDescent="0.3">
      <c r="A615" s="232"/>
      <c r="B615" s="189"/>
      <c r="C615" s="189"/>
      <c r="D615" s="237"/>
      <c r="E615" s="189"/>
      <c r="F615" s="189"/>
      <c r="G615" s="189"/>
      <c r="H615" s="193"/>
    </row>
    <row r="616" spans="1:8" ht="15" hidden="1" customHeight="1" x14ac:dyDescent="0.3">
      <c r="A616" s="232"/>
      <c r="B616" s="189"/>
      <c r="C616" s="189"/>
      <c r="D616" s="237"/>
      <c r="E616" s="189"/>
      <c r="F616" s="189"/>
      <c r="G616" s="189"/>
      <c r="H616" s="193"/>
    </row>
    <row r="617" spans="1:8" ht="15" hidden="1" customHeight="1" x14ac:dyDescent="0.3">
      <c r="A617" s="232"/>
      <c r="B617" s="189"/>
      <c r="C617" s="189"/>
      <c r="D617" s="237"/>
      <c r="E617" s="189"/>
      <c r="F617" s="189"/>
      <c r="G617" s="189"/>
      <c r="H617" s="193"/>
    </row>
    <row r="618" spans="1:8" ht="15" hidden="1" customHeight="1" x14ac:dyDescent="0.3">
      <c r="A618" s="232"/>
      <c r="B618" s="189"/>
      <c r="C618" s="189"/>
      <c r="D618" s="237"/>
      <c r="E618" s="189"/>
      <c r="F618" s="189"/>
      <c r="G618" s="189"/>
      <c r="H618" s="193"/>
    </row>
    <row r="619" spans="1:8" ht="15" hidden="1" customHeight="1" x14ac:dyDescent="0.3">
      <c r="A619" s="232"/>
      <c r="B619" s="189"/>
      <c r="C619" s="189"/>
      <c r="D619" s="237"/>
      <c r="E619" s="189"/>
      <c r="F619" s="189"/>
      <c r="G619" s="189"/>
      <c r="H619" s="193"/>
    </row>
    <row r="620" spans="1:8" ht="15" hidden="1" customHeight="1" x14ac:dyDescent="0.3">
      <c r="A620" s="232"/>
      <c r="B620" s="189"/>
      <c r="C620" s="189"/>
      <c r="D620" s="237"/>
      <c r="E620" s="189"/>
      <c r="F620" s="189"/>
      <c r="G620" s="189"/>
      <c r="H620" s="193"/>
    </row>
    <row r="621" spans="1:8" ht="15" hidden="1" customHeight="1" x14ac:dyDescent="0.3">
      <c r="A621" s="232"/>
      <c r="B621" s="189"/>
      <c r="C621" s="189"/>
      <c r="D621" s="237"/>
      <c r="E621" s="189"/>
      <c r="F621" s="189"/>
      <c r="G621" s="189"/>
      <c r="H621" s="193"/>
    </row>
    <row r="622" spans="1:8" ht="15" hidden="1" customHeight="1" x14ac:dyDescent="0.3">
      <c r="A622" s="232"/>
      <c r="B622" s="189"/>
      <c r="C622" s="189"/>
      <c r="D622" s="237"/>
      <c r="E622" s="189"/>
      <c r="F622" s="189"/>
      <c r="G622" s="189"/>
      <c r="H622" s="193"/>
    </row>
    <row r="623" spans="1:8" ht="15" hidden="1" customHeight="1" x14ac:dyDescent="0.3">
      <c r="A623" s="232"/>
      <c r="B623" s="189"/>
      <c r="C623" s="189"/>
      <c r="D623" s="237"/>
      <c r="E623" s="189"/>
      <c r="F623" s="189"/>
      <c r="G623" s="189"/>
      <c r="H623" s="193"/>
    </row>
    <row r="624" spans="1:8" ht="15" hidden="1" customHeight="1" x14ac:dyDescent="0.3">
      <c r="A624" s="232"/>
      <c r="B624" s="189"/>
      <c r="C624" s="189"/>
      <c r="D624" s="237"/>
      <c r="E624" s="189"/>
      <c r="F624" s="189"/>
      <c r="G624" s="189"/>
      <c r="H624" s="193"/>
    </row>
    <row r="625" spans="1:8" ht="15" hidden="1" customHeight="1" x14ac:dyDescent="0.3">
      <c r="A625" s="232"/>
      <c r="B625" s="189"/>
      <c r="C625" s="189"/>
      <c r="D625" s="237"/>
      <c r="E625" s="189"/>
      <c r="F625" s="189"/>
      <c r="G625" s="189"/>
      <c r="H625" s="193"/>
    </row>
    <row r="626" spans="1:8" ht="15" hidden="1" customHeight="1" x14ac:dyDescent="0.3">
      <c r="A626" s="232"/>
      <c r="B626" s="189"/>
      <c r="C626" s="189"/>
      <c r="D626" s="237"/>
      <c r="E626" s="189"/>
      <c r="F626" s="189"/>
      <c r="G626" s="189"/>
      <c r="H626" s="193"/>
    </row>
    <row r="627" spans="1:8" ht="15" hidden="1" customHeight="1" x14ac:dyDescent="0.3">
      <c r="A627" s="232"/>
      <c r="B627" s="189"/>
      <c r="C627" s="189"/>
      <c r="D627" s="237"/>
      <c r="E627" s="189"/>
      <c r="F627" s="189"/>
      <c r="G627" s="189"/>
      <c r="H627" s="193"/>
    </row>
    <row r="628" spans="1:8" ht="15" hidden="1" customHeight="1" x14ac:dyDescent="0.3">
      <c r="A628" s="232"/>
      <c r="B628" s="189"/>
      <c r="C628" s="189"/>
      <c r="D628" s="237"/>
      <c r="E628" s="189"/>
      <c r="F628" s="189"/>
      <c r="G628" s="189"/>
      <c r="H628" s="193"/>
    </row>
    <row r="629" spans="1:8" ht="15" hidden="1" customHeight="1" x14ac:dyDescent="0.3">
      <c r="A629" s="232"/>
      <c r="B629" s="189"/>
      <c r="C629" s="189"/>
      <c r="D629" s="237"/>
      <c r="E629" s="189"/>
      <c r="F629" s="189"/>
      <c r="G629" s="189"/>
      <c r="H629" s="193"/>
    </row>
    <row r="630" spans="1:8" ht="15" hidden="1" customHeight="1" x14ac:dyDescent="0.3">
      <c r="A630" s="232"/>
      <c r="B630" s="189"/>
      <c r="C630" s="189"/>
      <c r="D630" s="237"/>
      <c r="E630" s="189"/>
      <c r="F630" s="189"/>
      <c r="G630" s="189"/>
      <c r="H630" s="193"/>
    </row>
    <row r="631" spans="1:8" ht="15" hidden="1" customHeight="1" x14ac:dyDescent="0.3">
      <c r="A631" s="232"/>
      <c r="B631" s="189"/>
      <c r="C631" s="189"/>
      <c r="D631" s="237"/>
      <c r="E631" s="189"/>
      <c r="F631" s="189"/>
      <c r="G631" s="189"/>
      <c r="H631" s="193"/>
    </row>
    <row r="632" spans="1:8" ht="15" hidden="1" customHeight="1" x14ac:dyDescent="0.3">
      <c r="A632" s="232"/>
      <c r="B632" s="189"/>
      <c r="C632" s="189"/>
      <c r="D632" s="237"/>
      <c r="E632" s="189"/>
      <c r="F632" s="189"/>
      <c r="G632" s="189"/>
      <c r="H632" s="193"/>
    </row>
    <row r="633" spans="1:8" ht="15" hidden="1" customHeight="1" x14ac:dyDescent="0.3">
      <c r="A633" s="232"/>
      <c r="B633" s="189"/>
      <c r="C633" s="189"/>
      <c r="D633" s="237"/>
      <c r="E633" s="189"/>
      <c r="F633" s="189"/>
      <c r="G633" s="189"/>
      <c r="H633" s="193"/>
    </row>
    <row r="634" spans="1:8" ht="15" hidden="1" customHeight="1" x14ac:dyDescent="0.3">
      <c r="A634" s="232"/>
      <c r="B634" s="189"/>
      <c r="C634" s="189"/>
      <c r="D634" s="237"/>
      <c r="E634" s="189"/>
      <c r="F634" s="189"/>
      <c r="G634" s="189"/>
      <c r="H634" s="193"/>
    </row>
    <row r="635" spans="1:8" ht="15" hidden="1" customHeight="1" x14ac:dyDescent="0.3">
      <c r="A635" s="232"/>
      <c r="B635" s="189"/>
      <c r="C635" s="189"/>
      <c r="D635" s="237"/>
      <c r="E635" s="189"/>
      <c r="F635" s="189"/>
      <c r="G635" s="189"/>
      <c r="H635" s="193"/>
    </row>
    <row r="636" spans="1:8" ht="15" hidden="1" customHeight="1" x14ac:dyDescent="0.3">
      <c r="A636" s="232"/>
      <c r="B636" s="189"/>
      <c r="C636" s="189"/>
      <c r="D636" s="237"/>
      <c r="E636" s="189"/>
      <c r="F636" s="189"/>
      <c r="G636" s="189"/>
      <c r="H636" s="193"/>
    </row>
    <row r="637" spans="1:8" ht="15" hidden="1" customHeight="1" x14ac:dyDescent="0.3">
      <c r="A637" s="232"/>
      <c r="B637" s="189"/>
      <c r="C637" s="189"/>
      <c r="D637" s="237"/>
      <c r="E637" s="189"/>
      <c r="F637" s="189"/>
      <c r="G637" s="189"/>
      <c r="H637" s="193"/>
    </row>
    <row r="638" spans="1:8" ht="15" hidden="1" customHeight="1" x14ac:dyDescent="0.3">
      <c r="A638" s="232"/>
      <c r="B638" s="189"/>
      <c r="C638" s="189"/>
      <c r="D638" s="237"/>
      <c r="E638" s="189"/>
      <c r="F638" s="189"/>
      <c r="G638" s="189"/>
      <c r="H638" s="193"/>
    </row>
    <row r="639" spans="1:8" ht="15" hidden="1" customHeight="1" x14ac:dyDescent="0.3">
      <c r="A639" s="232"/>
      <c r="B639" s="189"/>
      <c r="C639" s="189"/>
      <c r="D639" s="237"/>
      <c r="E639" s="189"/>
      <c r="F639" s="189"/>
      <c r="G639" s="189"/>
      <c r="H639" s="193"/>
    </row>
    <row r="640" spans="1:8" ht="15" hidden="1" customHeight="1" x14ac:dyDescent="0.3">
      <c r="A640" s="232"/>
      <c r="B640" s="189"/>
      <c r="C640" s="189"/>
      <c r="D640" s="237"/>
      <c r="E640" s="189"/>
      <c r="F640" s="189"/>
      <c r="G640" s="189"/>
      <c r="H640" s="193"/>
    </row>
    <row r="641" spans="1:8" ht="15" hidden="1" customHeight="1" x14ac:dyDescent="0.3">
      <c r="A641" s="232"/>
      <c r="B641" s="189"/>
      <c r="C641" s="189"/>
      <c r="D641" s="237"/>
      <c r="E641" s="189"/>
      <c r="F641" s="189"/>
      <c r="G641" s="189"/>
      <c r="H641" s="193"/>
    </row>
    <row r="642" spans="1:8" ht="15" hidden="1" customHeight="1" x14ac:dyDescent="0.3">
      <c r="A642" s="232"/>
      <c r="B642" s="189"/>
      <c r="C642" s="189"/>
      <c r="D642" s="237"/>
      <c r="E642" s="189"/>
      <c r="F642" s="189"/>
      <c r="G642" s="189"/>
      <c r="H642" s="193"/>
    </row>
    <row r="643" spans="1:8" ht="15" hidden="1" customHeight="1" x14ac:dyDescent="0.3">
      <c r="A643" s="232"/>
      <c r="B643" s="189"/>
      <c r="C643" s="189"/>
      <c r="D643" s="237"/>
      <c r="E643" s="189"/>
      <c r="F643" s="189"/>
      <c r="G643" s="189"/>
      <c r="H643" s="193"/>
    </row>
    <row r="644" spans="1:8" ht="15" hidden="1" customHeight="1" x14ac:dyDescent="0.3">
      <c r="A644" s="232"/>
      <c r="B644" s="189"/>
      <c r="C644" s="189"/>
      <c r="D644" s="237"/>
      <c r="E644" s="189"/>
      <c r="F644" s="189"/>
      <c r="G644" s="189"/>
      <c r="H644" s="193"/>
    </row>
    <row r="645" spans="1:8" ht="15" hidden="1" customHeight="1" x14ac:dyDescent="0.3">
      <c r="A645" s="232"/>
      <c r="B645" s="189"/>
      <c r="C645" s="189"/>
      <c r="D645" s="237"/>
      <c r="E645" s="189"/>
      <c r="F645" s="189"/>
      <c r="G645" s="189"/>
      <c r="H645" s="193"/>
    </row>
    <row r="646" spans="1:8" ht="15" hidden="1" customHeight="1" x14ac:dyDescent="0.3">
      <c r="A646" s="232"/>
      <c r="B646" s="189"/>
      <c r="C646" s="189"/>
      <c r="D646" s="237"/>
      <c r="E646" s="189"/>
      <c r="F646" s="189"/>
      <c r="G646" s="189"/>
      <c r="H646" s="193"/>
    </row>
    <row r="647" spans="1:8" ht="15" hidden="1" customHeight="1" x14ac:dyDescent="0.3">
      <c r="A647" s="232"/>
      <c r="B647" s="189"/>
      <c r="C647" s="189"/>
      <c r="D647" s="237"/>
      <c r="E647" s="189"/>
      <c r="F647" s="189"/>
      <c r="G647" s="189"/>
      <c r="H647" s="193"/>
    </row>
    <row r="648" spans="1:8" ht="15" hidden="1" customHeight="1" x14ac:dyDescent="0.3">
      <c r="A648" s="232"/>
      <c r="B648" s="189"/>
      <c r="C648" s="189"/>
      <c r="D648" s="237"/>
      <c r="E648" s="189"/>
      <c r="F648" s="189"/>
      <c r="G648" s="189"/>
      <c r="H648" s="193"/>
    </row>
    <row r="649" spans="1:8" ht="15" hidden="1" customHeight="1" x14ac:dyDescent="0.3">
      <c r="A649" s="232"/>
      <c r="B649" s="189"/>
      <c r="C649" s="189"/>
      <c r="D649" s="237"/>
      <c r="E649" s="189"/>
      <c r="F649" s="189"/>
      <c r="G649" s="189"/>
      <c r="H649" s="193"/>
    </row>
    <row r="650" spans="1:8" ht="15" hidden="1" customHeight="1" x14ac:dyDescent="0.3">
      <c r="A650" s="232"/>
      <c r="B650" s="189"/>
      <c r="C650" s="189"/>
      <c r="D650" s="237"/>
      <c r="E650" s="189"/>
      <c r="F650" s="189"/>
      <c r="G650" s="189"/>
      <c r="H650" s="193"/>
    </row>
    <row r="651" spans="1:8" ht="15" hidden="1" customHeight="1" x14ac:dyDescent="0.3">
      <c r="A651" s="232"/>
      <c r="B651" s="189"/>
      <c r="C651" s="189"/>
      <c r="D651" s="237"/>
      <c r="E651" s="189"/>
      <c r="F651" s="189"/>
      <c r="G651" s="189"/>
      <c r="H651" s="193"/>
    </row>
    <row r="652" spans="1:8" ht="15" hidden="1" customHeight="1" x14ac:dyDescent="0.3">
      <c r="A652" s="232"/>
      <c r="B652" s="189"/>
      <c r="C652" s="189"/>
      <c r="D652" s="237"/>
      <c r="E652" s="189"/>
      <c r="F652" s="189"/>
      <c r="G652" s="189"/>
      <c r="H652" s="193"/>
    </row>
    <row r="653" spans="1:8" ht="15" hidden="1" customHeight="1" x14ac:dyDescent="0.3">
      <c r="A653" s="232"/>
      <c r="B653" s="189"/>
      <c r="C653" s="189"/>
      <c r="D653" s="237"/>
      <c r="E653" s="189"/>
      <c r="F653" s="189"/>
      <c r="G653" s="189"/>
      <c r="H653" s="193"/>
    </row>
    <row r="654" spans="1:8" ht="15" hidden="1" customHeight="1" x14ac:dyDescent="0.3">
      <c r="A654" s="232"/>
      <c r="B654" s="189"/>
      <c r="C654" s="189"/>
      <c r="D654" s="237"/>
      <c r="E654" s="189"/>
      <c r="F654" s="189"/>
      <c r="G654" s="189"/>
      <c r="H654" s="193"/>
    </row>
    <row r="655" spans="1:8" ht="15" hidden="1" customHeight="1" x14ac:dyDescent="0.3">
      <c r="A655" s="232"/>
      <c r="B655" s="189"/>
      <c r="C655" s="189"/>
      <c r="D655" s="237"/>
      <c r="E655" s="189"/>
      <c r="F655" s="189"/>
      <c r="G655" s="189"/>
      <c r="H655" s="193"/>
    </row>
    <row r="656" spans="1:8" ht="15" hidden="1" customHeight="1" x14ac:dyDescent="0.3">
      <c r="A656" s="232"/>
      <c r="B656" s="189"/>
      <c r="C656" s="189"/>
      <c r="D656" s="237"/>
      <c r="E656" s="189"/>
      <c r="F656" s="189"/>
      <c r="G656" s="189"/>
      <c r="H656" s="193"/>
    </row>
    <row r="657" spans="1:8" ht="15" hidden="1" customHeight="1" x14ac:dyDescent="0.3">
      <c r="A657" s="232"/>
      <c r="B657" s="189"/>
      <c r="C657" s="189"/>
      <c r="D657" s="237"/>
      <c r="E657" s="189"/>
      <c r="F657" s="189"/>
      <c r="G657" s="189"/>
      <c r="H657" s="193"/>
    </row>
    <row r="658" spans="1:8" ht="15" hidden="1" customHeight="1" x14ac:dyDescent="0.3">
      <c r="A658" s="232"/>
      <c r="B658" s="189"/>
      <c r="C658" s="189"/>
      <c r="D658" s="237"/>
      <c r="E658" s="189"/>
      <c r="F658" s="189"/>
      <c r="G658" s="189"/>
      <c r="H658" s="193"/>
    </row>
    <row r="659" spans="1:8" ht="15" hidden="1" customHeight="1" x14ac:dyDescent="0.3">
      <c r="A659" s="232"/>
      <c r="B659" s="189"/>
      <c r="C659" s="189"/>
      <c r="D659" s="237"/>
      <c r="E659" s="189"/>
      <c r="F659" s="189"/>
      <c r="G659" s="189"/>
      <c r="H659" s="193"/>
    </row>
    <row r="660" spans="1:8" ht="15" hidden="1" customHeight="1" x14ac:dyDescent="0.3">
      <c r="A660" s="232"/>
      <c r="B660" s="189"/>
      <c r="C660" s="189"/>
      <c r="D660" s="237"/>
      <c r="E660" s="189"/>
      <c r="F660" s="189"/>
      <c r="G660" s="189"/>
      <c r="H660" s="193"/>
    </row>
    <row r="661" spans="1:8" ht="15" hidden="1" customHeight="1" x14ac:dyDescent="0.3">
      <c r="A661" s="232"/>
      <c r="B661" s="189"/>
      <c r="C661" s="189"/>
      <c r="D661" s="237"/>
      <c r="E661" s="189"/>
      <c r="F661" s="189"/>
      <c r="G661" s="189"/>
      <c r="H661" s="193"/>
    </row>
    <row r="662" spans="1:8" ht="15" hidden="1" customHeight="1" x14ac:dyDescent="0.3">
      <c r="A662" s="232"/>
      <c r="B662" s="189"/>
      <c r="C662" s="189"/>
      <c r="D662" s="237"/>
      <c r="E662" s="189"/>
      <c r="F662" s="189"/>
      <c r="G662" s="189"/>
      <c r="H662" s="193"/>
    </row>
    <row r="663" spans="1:8" ht="15" hidden="1" customHeight="1" x14ac:dyDescent="0.3">
      <c r="A663" s="232"/>
      <c r="B663" s="189"/>
      <c r="C663" s="189"/>
      <c r="D663" s="237"/>
      <c r="E663" s="189"/>
      <c r="F663" s="189"/>
      <c r="G663" s="189"/>
      <c r="H663" s="193"/>
    </row>
    <row r="664" spans="1:8" ht="15" hidden="1" customHeight="1" x14ac:dyDescent="0.3">
      <c r="A664" s="232"/>
      <c r="B664" s="189"/>
      <c r="C664" s="189"/>
      <c r="D664" s="237"/>
      <c r="E664" s="189"/>
      <c r="F664" s="189"/>
      <c r="G664" s="189"/>
      <c r="H664" s="193"/>
    </row>
    <row r="665" spans="1:8" ht="15" hidden="1" customHeight="1" x14ac:dyDescent="0.3">
      <c r="A665" s="232"/>
      <c r="B665" s="189"/>
      <c r="C665" s="189"/>
      <c r="D665" s="237"/>
      <c r="E665" s="189"/>
      <c r="F665" s="189"/>
      <c r="G665" s="189"/>
      <c r="H665" s="193"/>
    </row>
    <row r="666" spans="1:8" ht="15" hidden="1" customHeight="1" x14ac:dyDescent="0.3">
      <c r="A666" s="232"/>
      <c r="B666" s="189"/>
      <c r="C666" s="189"/>
      <c r="D666" s="237"/>
      <c r="E666" s="189"/>
      <c r="F666" s="189"/>
      <c r="G666" s="189"/>
      <c r="H666" s="193"/>
    </row>
    <row r="667" spans="1:8" ht="15" hidden="1" customHeight="1" x14ac:dyDescent="0.3">
      <c r="A667" s="232"/>
      <c r="B667" s="189"/>
      <c r="C667" s="189"/>
      <c r="D667" s="237"/>
      <c r="E667" s="189"/>
      <c r="F667" s="189"/>
      <c r="G667" s="189"/>
      <c r="H667" s="193"/>
    </row>
    <row r="668" spans="1:8" ht="15" hidden="1" customHeight="1" x14ac:dyDescent="0.3">
      <c r="A668" s="232"/>
      <c r="B668" s="189"/>
      <c r="C668" s="189"/>
      <c r="D668" s="237"/>
      <c r="E668" s="189"/>
      <c r="F668" s="189"/>
      <c r="G668" s="189"/>
      <c r="H668" s="193"/>
    </row>
    <row r="669" spans="1:8" ht="15" hidden="1" customHeight="1" x14ac:dyDescent="0.3">
      <c r="A669" s="232"/>
      <c r="B669" s="189"/>
      <c r="C669" s="189"/>
      <c r="D669" s="237"/>
      <c r="E669" s="189"/>
      <c r="F669" s="189"/>
      <c r="G669" s="189"/>
      <c r="H669" s="193"/>
    </row>
    <row r="670" spans="1:8" ht="15" hidden="1" customHeight="1" x14ac:dyDescent="0.3">
      <c r="A670" s="232"/>
      <c r="B670" s="189"/>
      <c r="C670" s="189"/>
      <c r="D670" s="237"/>
      <c r="E670" s="189"/>
      <c r="F670" s="189"/>
      <c r="G670" s="189"/>
      <c r="H670" s="193"/>
    </row>
    <row r="671" spans="1:8" ht="15" hidden="1" customHeight="1" x14ac:dyDescent="0.3">
      <c r="A671" s="232"/>
      <c r="B671" s="189"/>
      <c r="C671" s="189"/>
      <c r="D671" s="237"/>
      <c r="E671" s="189"/>
      <c r="F671" s="189"/>
      <c r="G671" s="189"/>
      <c r="H671" s="193"/>
    </row>
    <row r="672" spans="1:8" ht="15" hidden="1" customHeight="1" x14ac:dyDescent="0.3">
      <c r="A672" s="232"/>
      <c r="B672" s="189"/>
      <c r="C672" s="189"/>
      <c r="D672" s="237"/>
      <c r="E672" s="189"/>
      <c r="F672" s="189"/>
      <c r="G672" s="189"/>
      <c r="H672" s="193"/>
    </row>
    <row r="673" spans="1:8" ht="15" hidden="1" customHeight="1" x14ac:dyDescent="0.3">
      <c r="A673" s="232"/>
      <c r="B673" s="189"/>
      <c r="C673" s="189"/>
      <c r="D673" s="237"/>
      <c r="E673" s="189"/>
      <c r="F673" s="189"/>
      <c r="G673" s="189"/>
      <c r="H673" s="193"/>
    </row>
    <row r="674" spans="1:8" ht="15" hidden="1" customHeight="1" x14ac:dyDescent="0.3">
      <c r="A674" s="232"/>
      <c r="B674" s="189"/>
      <c r="C674" s="189"/>
      <c r="D674" s="237"/>
      <c r="E674" s="189"/>
      <c r="F674" s="189"/>
      <c r="G674" s="189"/>
      <c r="H674" s="193"/>
    </row>
    <row r="675" spans="1:8" ht="15" hidden="1" customHeight="1" x14ac:dyDescent="0.3">
      <c r="A675" s="232"/>
      <c r="B675" s="189"/>
      <c r="C675" s="189"/>
      <c r="D675" s="237"/>
      <c r="E675" s="189"/>
      <c r="F675" s="189"/>
      <c r="G675" s="189"/>
      <c r="H675" s="193"/>
    </row>
    <row r="676" spans="1:8" ht="15" hidden="1" customHeight="1" x14ac:dyDescent="0.3">
      <c r="A676" s="232"/>
      <c r="B676" s="189"/>
      <c r="C676" s="189"/>
      <c r="D676" s="237"/>
      <c r="E676" s="189"/>
      <c r="F676" s="189"/>
      <c r="G676" s="189"/>
      <c r="H676" s="193"/>
    </row>
    <row r="677" spans="1:8" ht="15" hidden="1" customHeight="1" x14ac:dyDescent="0.3">
      <c r="A677" s="232"/>
      <c r="B677" s="189"/>
      <c r="C677" s="189"/>
      <c r="D677" s="237"/>
      <c r="E677" s="189"/>
      <c r="F677" s="189"/>
      <c r="G677" s="189"/>
      <c r="H677" s="193"/>
    </row>
    <row r="678" spans="1:8" ht="15" hidden="1" customHeight="1" x14ac:dyDescent="0.3">
      <c r="A678" s="232"/>
      <c r="B678" s="189"/>
      <c r="C678" s="189"/>
      <c r="D678" s="237"/>
      <c r="E678" s="189"/>
      <c r="F678" s="189"/>
      <c r="G678" s="189"/>
      <c r="H678" s="193"/>
    </row>
    <row r="679" spans="1:8" ht="15" hidden="1" customHeight="1" x14ac:dyDescent="0.3">
      <c r="A679" s="232"/>
      <c r="B679" s="189"/>
      <c r="C679" s="189"/>
      <c r="D679" s="237"/>
      <c r="E679" s="189"/>
      <c r="F679" s="189"/>
      <c r="G679" s="189"/>
      <c r="H679" s="193"/>
    </row>
    <row r="680" spans="1:8" ht="15" hidden="1" customHeight="1" x14ac:dyDescent="0.3">
      <c r="A680" s="232"/>
      <c r="B680" s="189"/>
      <c r="C680" s="189"/>
      <c r="D680" s="237"/>
      <c r="E680" s="189"/>
      <c r="F680" s="189"/>
      <c r="G680" s="189"/>
      <c r="H680" s="193"/>
    </row>
    <row r="681" spans="1:8" ht="15" hidden="1" customHeight="1" x14ac:dyDescent="0.3">
      <c r="A681" s="232"/>
      <c r="B681" s="189"/>
      <c r="C681" s="189"/>
      <c r="D681" s="237"/>
      <c r="E681" s="189"/>
      <c r="F681" s="189"/>
      <c r="G681" s="189"/>
      <c r="H681" s="193"/>
    </row>
    <row r="682" spans="1:8" ht="15" hidden="1" customHeight="1" x14ac:dyDescent="0.3">
      <c r="A682" s="232"/>
      <c r="B682" s="189"/>
      <c r="C682" s="189"/>
      <c r="D682" s="237"/>
      <c r="E682" s="189"/>
      <c r="F682" s="189"/>
      <c r="G682" s="189"/>
      <c r="H682" s="193"/>
    </row>
    <row r="683" spans="1:8" ht="15" hidden="1" customHeight="1" x14ac:dyDescent="0.3">
      <c r="A683" s="232"/>
      <c r="B683" s="189"/>
      <c r="C683" s="189"/>
      <c r="D683" s="237"/>
      <c r="E683" s="189"/>
      <c r="F683" s="189"/>
      <c r="G683" s="189"/>
      <c r="H683" s="193"/>
    </row>
    <row r="684" spans="1:8" ht="15" hidden="1" customHeight="1" x14ac:dyDescent="0.3">
      <c r="A684" s="232"/>
      <c r="B684" s="189"/>
      <c r="C684" s="189"/>
      <c r="D684" s="237"/>
      <c r="E684" s="189"/>
      <c r="F684" s="189"/>
      <c r="G684" s="189"/>
      <c r="H684" s="193"/>
    </row>
    <row r="685" spans="1:8" ht="15" hidden="1" customHeight="1" x14ac:dyDescent="0.3">
      <c r="A685" s="232"/>
      <c r="B685" s="189"/>
      <c r="C685" s="189"/>
      <c r="D685" s="237"/>
      <c r="E685" s="189"/>
      <c r="F685" s="189"/>
      <c r="G685" s="189"/>
      <c r="H685" s="193"/>
    </row>
    <row r="686" spans="1:8" ht="15" hidden="1" customHeight="1" x14ac:dyDescent="0.3">
      <c r="A686" s="232"/>
      <c r="B686" s="189"/>
      <c r="C686" s="189"/>
      <c r="D686" s="237"/>
      <c r="E686" s="189"/>
      <c r="F686" s="189"/>
      <c r="G686" s="189"/>
      <c r="H686" s="193"/>
    </row>
    <row r="687" spans="1:8" ht="15" hidden="1" customHeight="1" x14ac:dyDescent="0.3">
      <c r="A687" s="232"/>
      <c r="B687" s="189"/>
      <c r="C687" s="189"/>
      <c r="D687" s="237"/>
      <c r="E687" s="189"/>
      <c r="F687" s="189"/>
      <c r="G687" s="189"/>
      <c r="H687" s="193"/>
    </row>
    <row r="688" spans="1:8" ht="15" hidden="1" customHeight="1" x14ac:dyDescent="0.3">
      <c r="A688" s="232"/>
      <c r="B688" s="189"/>
      <c r="C688" s="189"/>
      <c r="D688" s="237"/>
      <c r="E688" s="189"/>
      <c r="F688" s="189"/>
      <c r="G688" s="189"/>
      <c r="H688" s="193"/>
    </row>
    <row r="689" spans="1:8" ht="15" hidden="1" customHeight="1" x14ac:dyDescent="0.3">
      <c r="A689" s="232"/>
      <c r="B689" s="189"/>
      <c r="C689" s="189"/>
      <c r="D689" s="237"/>
      <c r="E689" s="189"/>
      <c r="F689" s="189"/>
      <c r="G689" s="189"/>
      <c r="H689" s="193"/>
    </row>
    <row r="690" spans="1:8" ht="15" hidden="1" customHeight="1" x14ac:dyDescent="0.3">
      <c r="A690" s="232"/>
      <c r="B690" s="189"/>
      <c r="C690" s="189"/>
      <c r="D690" s="237"/>
      <c r="E690" s="189"/>
      <c r="F690" s="189"/>
      <c r="G690" s="189"/>
      <c r="H690" s="193"/>
    </row>
    <row r="691" spans="1:8" ht="15" hidden="1" customHeight="1" x14ac:dyDescent="0.3">
      <c r="A691" s="232"/>
      <c r="B691" s="189"/>
      <c r="C691" s="189"/>
      <c r="D691" s="237"/>
      <c r="E691" s="189"/>
      <c r="F691" s="189"/>
      <c r="G691" s="189"/>
      <c r="H691" s="193"/>
    </row>
    <row r="692" spans="1:8" ht="15" hidden="1" customHeight="1" x14ac:dyDescent="0.3">
      <c r="A692" s="232"/>
      <c r="B692" s="189"/>
      <c r="C692" s="189"/>
      <c r="D692" s="237"/>
      <c r="E692" s="189"/>
      <c r="F692" s="189"/>
      <c r="G692" s="189"/>
      <c r="H692" s="193"/>
    </row>
    <row r="693" spans="1:8" ht="15" hidden="1" customHeight="1" x14ac:dyDescent="0.3">
      <c r="A693" s="232"/>
      <c r="B693" s="189"/>
      <c r="C693" s="189"/>
      <c r="D693" s="237"/>
      <c r="E693" s="189"/>
      <c r="F693" s="189"/>
      <c r="G693" s="189"/>
      <c r="H693" s="193"/>
    </row>
    <row r="694" spans="1:8" ht="15" hidden="1" customHeight="1" x14ac:dyDescent="0.3">
      <c r="A694" s="232"/>
      <c r="B694" s="189"/>
      <c r="C694" s="189"/>
      <c r="D694" s="237"/>
      <c r="E694" s="189"/>
      <c r="F694" s="189"/>
      <c r="G694" s="189"/>
      <c r="H694" s="193"/>
    </row>
    <row r="695" spans="1:8" ht="15" hidden="1" customHeight="1" x14ac:dyDescent="0.3">
      <c r="A695" s="232"/>
      <c r="B695" s="189"/>
      <c r="C695" s="189"/>
      <c r="D695" s="237"/>
      <c r="E695" s="189"/>
      <c r="F695" s="189"/>
      <c r="G695" s="189"/>
      <c r="H695" s="193"/>
    </row>
    <row r="696" spans="1:8" ht="15" hidden="1" customHeight="1" x14ac:dyDescent="0.3">
      <c r="A696" s="232"/>
      <c r="B696" s="189"/>
      <c r="C696" s="189"/>
      <c r="D696" s="237"/>
      <c r="E696" s="189"/>
      <c r="F696" s="189"/>
      <c r="G696" s="189"/>
      <c r="H696" s="193"/>
    </row>
    <row r="697" spans="1:8" ht="15" hidden="1" customHeight="1" x14ac:dyDescent="0.3">
      <c r="A697" s="232"/>
      <c r="B697" s="189"/>
      <c r="C697" s="189"/>
      <c r="D697" s="237"/>
      <c r="E697" s="189"/>
      <c r="F697" s="189"/>
      <c r="G697" s="189"/>
      <c r="H697" s="193"/>
    </row>
    <row r="698" spans="1:8" ht="15" hidden="1" customHeight="1" x14ac:dyDescent="0.3">
      <c r="A698" s="232"/>
      <c r="B698" s="189"/>
      <c r="C698" s="189"/>
      <c r="D698" s="237"/>
      <c r="E698" s="189"/>
      <c r="F698" s="189"/>
      <c r="G698" s="189"/>
      <c r="H698" s="193"/>
    </row>
    <row r="699" spans="1:8" ht="15" hidden="1" customHeight="1" x14ac:dyDescent="0.3">
      <c r="A699" s="232"/>
      <c r="B699" s="189"/>
      <c r="C699" s="189"/>
      <c r="D699" s="237"/>
      <c r="E699" s="189"/>
      <c r="F699" s="189"/>
      <c r="G699" s="189"/>
      <c r="H699" s="193"/>
    </row>
    <row r="700" spans="1:8" ht="15" hidden="1" customHeight="1" x14ac:dyDescent="0.3">
      <c r="A700" s="232"/>
      <c r="B700" s="189"/>
      <c r="C700" s="189"/>
      <c r="D700" s="237"/>
      <c r="E700" s="189"/>
      <c r="F700" s="189"/>
      <c r="G700" s="189"/>
      <c r="H700" s="193"/>
    </row>
    <row r="701" spans="1:8" ht="15" hidden="1" customHeight="1" x14ac:dyDescent="0.3">
      <c r="A701" s="232"/>
      <c r="B701" s="189"/>
      <c r="C701" s="189"/>
      <c r="D701" s="237"/>
      <c r="E701" s="189"/>
      <c r="F701" s="189"/>
      <c r="G701" s="189"/>
      <c r="H701" s="193"/>
    </row>
    <row r="702" spans="1:8" ht="15" hidden="1" customHeight="1" x14ac:dyDescent="0.3">
      <c r="A702" s="232"/>
      <c r="B702" s="189"/>
      <c r="C702" s="189"/>
      <c r="D702" s="237"/>
      <c r="E702" s="189"/>
      <c r="F702" s="189"/>
      <c r="G702" s="189"/>
      <c r="H702" s="193"/>
    </row>
    <row r="703" spans="1:8" ht="15" hidden="1" customHeight="1" x14ac:dyDescent="0.3">
      <c r="A703" s="232"/>
      <c r="B703" s="189"/>
      <c r="C703" s="189"/>
      <c r="D703" s="237"/>
      <c r="E703" s="189"/>
      <c r="F703" s="189"/>
      <c r="G703" s="189"/>
      <c r="H703" s="193"/>
    </row>
    <row r="704" spans="1:8" ht="15" hidden="1" customHeight="1" x14ac:dyDescent="0.3">
      <c r="A704" s="232"/>
      <c r="B704" s="189"/>
      <c r="C704" s="189"/>
      <c r="D704" s="237"/>
      <c r="E704" s="189"/>
      <c r="F704" s="189"/>
      <c r="G704" s="189"/>
      <c r="H704" s="193"/>
    </row>
    <row r="705" spans="1:8" ht="15" hidden="1" customHeight="1" x14ac:dyDescent="0.3">
      <c r="A705" s="232"/>
      <c r="B705" s="189"/>
      <c r="C705" s="189"/>
      <c r="D705" s="237"/>
      <c r="E705" s="189"/>
      <c r="F705" s="189"/>
      <c r="G705" s="189"/>
      <c r="H705" s="193"/>
    </row>
    <row r="706" spans="1:8" ht="15" hidden="1" customHeight="1" x14ac:dyDescent="0.3">
      <c r="A706" s="232"/>
      <c r="B706" s="189"/>
      <c r="C706" s="189"/>
      <c r="D706" s="237"/>
      <c r="E706" s="189"/>
      <c r="F706" s="189"/>
      <c r="G706" s="189"/>
      <c r="H706" s="193"/>
    </row>
    <row r="707" spans="1:8" ht="15" hidden="1" customHeight="1" x14ac:dyDescent="0.3">
      <c r="A707" s="232"/>
      <c r="B707" s="189"/>
      <c r="C707" s="189"/>
      <c r="D707" s="237"/>
      <c r="E707" s="189"/>
      <c r="F707" s="189"/>
      <c r="G707" s="189"/>
      <c r="H707" s="193"/>
    </row>
    <row r="708" spans="1:8" ht="15" hidden="1" customHeight="1" x14ac:dyDescent="0.3">
      <c r="A708" s="232"/>
      <c r="B708" s="189"/>
      <c r="C708" s="189"/>
      <c r="D708" s="237"/>
      <c r="E708" s="189"/>
      <c r="F708" s="189"/>
      <c r="G708" s="189"/>
      <c r="H708" s="193"/>
    </row>
    <row r="709" spans="1:8" ht="15" hidden="1" customHeight="1" x14ac:dyDescent="0.3">
      <c r="A709" s="232"/>
      <c r="B709" s="189"/>
      <c r="C709" s="189"/>
      <c r="D709" s="237"/>
      <c r="E709" s="189"/>
      <c r="F709" s="189"/>
      <c r="G709" s="189"/>
      <c r="H709" s="193"/>
    </row>
    <row r="710" spans="1:8" ht="15" hidden="1" customHeight="1" x14ac:dyDescent="0.3">
      <c r="A710" s="232"/>
      <c r="B710" s="189"/>
      <c r="C710" s="189"/>
      <c r="D710" s="237"/>
      <c r="E710" s="189"/>
      <c r="F710" s="189"/>
      <c r="G710" s="189"/>
      <c r="H710" s="193"/>
    </row>
    <row r="711" spans="1:8" ht="15" hidden="1" customHeight="1" x14ac:dyDescent="0.3">
      <c r="A711" s="232"/>
      <c r="B711" s="189"/>
      <c r="C711" s="189"/>
      <c r="D711" s="237"/>
      <c r="E711" s="189"/>
      <c r="F711" s="189"/>
      <c r="G711" s="189"/>
      <c r="H711" s="193"/>
    </row>
    <row r="712" spans="1:8" ht="15" hidden="1" customHeight="1" x14ac:dyDescent="0.3">
      <c r="A712" s="232"/>
      <c r="B712" s="189"/>
      <c r="C712" s="189"/>
      <c r="D712" s="237"/>
      <c r="E712" s="189"/>
      <c r="F712" s="189"/>
      <c r="G712" s="189"/>
      <c r="H712" s="193"/>
    </row>
    <row r="713" spans="1:8" ht="15" hidden="1" customHeight="1" x14ac:dyDescent="0.3">
      <c r="A713" s="232"/>
      <c r="B713" s="189"/>
      <c r="C713" s="189"/>
      <c r="D713" s="237"/>
      <c r="E713" s="189"/>
      <c r="F713" s="189"/>
      <c r="G713" s="189"/>
      <c r="H713" s="193"/>
    </row>
    <row r="714" spans="1:8" ht="15" hidden="1" customHeight="1" x14ac:dyDescent="0.3">
      <c r="A714" s="232"/>
      <c r="B714" s="189"/>
      <c r="C714" s="189"/>
      <c r="D714" s="237"/>
      <c r="E714" s="189"/>
      <c r="F714" s="189"/>
      <c r="G714" s="189"/>
      <c r="H714" s="193"/>
    </row>
    <row r="715" spans="1:8" ht="15" hidden="1" customHeight="1" x14ac:dyDescent="0.3">
      <c r="A715" s="232"/>
      <c r="B715" s="189"/>
      <c r="C715" s="189"/>
      <c r="D715" s="237"/>
      <c r="E715" s="189"/>
      <c r="F715" s="189"/>
      <c r="G715" s="189"/>
      <c r="H715" s="193"/>
    </row>
    <row r="716" spans="1:8" ht="15" hidden="1" customHeight="1" x14ac:dyDescent="0.3">
      <c r="A716" s="232"/>
      <c r="B716" s="189"/>
      <c r="C716" s="189"/>
      <c r="D716" s="237"/>
      <c r="E716" s="189"/>
      <c r="F716" s="189"/>
      <c r="G716" s="189"/>
      <c r="H716" s="193"/>
    </row>
    <row r="717" spans="1:8" ht="15" hidden="1" customHeight="1" x14ac:dyDescent="0.3">
      <c r="A717" s="232"/>
      <c r="B717" s="189"/>
      <c r="C717" s="189"/>
      <c r="D717" s="237"/>
      <c r="E717" s="189"/>
      <c r="F717" s="189"/>
      <c r="G717" s="189"/>
      <c r="H717" s="193"/>
    </row>
    <row r="718" spans="1:8" ht="15" hidden="1" customHeight="1" x14ac:dyDescent="0.3">
      <c r="A718" s="232"/>
      <c r="B718" s="189"/>
      <c r="C718" s="189"/>
      <c r="D718" s="237"/>
      <c r="E718" s="189"/>
      <c r="F718" s="189"/>
      <c r="G718" s="189"/>
      <c r="H718" s="193"/>
    </row>
    <row r="719" spans="1:8" ht="15" hidden="1" customHeight="1" x14ac:dyDescent="0.3">
      <c r="A719" s="232"/>
      <c r="B719" s="189"/>
      <c r="C719" s="189"/>
      <c r="D719" s="237"/>
      <c r="E719" s="189"/>
      <c r="F719" s="189"/>
      <c r="G719" s="189"/>
      <c r="H719" s="193"/>
    </row>
    <row r="720" spans="1:8" ht="15" hidden="1" customHeight="1" x14ac:dyDescent="0.3">
      <c r="A720" s="232"/>
      <c r="B720" s="189"/>
      <c r="C720" s="189"/>
      <c r="D720" s="237"/>
      <c r="E720" s="189"/>
      <c r="F720" s="189"/>
      <c r="G720" s="189"/>
      <c r="H720" s="193"/>
    </row>
    <row r="721" spans="1:8" ht="15" hidden="1" customHeight="1" x14ac:dyDescent="0.3">
      <c r="A721" s="232"/>
      <c r="B721" s="189"/>
      <c r="C721" s="189"/>
      <c r="D721" s="237"/>
      <c r="E721" s="189"/>
      <c r="F721" s="189"/>
      <c r="G721" s="189"/>
      <c r="H721" s="193"/>
    </row>
    <row r="722" spans="1:8" ht="15" hidden="1" customHeight="1" x14ac:dyDescent="0.3">
      <c r="A722" s="232"/>
      <c r="B722" s="189"/>
      <c r="C722" s="189"/>
      <c r="D722" s="237"/>
      <c r="E722" s="189"/>
      <c r="F722" s="189"/>
      <c r="G722" s="189"/>
      <c r="H722" s="193"/>
    </row>
    <row r="723" spans="1:8" ht="15" hidden="1" customHeight="1" x14ac:dyDescent="0.3">
      <c r="A723" s="232"/>
      <c r="B723" s="189"/>
      <c r="C723" s="189"/>
      <c r="D723" s="237"/>
      <c r="E723" s="189"/>
      <c r="F723" s="189"/>
      <c r="G723" s="189"/>
      <c r="H723" s="193"/>
    </row>
    <row r="724" spans="1:8" ht="15" hidden="1" customHeight="1" x14ac:dyDescent="0.3">
      <c r="A724" s="232"/>
      <c r="B724" s="189"/>
      <c r="C724" s="189"/>
      <c r="D724" s="237"/>
      <c r="E724" s="189"/>
      <c r="F724" s="189"/>
      <c r="G724" s="189"/>
      <c r="H724" s="193"/>
    </row>
    <row r="725" spans="1:8" ht="15" hidden="1" customHeight="1" x14ac:dyDescent="0.3">
      <c r="A725" s="232"/>
      <c r="B725" s="189"/>
      <c r="C725" s="189"/>
      <c r="D725" s="237"/>
      <c r="E725" s="189"/>
      <c r="F725" s="189"/>
      <c r="G725" s="189"/>
      <c r="H725" s="193"/>
    </row>
    <row r="726" spans="1:8" ht="15" hidden="1" customHeight="1" x14ac:dyDescent="0.3">
      <c r="A726" s="232"/>
      <c r="B726" s="189"/>
      <c r="C726" s="189"/>
      <c r="D726" s="237"/>
      <c r="E726" s="189"/>
      <c r="F726" s="189"/>
      <c r="G726" s="189"/>
      <c r="H726" s="193"/>
    </row>
    <row r="727" spans="1:8" ht="15" hidden="1" customHeight="1" x14ac:dyDescent="0.3">
      <c r="A727" s="232"/>
      <c r="B727" s="189"/>
      <c r="C727" s="189"/>
      <c r="D727" s="237"/>
      <c r="E727" s="189"/>
      <c r="F727" s="189"/>
      <c r="G727" s="189"/>
      <c r="H727" s="193"/>
    </row>
    <row r="728" spans="1:8" ht="15" hidden="1" customHeight="1" x14ac:dyDescent="0.3">
      <c r="A728" s="232"/>
      <c r="B728" s="189"/>
      <c r="C728" s="189"/>
      <c r="D728" s="237"/>
      <c r="E728" s="189"/>
      <c r="F728" s="189"/>
      <c r="G728" s="189"/>
      <c r="H728" s="193"/>
    </row>
    <row r="729" spans="1:8" ht="15" hidden="1" customHeight="1" x14ac:dyDescent="0.3">
      <c r="A729" s="232"/>
      <c r="B729" s="189"/>
      <c r="C729" s="189"/>
      <c r="D729" s="237"/>
      <c r="E729" s="189"/>
      <c r="F729" s="189"/>
      <c r="G729" s="189"/>
      <c r="H729" s="193"/>
    </row>
    <row r="730" spans="1:8" ht="15" hidden="1" customHeight="1" x14ac:dyDescent="0.3">
      <c r="A730" s="232"/>
      <c r="B730" s="189"/>
      <c r="C730" s="189"/>
      <c r="D730" s="237"/>
      <c r="E730" s="189"/>
      <c r="F730" s="189"/>
      <c r="G730" s="189"/>
      <c r="H730" s="193"/>
    </row>
    <row r="731" spans="1:8" ht="15" hidden="1" customHeight="1" x14ac:dyDescent="0.3">
      <c r="A731" s="232"/>
      <c r="B731" s="189"/>
      <c r="C731" s="189"/>
      <c r="D731" s="237"/>
      <c r="E731" s="189"/>
      <c r="F731" s="189"/>
      <c r="G731" s="189"/>
      <c r="H731" s="193"/>
    </row>
    <row r="732" spans="1:8" ht="15" hidden="1" customHeight="1" x14ac:dyDescent="0.3">
      <c r="A732" s="232"/>
      <c r="B732" s="189"/>
      <c r="C732" s="189"/>
      <c r="D732" s="237"/>
      <c r="E732" s="189"/>
      <c r="F732" s="189"/>
      <c r="G732" s="189"/>
      <c r="H732" s="193"/>
    </row>
    <row r="733" spans="1:8" ht="15" hidden="1" customHeight="1" x14ac:dyDescent="0.3">
      <c r="A733" s="232"/>
      <c r="B733" s="189"/>
      <c r="C733" s="189"/>
      <c r="D733" s="237"/>
      <c r="E733" s="189"/>
      <c r="F733" s="189"/>
      <c r="G733" s="189"/>
      <c r="H733" s="193"/>
    </row>
    <row r="734" spans="1:8" ht="15" hidden="1" customHeight="1" x14ac:dyDescent="0.3">
      <c r="A734" s="232"/>
      <c r="B734" s="189"/>
      <c r="C734" s="189"/>
      <c r="D734" s="237"/>
      <c r="E734" s="189"/>
      <c r="F734" s="189"/>
      <c r="G734" s="189"/>
      <c r="H734" s="193"/>
    </row>
    <row r="735" spans="1:8" ht="15" hidden="1" customHeight="1" x14ac:dyDescent="0.3">
      <c r="A735" s="232"/>
      <c r="B735" s="189"/>
      <c r="C735" s="189"/>
      <c r="D735" s="237"/>
      <c r="E735" s="189"/>
      <c r="F735" s="189"/>
      <c r="G735" s="189"/>
      <c r="H735" s="193"/>
    </row>
    <row r="736" spans="1:8" ht="15" hidden="1" customHeight="1" x14ac:dyDescent="0.3">
      <c r="A736" s="232"/>
      <c r="B736" s="189"/>
      <c r="C736" s="189"/>
      <c r="D736" s="237"/>
      <c r="E736" s="189"/>
      <c r="F736" s="189"/>
      <c r="G736" s="189"/>
      <c r="H736" s="193"/>
    </row>
    <row r="737" spans="1:8" ht="15" hidden="1" customHeight="1" x14ac:dyDescent="0.3">
      <c r="A737" s="232"/>
      <c r="B737" s="189"/>
      <c r="C737" s="189"/>
      <c r="D737" s="237"/>
      <c r="E737" s="189"/>
      <c r="F737" s="189"/>
      <c r="G737" s="189"/>
      <c r="H737" s="193"/>
    </row>
    <row r="738" spans="1:8" ht="15" hidden="1" customHeight="1" x14ac:dyDescent="0.3">
      <c r="A738" s="232"/>
      <c r="B738" s="189"/>
      <c r="C738" s="189"/>
      <c r="D738" s="237"/>
      <c r="E738" s="189"/>
      <c r="F738" s="189"/>
      <c r="G738" s="189"/>
      <c r="H738" s="193"/>
    </row>
    <row r="739" spans="1:8" ht="15" hidden="1" customHeight="1" x14ac:dyDescent="0.3">
      <c r="A739" s="232"/>
      <c r="B739" s="189"/>
      <c r="C739" s="189"/>
      <c r="D739" s="237"/>
      <c r="E739" s="189"/>
      <c r="F739" s="189"/>
      <c r="G739" s="189"/>
      <c r="H739" s="193"/>
    </row>
    <row r="740" spans="1:8" ht="15" hidden="1" customHeight="1" x14ac:dyDescent="0.3">
      <c r="A740" s="232"/>
      <c r="B740" s="189"/>
      <c r="C740" s="189"/>
      <c r="D740" s="237"/>
      <c r="E740" s="189"/>
      <c r="F740" s="189"/>
      <c r="G740" s="189"/>
      <c r="H740" s="193"/>
    </row>
    <row r="741" spans="1:8" ht="15" hidden="1" customHeight="1" x14ac:dyDescent="0.3">
      <c r="A741" s="232"/>
      <c r="B741" s="189"/>
      <c r="C741" s="189"/>
      <c r="D741" s="237"/>
      <c r="E741" s="189"/>
      <c r="F741" s="189"/>
      <c r="G741" s="189"/>
      <c r="H741" s="193"/>
    </row>
    <row r="742" spans="1:8" ht="15" hidden="1" customHeight="1" x14ac:dyDescent="0.3">
      <c r="A742" s="232"/>
      <c r="B742" s="189"/>
      <c r="C742" s="189"/>
      <c r="D742" s="237"/>
      <c r="E742" s="189"/>
      <c r="F742" s="189"/>
      <c r="G742" s="189"/>
      <c r="H742" s="193"/>
    </row>
    <row r="743" spans="1:8" ht="15" hidden="1" customHeight="1" x14ac:dyDescent="0.3">
      <c r="A743" s="232"/>
      <c r="B743" s="189"/>
      <c r="C743" s="189"/>
      <c r="D743" s="237"/>
      <c r="E743" s="189"/>
      <c r="F743" s="189"/>
      <c r="G743" s="189"/>
      <c r="H743" s="193"/>
    </row>
    <row r="744" spans="1:8" ht="15" hidden="1" customHeight="1" x14ac:dyDescent="0.3">
      <c r="A744" s="232"/>
      <c r="B744" s="189"/>
      <c r="C744" s="189"/>
      <c r="D744" s="237"/>
      <c r="E744" s="189"/>
      <c r="F744" s="189"/>
      <c r="G744" s="189"/>
      <c r="H744" s="193"/>
    </row>
    <row r="745" spans="1:8" ht="15" hidden="1" customHeight="1" x14ac:dyDescent="0.3">
      <c r="A745" s="232"/>
      <c r="B745" s="189"/>
      <c r="C745" s="189"/>
      <c r="D745" s="237"/>
      <c r="E745" s="189"/>
      <c r="F745" s="189"/>
      <c r="G745" s="189"/>
      <c r="H745" s="193"/>
    </row>
    <row r="746" spans="1:8" ht="15" hidden="1" customHeight="1" x14ac:dyDescent="0.3">
      <c r="A746" s="232"/>
      <c r="B746" s="189"/>
      <c r="C746" s="189"/>
      <c r="D746" s="237"/>
      <c r="E746" s="189"/>
      <c r="F746" s="189"/>
      <c r="G746" s="189"/>
      <c r="H746" s="193"/>
    </row>
    <row r="747" spans="1:8" ht="15" hidden="1" customHeight="1" x14ac:dyDescent="0.3">
      <c r="A747" s="232"/>
      <c r="B747" s="189"/>
      <c r="C747" s="189"/>
      <c r="D747" s="237"/>
      <c r="E747" s="189"/>
      <c r="F747" s="189"/>
      <c r="G747" s="189"/>
      <c r="H747" s="193"/>
    </row>
    <row r="748" spans="1:8" ht="15" hidden="1" customHeight="1" x14ac:dyDescent="0.3">
      <c r="A748" s="232"/>
      <c r="B748" s="189"/>
      <c r="C748" s="189"/>
      <c r="D748" s="237"/>
      <c r="E748" s="189"/>
      <c r="F748" s="189"/>
      <c r="G748" s="189"/>
      <c r="H748" s="193"/>
    </row>
    <row r="749" spans="1:8" ht="15" hidden="1" customHeight="1" x14ac:dyDescent="0.3">
      <c r="A749" s="232"/>
      <c r="B749" s="189"/>
      <c r="C749" s="189"/>
      <c r="D749" s="237"/>
      <c r="E749" s="189"/>
      <c r="F749" s="189"/>
      <c r="G749" s="189"/>
      <c r="H749" s="193"/>
    </row>
    <row r="750" spans="1:8" ht="15" hidden="1" customHeight="1" x14ac:dyDescent="0.3">
      <c r="A750" s="232"/>
      <c r="B750" s="189"/>
      <c r="C750" s="189"/>
      <c r="D750" s="237"/>
      <c r="E750" s="189"/>
      <c r="F750" s="189"/>
      <c r="G750" s="189"/>
      <c r="H750" s="193"/>
    </row>
    <row r="751" spans="1:8" ht="15" hidden="1" customHeight="1" x14ac:dyDescent="0.3">
      <c r="A751" s="232"/>
      <c r="B751" s="189"/>
      <c r="C751" s="189"/>
      <c r="D751" s="237"/>
      <c r="E751" s="189"/>
      <c r="F751" s="189"/>
      <c r="G751" s="189"/>
      <c r="H751" s="193"/>
    </row>
    <row r="752" spans="1:8" ht="15" hidden="1" customHeight="1" x14ac:dyDescent="0.3">
      <c r="A752" s="232"/>
      <c r="B752" s="189"/>
      <c r="C752" s="189"/>
      <c r="D752" s="237"/>
      <c r="E752" s="189"/>
      <c r="F752" s="189"/>
      <c r="G752" s="189"/>
      <c r="H752" s="193"/>
    </row>
    <row r="753" spans="1:8" ht="15" hidden="1" customHeight="1" x14ac:dyDescent="0.3">
      <c r="A753" s="232"/>
      <c r="B753" s="189"/>
      <c r="C753" s="189"/>
      <c r="D753" s="237"/>
      <c r="E753" s="189"/>
      <c r="F753" s="189"/>
      <c r="G753" s="189"/>
      <c r="H753" s="193"/>
    </row>
    <row r="754" spans="1:8" ht="15" hidden="1" customHeight="1" x14ac:dyDescent="0.3">
      <c r="A754" s="232"/>
      <c r="B754" s="189"/>
      <c r="C754" s="189"/>
      <c r="D754" s="237"/>
      <c r="E754" s="189"/>
      <c r="F754" s="189"/>
      <c r="G754" s="189"/>
      <c r="H754" s="193"/>
    </row>
    <row r="755" spans="1:8" ht="15" hidden="1" customHeight="1" x14ac:dyDescent="0.3">
      <c r="A755" s="232"/>
      <c r="B755" s="189"/>
      <c r="C755" s="189"/>
      <c r="D755" s="237"/>
      <c r="E755" s="189"/>
      <c r="F755" s="189"/>
      <c r="G755" s="189"/>
      <c r="H755" s="193"/>
    </row>
    <row r="756" spans="1:8" ht="15" hidden="1" customHeight="1" x14ac:dyDescent="0.3">
      <c r="A756" s="232"/>
      <c r="B756" s="189"/>
      <c r="C756" s="189"/>
      <c r="D756" s="237"/>
      <c r="E756" s="189"/>
      <c r="F756" s="189"/>
      <c r="G756" s="189"/>
      <c r="H756" s="193"/>
    </row>
    <row r="757" spans="1:8" ht="15" hidden="1" customHeight="1" x14ac:dyDescent="0.3">
      <c r="A757" s="232"/>
      <c r="B757" s="189"/>
      <c r="C757" s="189"/>
      <c r="D757" s="237"/>
      <c r="E757" s="189"/>
      <c r="F757" s="189"/>
      <c r="G757" s="189"/>
      <c r="H757" s="193"/>
    </row>
    <row r="758" spans="1:8" ht="15" hidden="1" customHeight="1" x14ac:dyDescent="0.3">
      <c r="A758" s="232"/>
      <c r="B758" s="189"/>
      <c r="C758" s="189"/>
      <c r="D758" s="237"/>
      <c r="E758" s="189"/>
      <c r="F758" s="189"/>
      <c r="G758" s="189"/>
      <c r="H758" s="193"/>
    </row>
    <row r="759" spans="1:8" ht="15" hidden="1" customHeight="1" x14ac:dyDescent="0.3">
      <c r="A759" s="232"/>
      <c r="B759" s="189"/>
      <c r="C759" s="189"/>
      <c r="D759" s="237"/>
      <c r="E759" s="189"/>
      <c r="F759" s="189"/>
      <c r="G759" s="189"/>
      <c r="H759" s="193"/>
    </row>
    <row r="760" spans="1:8" ht="15" hidden="1" customHeight="1" x14ac:dyDescent="0.3">
      <c r="A760" s="232"/>
      <c r="B760" s="189"/>
      <c r="C760" s="189"/>
      <c r="D760" s="237"/>
      <c r="E760" s="189"/>
      <c r="F760" s="189"/>
      <c r="G760" s="189"/>
      <c r="H760" s="193"/>
    </row>
    <row r="761" spans="1:8" ht="15" hidden="1" customHeight="1" x14ac:dyDescent="0.3">
      <c r="A761" s="232"/>
      <c r="B761" s="189"/>
      <c r="C761" s="189"/>
      <c r="D761" s="237"/>
      <c r="E761" s="189"/>
      <c r="F761" s="189"/>
      <c r="G761" s="189"/>
      <c r="H761" s="193"/>
    </row>
    <row r="762" spans="1:8" ht="15" hidden="1" customHeight="1" x14ac:dyDescent="0.3">
      <c r="A762" s="232"/>
      <c r="B762" s="189"/>
      <c r="C762" s="189"/>
      <c r="D762" s="237"/>
      <c r="E762" s="189"/>
      <c r="F762" s="189"/>
      <c r="G762" s="189"/>
      <c r="H762" s="193"/>
    </row>
    <row r="763" spans="1:8" ht="15" hidden="1" customHeight="1" x14ac:dyDescent="0.3">
      <c r="A763" s="232"/>
      <c r="B763" s="189"/>
      <c r="C763" s="189"/>
      <c r="D763" s="237"/>
      <c r="E763" s="189"/>
      <c r="F763" s="189"/>
      <c r="G763" s="189"/>
      <c r="H763" s="193"/>
    </row>
    <row r="764" spans="1:8" ht="15" hidden="1" customHeight="1" x14ac:dyDescent="0.3">
      <c r="A764" s="232"/>
      <c r="B764" s="189"/>
      <c r="C764" s="189"/>
      <c r="D764" s="237"/>
      <c r="E764" s="189"/>
      <c r="F764" s="189"/>
      <c r="G764" s="189"/>
      <c r="H764" s="193"/>
    </row>
    <row r="765" spans="1:8" ht="15" hidden="1" customHeight="1" x14ac:dyDescent="0.3">
      <c r="A765" s="232"/>
      <c r="B765" s="189"/>
      <c r="C765" s="189"/>
      <c r="D765" s="237"/>
      <c r="E765" s="189"/>
      <c r="F765" s="189"/>
      <c r="G765" s="189"/>
      <c r="H765" s="193"/>
    </row>
    <row r="766" spans="1:8" ht="15" hidden="1" customHeight="1" x14ac:dyDescent="0.3">
      <c r="A766" s="232"/>
      <c r="B766" s="189"/>
      <c r="C766" s="189"/>
      <c r="D766" s="237"/>
      <c r="E766" s="189"/>
      <c r="F766" s="189"/>
      <c r="G766" s="189"/>
      <c r="H766" s="193"/>
    </row>
    <row r="767" spans="1:8" ht="15" hidden="1" customHeight="1" x14ac:dyDescent="0.3">
      <c r="A767" s="232"/>
      <c r="B767" s="189"/>
      <c r="C767" s="189"/>
      <c r="D767" s="237"/>
      <c r="E767" s="189"/>
      <c r="F767" s="189"/>
      <c r="G767" s="189"/>
      <c r="H767" s="193"/>
    </row>
    <row r="768" spans="1:8" ht="15" hidden="1" customHeight="1" x14ac:dyDescent="0.3">
      <c r="A768" s="232"/>
      <c r="B768" s="189"/>
      <c r="C768" s="189"/>
      <c r="D768" s="237"/>
      <c r="E768" s="189"/>
      <c r="F768" s="189"/>
      <c r="G768" s="189"/>
      <c r="H768" s="193"/>
    </row>
    <row r="769" spans="1:8" ht="15" hidden="1" customHeight="1" x14ac:dyDescent="0.3">
      <c r="A769" s="232"/>
      <c r="B769" s="189"/>
      <c r="C769" s="189"/>
      <c r="D769" s="237"/>
      <c r="E769" s="189"/>
      <c r="F769" s="189"/>
      <c r="G769" s="189"/>
      <c r="H769" s="193"/>
    </row>
    <row r="770" spans="1:8" ht="15" hidden="1" customHeight="1" x14ac:dyDescent="0.3">
      <c r="A770" s="232"/>
      <c r="B770" s="189"/>
      <c r="C770" s="189"/>
      <c r="D770" s="237"/>
      <c r="E770" s="189"/>
      <c r="F770" s="189"/>
      <c r="G770" s="189"/>
      <c r="H770" s="193"/>
    </row>
    <row r="771" spans="1:8" ht="15" hidden="1" customHeight="1" x14ac:dyDescent="0.3">
      <c r="A771" s="232"/>
      <c r="B771" s="189"/>
      <c r="C771" s="189"/>
      <c r="D771" s="237"/>
      <c r="E771" s="189"/>
      <c r="F771" s="189"/>
      <c r="G771" s="189"/>
      <c r="H771" s="193"/>
    </row>
    <row r="772" spans="1:8" ht="15" hidden="1" customHeight="1" x14ac:dyDescent="0.3">
      <c r="A772" s="232"/>
      <c r="B772" s="189"/>
      <c r="C772" s="189"/>
      <c r="D772" s="237"/>
      <c r="E772" s="189"/>
      <c r="F772" s="189"/>
      <c r="G772" s="189"/>
      <c r="H772" s="193"/>
    </row>
    <row r="773" spans="1:8" ht="15" hidden="1" customHeight="1" x14ac:dyDescent="0.3">
      <c r="A773" s="232"/>
      <c r="B773" s="189"/>
      <c r="C773" s="189"/>
      <c r="D773" s="237"/>
      <c r="E773" s="189"/>
      <c r="F773" s="189"/>
      <c r="G773" s="189"/>
      <c r="H773" s="193"/>
    </row>
    <row r="774" spans="1:8" ht="15" hidden="1" customHeight="1" x14ac:dyDescent="0.3">
      <c r="A774" s="232"/>
      <c r="B774" s="189"/>
      <c r="C774" s="189"/>
      <c r="D774" s="237"/>
      <c r="E774" s="189"/>
      <c r="F774" s="189"/>
      <c r="G774" s="189"/>
      <c r="H774" s="193"/>
    </row>
    <row r="775" spans="1:8" ht="15" hidden="1" customHeight="1" x14ac:dyDescent="0.3">
      <c r="A775" s="232"/>
      <c r="B775" s="189"/>
      <c r="C775" s="189"/>
      <c r="D775" s="237"/>
      <c r="E775" s="189"/>
      <c r="F775" s="189"/>
      <c r="G775" s="189"/>
      <c r="H775" s="193"/>
    </row>
    <row r="776" spans="1:8" ht="15" hidden="1" customHeight="1" x14ac:dyDescent="0.3">
      <c r="A776" s="232"/>
      <c r="B776" s="189"/>
      <c r="C776" s="189"/>
      <c r="D776" s="237"/>
      <c r="E776" s="189"/>
      <c r="F776" s="189"/>
      <c r="G776" s="189"/>
      <c r="H776" s="193"/>
    </row>
    <row r="777" spans="1:8" ht="15" hidden="1" customHeight="1" x14ac:dyDescent="0.3">
      <c r="A777" s="232"/>
      <c r="B777" s="189"/>
      <c r="C777" s="189"/>
      <c r="D777" s="237"/>
      <c r="E777" s="189"/>
      <c r="F777" s="189"/>
      <c r="G777" s="189"/>
      <c r="H777" s="193"/>
    </row>
    <row r="778" spans="1:8" ht="15" hidden="1" customHeight="1" x14ac:dyDescent="0.3">
      <c r="A778" s="232"/>
      <c r="B778" s="189"/>
      <c r="C778" s="189"/>
      <c r="D778" s="237"/>
      <c r="E778" s="189"/>
      <c r="F778" s="189"/>
      <c r="G778" s="189"/>
      <c r="H778" s="193"/>
    </row>
    <row r="779" spans="1:8" ht="15" hidden="1" customHeight="1" x14ac:dyDescent="0.3">
      <c r="A779" s="232"/>
      <c r="B779" s="189"/>
      <c r="C779" s="189"/>
      <c r="D779" s="237"/>
      <c r="E779" s="189"/>
      <c r="F779" s="189"/>
      <c r="G779" s="189"/>
      <c r="H779" s="193"/>
    </row>
    <row r="780" spans="1:8" ht="15" hidden="1" customHeight="1" x14ac:dyDescent="0.3">
      <c r="A780" s="232"/>
      <c r="B780" s="189"/>
      <c r="C780" s="189"/>
      <c r="D780" s="237"/>
      <c r="E780" s="189"/>
      <c r="F780" s="189"/>
      <c r="G780" s="189"/>
      <c r="H780" s="193"/>
    </row>
    <row r="781" spans="1:8" ht="15" hidden="1" customHeight="1" x14ac:dyDescent="0.3">
      <c r="A781" s="232"/>
      <c r="B781" s="189"/>
      <c r="C781" s="189"/>
      <c r="D781" s="237"/>
      <c r="E781" s="189"/>
      <c r="F781" s="189"/>
      <c r="G781" s="189"/>
      <c r="H781" s="193"/>
    </row>
    <row r="782" spans="1:8" ht="15" hidden="1" customHeight="1" x14ac:dyDescent="0.3">
      <c r="A782" s="232"/>
      <c r="B782" s="189"/>
      <c r="C782" s="189"/>
      <c r="D782" s="237"/>
      <c r="E782" s="189"/>
      <c r="F782" s="189"/>
      <c r="G782" s="189"/>
      <c r="H782" s="193"/>
    </row>
    <row r="783" spans="1:8" ht="15" hidden="1" customHeight="1" x14ac:dyDescent="0.3">
      <c r="A783" s="232"/>
      <c r="B783" s="189"/>
      <c r="C783" s="189"/>
      <c r="D783" s="237"/>
      <c r="E783" s="189"/>
      <c r="F783" s="189"/>
      <c r="G783" s="189"/>
      <c r="H783" s="193"/>
    </row>
    <row r="784" spans="1:8" ht="15" hidden="1" customHeight="1" x14ac:dyDescent="0.3">
      <c r="A784" s="232"/>
      <c r="B784" s="189"/>
      <c r="C784" s="189"/>
      <c r="D784" s="237"/>
      <c r="E784" s="189"/>
      <c r="F784" s="189"/>
      <c r="G784" s="189"/>
      <c r="H784" s="193"/>
    </row>
    <row r="785" spans="1:8" ht="15" hidden="1" customHeight="1" x14ac:dyDescent="0.3">
      <c r="A785" s="232"/>
      <c r="B785" s="189"/>
      <c r="C785" s="189"/>
      <c r="D785" s="237"/>
      <c r="E785" s="189"/>
      <c r="F785" s="189"/>
      <c r="G785" s="189"/>
      <c r="H785" s="193"/>
    </row>
    <row r="786" spans="1:8" ht="15" hidden="1" customHeight="1" x14ac:dyDescent="0.3">
      <c r="A786" s="232"/>
      <c r="B786" s="189"/>
      <c r="C786" s="189"/>
      <c r="D786" s="237"/>
      <c r="E786" s="189"/>
      <c r="F786" s="189"/>
      <c r="G786" s="189"/>
      <c r="H786" s="193"/>
    </row>
    <row r="787" spans="1:8" ht="15" hidden="1" customHeight="1" x14ac:dyDescent="0.3">
      <c r="A787" s="232"/>
      <c r="B787" s="189"/>
      <c r="C787" s="189"/>
      <c r="D787" s="237"/>
      <c r="E787" s="189"/>
      <c r="F787" s="189"/>
      <c r="G787" s="189"/>
      <c r="H787" s="193"/>
    </row>
    <row r="788" spans="1:8" ht="15" hidden="1" customHeight="1" x14ac:dyDescent="0.3">
      <c r="A788" s="232"/>
      <c r="B788" s="189"/>
      <c r="C788" s="189"/>
      <c r="D788" s="237"/>
      <c r="E788" s="189"/>
      <c r="F788" s="189"/>
      <c r="G788" s="189"/>
      <c r="H788" s="193"/>
    </row>
    <row r="789" spans="1:8" ht="15" hidden="1" customHeight="1" x14ac:dyDescent="0.3">
      <c r="A789" s="232"/>
      <c r="B789" s="189"/>
      <c r="C789" s="189"/>
      <c r="D789" s="237"/>
      <c r="E789" s="189"/>
      <c r="F789" s="189"/>
      <c r="G789" s="189"/>
      <c r="H789" s="193"/>
    </row>
    <row r="790" spans="1:8" ht="15" hidden="1" customHeight="1" x14ac:dyDescent="0.3">
      <c r="A790" s="232"/>
      <c r="B790" s="189"/>
      <c r="C790" s="189"/>
      <c r="D790" s="237"/>
      <c r="E790" s="189"/>
      <c r="F790" s="189"/>
      <c r="G790" s="189"/>
      <c r="H790" s="193"/>
    </row>
    <row r="791" spans="1:8" ht="15" hidden="1" customHeight="1" x14ac:dyDescent="0.3">
      <c r="A791" s="232"/>
      <c r="B791" s="189"/>
      <c r="C791" s="189"/>
      <c r="D791" s="237"/>
      <c r="E791" s="189"/>
      <c r="F791" s="189"/>
      <c r="G791" s="189"/>
      <c r="H791" s="193"/>
    </row>
    <row r="792" spans="1:8" ht="15" hidden="1" customHeight="1" x14ac:dyDescent="0.3">
      <c r="A792" s="232"/>
      <c r="B792" s="189"/>
      <c r="C792" s="189"/>
      <c r="D792" s="237"/>
      <c r="E792" s="189"/>
      <c r="F792" s="189"/>
      <c r="G792" s="189"/>
      <c r="H792" s="193"/>
    </row>
    <row r="793" spans="1:8" ht="15" hidden="1" customHeight="1" x14ac:dyDescent="0.3">
      <c r="A793" s="232"/>
      <c r="B793" s="189"/>
      <c r="C793" s="189"/>
      <c r="D793" s="237"/>
      <c r="E793" s="189"/>
      <c r="F793" s="189"/>
      <c r="G793" s="189"/>
      <c r="H793" s="193"/>
    </row>
    <row r="794" spans="1:8" ht="15" hidden="1" customHeight="1" x14ac:dyDescent="0.3">
      <c r="A794" s="232"/>
      <c r="B794" s="189"/>
      <c r="C794" s="189"/>
      <c r="D794" s="237"/>
      <c r="E794" s="189"/>
      <c r="F794" s="189"/>
      <c r="G794" s="189"/>
      <c r="H794" s="193"/>
    </row>
    <row r="795" spans="1:8" ht="15" hidden="1" customHeight="1" x14ac:dyDescent="0.3">
      <c r="A795" s="232"/>
      <c r="B795" s="189"/>
      <c r="C795" s="189"/>
      <c r="D795" s="237"/>
      <c r="E795" s="189"/>
      <c r="F795" s="189"/>
      <c r="G795" s="189"/>
      <c r="H795" s="193"/>
    </row>
    <row r="796" spans="1:8" ht="15" hidden="1" customHeight="1" x14ac:dyDescent="0.3">
      <c r="A796" s="232"/>
      <c r="B796" s="189"/>
      <c r="C796" s="189"/>
      <c r="D796" s="237"/>
      <c r="E796" s="189"/>
      <c r="F796" s="189"/>
      <c r="G796" s="189"/>
      <c r="H796" s="193"/>
    </row>
    <row r="797" spans="1:8" ht="15" hidden="1" customHeight="1" x14ac:dyDescent="0.3">
      <c r="A797" s="232"/>
      <c r="B797" s="189"/>
      <c r="C797" s="189"/>
      <c r="D797" s="237"/>
      <c r="E797" s="189"/>
      <c r="F797" s="189"/>
      <c r="G797" s="189"/>
      <c r="H797" s="193"/>
    </row>
    <row r="798" spans="1:8" ht="15" hidden="1" customHeight="1" x14ac:dyDescent="0.3">
      <c r="A798" s="232"/>
      <c r="B798" s="189"/>
      <c r="C798" s="189"/>
      <c r="D798" s="237"/>
      <c r="E798" s="189"/>
      <c r="F798" s="189"/>
      <c r="G798" s="189"/>
      <c r="H798" s="193"/>
    </row>
    <row r="799" spans="1:8" ht="15" hidden="1" customHeight="1" x14ac:dyDescent="0.3">
      <c r="A799" s="232"/>
      <c r="B799" s="189"/>
      <c r="C799" s="189"/>
      <c r="D799" s="237"/>
      <c r="E799" s="189"/>
      <c r="F799" s="189"/>
      <c r="G799" s="189"/>
      <c r="H799" s="193"/>
    </row>
    <row r="800" spans="1:8" ht="15" hidden="1" customHeight="1" x14ac:dyDescent="0.3">
      <c r="A800" s="232"/>
      <c r="B800" s="189"/>
      <c r="C800" s="189"/>
      <c r="D800" s="237"/>
      <c r="E800" s="189"/>
      <c r="F800" s="189"/>
      <c r="G800" s="189"/>
      <c r="H800" s="193"/>
    </row>
    <row r="801" spans="1:8" ht="15" hidden="1" customHeight="1" x14ac:dyDescent="0.3">
      <c r="A801" s="232"/>
      <c r="B801" s="189"/>
      <c r="C801" s="189"/>
      <c r="D801" s="237"/>
      <c r="E801" s="189"/>
      <c r="F801" s="189"/>
      <c r="G801" s="189"/>
      <c r="H801" s="193"/>
    </row>
    <row r="802" spans="1:8" ht="15" hidden="1" customHeight="1" x14ac:dyDescent="0.3">
      <c r="A802" s="232"/>
      <c r="B802" s="189"/>
      <c r="C802" s="189"/>
      <c r="D802" s="237"/>
      <c r="E802" s="189"/>
      <c r="F802" s="189"/>
      <c r="G802" s="189"/>
      <c r="H802" s="193"/>
    </row>
    <row r="803" spans="1:8" ht="15" hidden="1" customHeight="1" x14ac:dyDescent="0.3">
      <c r="A803" s="232"/>
      <c r="B803" s="189"/>
      <c r="C803" s="189"/>
      <c r="D803" s="237"/>
      <c r="E803" s="189"/>
      <c r="F803" s="189"/>
      <c r="G803" s="189"/>
      <c r="H803" s="193"/>
    </row>
    <row r="804" spans="1:8" ht="15" hidden="1" customHeight="1" x14ac:dyDescent="0.3">
      <c r="A804" s="232"/>
      <c r="B804" s="189"/>
      <c r="C804" s="189"/>
      <c r="D804" s="237"/>
      <c r="E804" s="189"/>
      <c r="F804" s="189"/>
      <c r="G804" s="189"/>
      <c r="H804" s="193"/>
    </row>
    <row r="805" spans="1:8" ht="15" hidden="1" customHeight="1" x14ac:dyDescent="0.3">
      <c r="A805" s="232"/>
      <c r="B805" s="189"/>
      <c r="C805" s="189"/>
      <c r="D805" s="237"/>
      <c r="E805" s="189"/>
      <c r="F805" s="189"/>
      <c r="G805" s="189"/>
      <c r="H805" s="193"/>
    </row>
    <row r="806" spans="1:8" ht="15" hidden="1" customHeight="1" x14ac:dyDescent="0.3">
      <c r="A806" s="232"/>
      <c r="B806" s="189"/>
      <c r="C806" s="189"/>
      <c r="D806" s="237"/>
      <c r="E806" s="189"/>
      <c r="F806" s="189"/>
      <c r="G806" s="189"/>
      <c r="H806" s="193"/>
    </row>
    <row r="807" spans="1:8" ht="15" hidden="1" customHeight="1" x14ac:dyDescent="0.3">
      <c r="A807" s="232"/>
      <c r="B807" s="189"/>
      <c r="C807" s="189"/>
      <c r="D807" s="237"/>
      <c r="E807" s="189"/>
      <c r="F807" s="189"/>
      <c r="G807" s="189"/>
      <c r="H807" s="193"/>
    </row>
    <row r="808" spans="1:8" ht="15" hidden="1" customHeight="1" x14ac:dyDescent="0.3">
      <c r="A808" s="232"/>
      <c r="B808" s="189"/>
      <c r="C808" s="189"/>
      <c r="D808" s="237"/>
      <c r="E808" s="189"/>
      <c r="F808" s="189"/>
      <c r="G808" s="189"/>
      <c r="H808" s="193"/>
    </row>
    <row r="809" spans="1:8" ht="15" hidden="1" customHeight="1" x14ac:dyDescent="0.3">
      <c r="A809" s="232"/>
      <c r="B809" s="189"/>
      <c r="C809" s="189"/>
      <c r="D809" s="237"/>
      <c r="E809" s="189"/>
      <c r="F809" s="189"/>
      <c r="G809" s="189"/>
      <c r="H809" s="193"/>
    </row>
    <row r="810" spans="1:8" ht="15" hidden="1" customHeight="1" x14ac:dyDescent="0.3">
      <c r="A810" s="232"/>
      <c r="B810" s="189"/>
      <c r="C810" s="189"/>
      <c r="D810" s="237"/>
      <c r="E810" s="189"/>
      <c r="F810" s="189"/>
      <c r="G810" s="189"/>
      <c r="H810" s="193"/>
    </row>
    <row r="811" spans="1:8" ht="15" hidden="1" customHeight="1" x14ac:dyDescent="0.3">
      <c r="A811" s="232"/>
      <c r="B811" s="189"/>
      <c r="C811" s="189"/>
      <c r="D811" s="237"/>
      <c r="E811" s="189"/>
      <c r="F811" s="189"/>
      <c r="G811" s="189"/>
      <c r="H811" s="193"/>
    </row>
    <row r="812" spans="1:8" ht="15" hidden="1" customHeight="1" x14ac:dyDescent="0.3">
      <c r="A812" s="232"/>
      <c r="B812" s="189"/>
      <c r="C812" s="189"/>
      <c r="D812" s="237"/>
      <c r="E812" s="189"/>
      <c r="F812" s="189"/>
      <c r="G812" s="189"/>
      <c r="H812" s="193"/>
    </row>
    <row r="813" spans="1:8" ht="15" hidden="1" customHeight="1" x14ac:dyDescent="0.3">
      <c r="A813" s="232"/>
      <c r="B813" s="189"/>
      <c r="C813" s="189"/>
      <c r="D813" s="237"/>
      <c r="E813" s="189"/>
      <c r="F813" s="189"/>
      <c r="G813" s="189"/>
      <c r="H813" s="193"/>
    </row>
    <row r="814" spans="1:8" ht="15" hidden="1" customHeight="1" x14ac:dyDescent="0.3">
      <c r="A814" s="232"/>
      <c r="B814" s="189"/>
      <c r="C814" s="189"/>
      <c r="D814" s="237"/>
      <c r="E814" s="189"/>
      <c r="F814" s="189"/>
      <c r="G814" s="189"/>
      <c r="H814" s="193"/>
    </row>
    <row r="815" spans="1:8" ht="15" hidden="1" customHeight="1" x14ac:dyDescent="0.3">
      <c r="A815" s="232"/>
      <c r="B815" s="189"/>
      <c r="C815" s="189"/>
      <c r="D815" s="237"/>
      <c r="E815" s="189"/>
      <c r="F815" s="189"/>
      <c r="G815" s="189"/>
      <c r="H815" s="193"/>
    </row>
    <row r="816" spans="1:8" ht="15" hidden="1" customHeight="1" x14ac:dyDescent="0.3">
      <c r="A816" s="232"/>
      <c r="B816" s="189"/>
      <c r="C816" s="189"/>
      <c r="D816" s="237"/>
      <c r="E816" s="189"/>
      <c r="F816" s="189"/>
      <c r="G816" s="189"/>
      <c r="H816" s="193"/>
    </row>
    <row r="817" spans="1:8" ht="15" hidden="1" customHeight="1" x14ac:dyDescent="0.3">
      <c r="A817" s="232"/>
      <c r="B817" s="189"/>
      <c r="C817" s="189"/>
      <c r="D817" s="237"/>
      <c r="E817" s="189"/>
      <c r="F817" s="189"/>
      <c r="G817" s="189"/>
      <c r="H817" s="193"/>
    </row>
    <row r="818" spans="1:8" ht="15" hidden="1" customHeight="1" x14ac:dyDescent="0.3">
      <c r="A818" s="232"/>
      <c r="B818" s="189"/>
      <c r="C818" s="189"/>
      <c r="D818" s="237"/>
      <c r="E818" s="189"/>
      <c r="F818" s="189"/>
      <c r="G818" s="189"/>
      <c r="H818" s="193"/>
    </row>
    <row r="819" spans="1:8" ht="15" hidden="1" customHeight="1" x14ac:dyDescent="0.3">
      <c r="A819" s="232"/>
      <c r="B819" s="189"/>
      <c r="C819" s="189"/>
      <c r="D819" s="237"/>
      <c r="E819" s="189"/>
      <c r="F819" s="189"/>
      <c r="G819" s="189"/>
      <c r="H819" s="193"/>
    </row>
    <row r="820" spans="1:8" ht="15" hidden="1" customHeight="1" x14ac:dyDescent="0.3">
      <c r="A820" s="232"/>
      <c r="B820" s="189"/>
      <c r="C820" s="189"/>
      <c r="D820" s="237"/>
      <c r="E820" s="189"/>
      <c r="F820" s="189"/>
      <c r="G820" s="189"/>
      <c r="H820" s="193"/>
    </row>
    <row r="821" spans="1:8" ht="15" hidden="1" customHeight="1" x14ac:dyDescent="0.3">
      <c r="A821" s="232"/>
      <c r="B821" s="189"/>
      <c r="C821" s="189"/>
      <c r="D821" s="237"/>
      <c r="E821" s="189"/>
      <c r="F821" s="189"/>
      <c r="G821" s="189"/>
      <c r="H821" s="193"/>
    </row>
    <row r="822" spans="1:8" ht="15" hidden="1" customHeight="1" x14ac:dyDescent="0.3">
      <c r="A822" s="232"/>
      <c r="B822" s="189"/>
      <c r="C822" s="189"/>
      <c r="D822" s="237"/>
      <c r="E822" s="189"/>
      <c r="F822" s="189"/>
      <c r="G822" s="189"/>
      <c r="H822" s="193"/>
    </row>
    <row r="823" spans="1:8" ht="15" hidden="1" customHeight="1" x14ac:dyDescent="0.3">
      <c r="A823" s="232"/>
      <c r="B823" s="189"/>
      <c r="C823" s="189"/>
      <c r="D823" s="237"/>
      <c r="E823" s="189"/>
      <c r="F823" s="189"/>
      <c r="G823" s="189"/>
      <c r="H823" s="193"/>
    </row>
    <row r="824" spans="1:8" ht="15" hidden="1" customHeight="1" x14ac:dyDescent="0.3">
      <c r="A824" s="232"/>
      <c r="B824" s="189"/>
      <c r="C824" s="189"/>
      <c r="D824" s="237"/>
      <c r="E824" s="189"/>
      <c r="F824" s="189"/>
      <c r="G824" s="189"/>
      <c r="H824" s="193"/>
    </row>
    <row r="825" spans="1:8" ht="15" hidden="1" customHeight="1" x14ac:dyDescent="0.3">
      <c r="A825" s="232"/>
      <c r="B825" s="189"/>
      <c r="C825" s="189"/>
      <c r="D825" s="237"/>
      <c r="E825" s="189"/>
      <c r="F825" s="189"/>
      <c r="G825" s="189"/>
      <c r="H825" s="193"/>
    </row>
    <row r="826" spans="1:8" ht="15" hidden="1" customHeight="1" x14ac:dyDescent="0.3">
      <c r="A826" s="232"/>
      <c r="B826" s="189"/>
      <c r="C826" s="189"/>
      <c r="D826" s="237"/>
      <c r="E826" s="189"/>
      <c r="F826" s="189"/>
      <c r="G826" s="189"/>
      <c r="H826" s="193"/>
    </row>
    <row r="827" spans="1:8" ht="15" hidden="1" customHeight="1" x14ac:dyDescent="0.3">
      <c r="A827" s="232"/>
      <c r="B827" s="189"/>
      <c r="C827" s="189"/>
      <c r="D827" s="237"/>
      <c r="E827" s="189"/>
      <c r="F827" s="189"/>
      <c r="G827" s="189"/>
      <c r="H827" s="193"/>
    </row>
    <row r="828" spans="1:8" ht="15" hidden="1" customHeight="1" x14ac:dyDescent="0.3">
      <c r="A828" s="232"/>
      <c r="B828" s="189"/>
      <c r="C828" s="189"/>
      <c r="D828" s="237"/>
      <c r="E828" s="189"/>
      <c r="F828" s="189"/>
      <c r="G828" s="189"/>
      <c r="H828" s="193"/>
    </row>
    <row r="829" spans="1:8" ht="15" hidden="1" customHeight="1" x14ac:dyDescent="0.3">
      <c r="A829" s="232"/>
      <c r="B829" s="189"/>
      <c r="C829" s="189"/>
      <c r="D829" s="237"/>
      <c r="E829" s="189"/>
      <c r="F829" s="189"/>
      <c r="G829" s="189"/>
      <c r="H829" s="193"/>
    </row>
    <row r="830" spans="1:8" ht="15" hidden="1" customHeight="1" x14ac:dyDescent="0.3">
      <c r="A830" s="232"/>
      <c r="B830" s="189"/>
      <c r="C830" s="189"/>
      <c r="D830" s="237"/>
      <c r="E830" s="189"/>
      <c r="F830" s="189"/>
      <c r="G830" s="189"/>
      <c r="H830" s="193"/>
    </row>
    <row r="831" spans="1:8" ht="15" hidden="1" customHeight="1" x14ac:dyDescent="0.3">
      <c r="A831" s="232"/>
      <c r="B831" s="189"/>
      <c r="C831" s="189"/>
      <c r="D831" s="237"/>
      <c r="E831" s="189"/>
      <c r="F831" s="189"/>
      <c r="G831" s="189"/>
      <c r="H831" s="193"/>
    </row>
    <row r="832" spans="1:8" ht="15" hidden="1" customHeight="1" x14ac:dyDescent="0.3">
      <c r="A832" s="232"/>
      <c r="B832" s="189"/>
      <c r="C832" s="189"/>
      <c r="D832" s="237"/>
      <c r="E832" s="189"/>
      <c r="F832" s="189"/>
      <c r="G832" s="189"/>
      <c r="H832" s="193"/>
    </row>
    <row r="833" spans="1:8" ht="15" hidden="1" customHeight="1" x14ac:dyDescent="0.3">
      <c r="A833" s="232"/>
      <c r="B833" s="189"/>
      <c r="C833" s="189"/>
      <c r="D833" s="237"/>
      <c r="E833" s="189"/>
      <c r="F833" s="189"/>
      <c r="G833" s="189"/>
      <c r="H833" s="193"/>
    </row>
    <row r="834" spans="1:8" ht="15" hidden="1" customHeight="1" x14ac:dyDescent="0.3">
      <c r="A834" s="232"/>
      <c r="B834" s="189"/>
      <c r="C834" s="189"/>
      <c r="D834" s="237"/>
      <c r="E834" s="189"/>
      <c r="F834" s="189"/>
      <c r="G834" s="189"/>
      <c r="H834" s="193"/>
    </row>
    <row r="835" spans="1:8" ht="15" hidden="1" customHeight="1" x14ac:dyDescent="0.3">
      <c r="A835" s="232"/>
      <c r="B835" s="189"/>
      <c r="C835" s="189"/>
      <c r="D835" s="237"/>
      <c r="E835" s="189"/>
      <c r="F835" s="189"/>
      <c r="G835" s="189"/>
      <c r="H835" s="193"/>
    </row>
    <row r="836" spans="1:8" ht="15" hidden="1" customHeight="1" x14ac:dyDescent="0.3">
      <c r="A836" s="232"/>
      <c r="B836" s="189"/>
      <c r="C836" s="189"/>
      <c r="D836" s="237"/>
      <c r="E836" s="189"/>
      <c r="F836" s="189"/>
      <c r="G836" s="189"/>
      <c r="H836" s="193"/>
    </row>
    <row r="837" spans="1:8" ht="15" hidden="1" customHeight="1" x14ac:dyDescent="0.3">
      <c r="A837" s="232"/>
      <c r="B837" s="189"/>
      <c r="C837" s="189"/>
      <c r="D837" s="237"/>
      <c r="E837" s="189"/>
      <c r="F837" s="189"/>
      <c r="G837" s="189"/>
      <c r="H837" s="193"/>
    </row>
    <row r="838" spans="1:8" ht="15" hidden="1" customHeight="1" x14ac:dyDescent="0.3">
      <c r="A838" s="232"/>
      <c r="B838" s="189"/>
      <c r="C838" s="189"/>
      <c r="D838" s="237"/>
      <c r="E838" s="189"/>
      <c r="F838" s="189"/>
      <c r="G838" s="189"/>
      <c r="H838" s="193"/>
    </row>
    <row r="839" spans="1:8" ht="15" hidden="1" customHeight="1" x14ac:dyDescent="0.3">
      <c r="A839" s="232"/>
      <c r="B839" s="189"/>
      <c r="C839" s="189"/>
      <c r="D839" s="237"/>
      <c r="E839" s="189"/>
      <c r="F839" s="189"/>
      <c r="G839" s="189"/>
      <c r="H839" s="193"/>
    </row>
    <row r="840" spans="1:8" ht="15" hidden="1" customHeight="1" x14ac:dyDescent="0.3">
      <c r="A840" s="232"/>
      <c r="B840" s="189"/>
      <c r="C840" s="189"/>
      <c r="D840" s="237"/>
      <c r="E840" s="189"/>
      <c r="F840" s="189"/>
      <c r="G840" s="189"/>
      <c r="H840" s="193"/>
    </row>
    <row r="841" spans="1:8" ht="15" hidden="1" customHeight="1" x14ac:dyDescent="0.3">
      <c r="A841" s="232"/>
      <c r="B841" s="189"/>
      <c r="C841" s="189"/>
      <c r="D841" s="237"/>
      <c r="E841" s="189"/>
      <c r="F841" s="189"/>
      <c r="G841" s="189"/>
      <c r="H841" s="193"/>
    </row>
    <row r="842" spans="1:8" ht="15" hidden="1" customHeight="1" x14ac:dyDescent="0.3">
      <c r="A842" s="232"/>
      <c r="B842" s="189"/>
      <c r="C842" s="189"/>
      <c r="D842" s="237"/>
      <c r="E842" s="189"/>
      <c r="F842" s="189"/>
      <c r="G842" s="189"/>
      <c r="H842" s="193"/>
    </row>
    <row r="843" spans="1:8" ht="15" hidden="1" customHeight="1" x14ac:dyDescent="0.3">
      <c r="A843" s="232"/>
      <c r="B843" s="189"/>
      <c r="C843" s="189"/>
      <c r="D843" s="237"/>
      <c r="E843" s="189"/>
      <c r="F843" s="189"/>
      <c r="G843" s="189"/>
      <c r="H843" s="193"/>
    </row>
    <row r="844" spans="1:8" ht="15" hidden="1" customHeight="1" x14ac:dyDescent="0.3">
      <c r="A844" s="232"/>
      <c r="B844" s="189"/>
      <c r="C844" s="189"/>
      <c r="D844" s="237"/>
      <c r="E844" s="189"/>
      <c r="F844" s="189"/>
      <c r="G844" s="189"/>
      <c r="H844" s="193"/>
    </row>
    <row r="845" spans="1:8" ht="15" hidden="1" customHeight="1" x14ac:dyDescent="0.3">
      <c r="A845" s="232"/>
      <c r="B845" s="189"/>
      <c r="C845" s="189"/>
      <c r="D845" s="237"/>
      <c r="E845" s="189"/>
      <c r="F845" s="189"/>
      <c r="G845" s="189"/>
      <c r="H845" s="193"/>
    </row>
    <row r="846" spans="1:8" ht="15" hidden="1" customHeight="1" x14ac:dyDescent="0.3">
      <c r="A846" s="232"/>
      <c r="B846" s="189"/>
      <c r="C846" s="189"/>
      <c r="D846" s="237"/>
      <c r="E846" s="189"/>
      <c r="F846" s="189"/>
      <c r="G846" s="189"/>
      <c r="H846" s="193"/>
    </row>
    <row r="847" spans="1:8" ht="15" hidden="1" customHeight="1" x14ac:dyDescent="0.3">
      <c r="A847" s="232"/>
      <c r="B847" s="189"/>
      <c r="C847" s="189"/>
      <c r="D847" s="237"/>
      <c r="E847" s="189"/>
      <c r="F847" s="189"/>
      <c r="G847" s="189"/>
      <c r="H847" s="193"/>
    </row>
    <row r="848" spans="1:8" ht="15" hidden="1" customHeight="1" x14ac:dyDescent="0.3">
      <c r="A848" s="232"/>
      <c r="B848" s="189"/>
      <c r="C848" s="189"/>
      <c r="D848" s="237"/>
      <c r="E848" s="189"/>
      <c r="F848" s="189"/>
      <c r="G848" s="189"/>
      <c r="H848" s="193"/>
    </row>
    <row r="849" spans="1:8" ht="15" hidden="1" customHeight="1" x14ac:dyDescent="0.3">
      <c r="A849" s="232"/>
      <c r="B849" s="189"/>
      <c r="C849" s="189"/>
      <c r="D849" s="237"/>
      <c r="E849" s="189"/>
      <c r="F849" s="189"/>
      <c r="G849" s="189"/>
      <c r="H849" s="193"/>
    </row>
    <row r="850" spans="1:8" ht="15" hidden="1" customHeight="1" x14ac:dyDescent="0.3">
      <c r="A850" s="232"/>
      <c r="B850" s="189"/>
      <c r="C850" s="189"/>
      <c r="D850" s="237"/>
      <c r="E850" s="189"/>
      <c r="F850" s="189"/>
      <c r="G850" s="189"/>
      <c r="H850" s="193"/>
    </row>
    <row r="851" spans="1:8" ht="15" hidden="1" customHeight="1" x14ac:dyDescent="0.3">
      <c r="A851" s="232"/>
      <c r="B851" s="189"/>
      <c r="C851" s="189"/>
      <c r="D851" s="237"/>
      <c r="E851" s="189"/>
      <c r="F851" s="189"/>
      <c r="G851" s="189"/>
      <c r="H851" s="193"/>
    </row>
    <row r="852" spans="1:8" ht="15" hidden="1" customHeight="1" x14ac:dyDescent="0.3">
      <c r="A852" s="232"/>
      <c r="B852" s="189"/>
      <c r="C852" s="189"/>
      <c r="D852" s="237"/>
      <c r="E852" s="189"/>
      <c r="F852" s="189"/>
      <c r="G852" s="189"/>
      <c r="H852" s="193"/>
    </row>
    <row r="853" spans="1:8" ht="15" hidden="1" customHeight="1" x14ac:dyDescent="0.3">
      <c r="A853" s="232"/>
      <c r="B853" s="189"/>
      <c r="C853" s="189"/>
      <c r="D853" s="237"/>
      <c r="E853" s="189"/>
      <c r="F853" s="189"/>
      <c r="G853" s="189"/>
      <c r="H853" s="193"/>
    </row>
    <row r="854" spans="1:8" ht="15" hidden="1" customHeight="1" x14ac:dyDescent="0.3">
      <c r="A854" s="232"/>
      <c r="B854" s="189"/>
      <c r="C854" s="189"/>
      <c r="D854" s="237"/>
      <c r="E854" s="189"/>
      <c r="F854" s="189"/>
      <c r="G854" s="189"/>
      <c r="H854" s="193"/>
    </row>
    <row r="855" spans="1:8" ht="15" hidden="1" customHeight="1" x14ac:dyDescent="0.3">
      <c r="A855" s="232"/>
      <c r="B855" s="189"/>
      <c r="C855" s="189"/>
      <c r="D855" s="237"/>
      <c r="E855" s="189"/>
      <c r="F855" s="189"/>
      <c r="G855" s="189"/>
      <c r="H855" s="193"/>
    </row>
    <row r="856" spans="1:8" ht="15" hidden="1" customHeight="1" x14ac:dyDescent="0.3">
      <c r="A856" s="232"/>
      <c r="B856" s="189"/>
      <c r="C856" s="189"/>
      <c r="D856" s="237"/>
      <c r="E856" s="189"/>
      <c r="F856" s="189"/>
      <c r="G856" s="189"/>
      <c r="H856" s="193"/>
    </row>
    <row r="857" spans="1:8" ht="15" hidden="1" customHeight="1" x14ac:dyDescent="0.3">
      <c r="A857" s="232"/>
      <c r="B857" s="189"/>
      <c r="C857" s="189"/>
      <c r="D857" s="237"/>
      <c r="E857" s="189"/>
      <c r="F857" s="189"/>
      <c r="G857" s="189"/>
      <c r="H857" s="193"/>
    </row>
    <row r="858" spans="1:8" ht="15" hidden="1" customHeight="1" x14ac:dyDescent="0.3">
      <c r="A858" s="232"/>
      <c r="B858" s="189"/>
      <c r="C858" s="189"/>
      <c r="D858" s="237"/>
      <c r="E858" s="189"/>
      <c r="F858" s="189"/>
      <c r="G858" s="189"/>
      <c r="H858" s="193"/>
    </row>
    <row r="859" spans="1:8" ht="15" hidden="1" customHeight="1" x14ac:dyDescent="0.3">
      <c r="A859" s="232"/>
      <c r="B859" s="189"/>
      <c r="C859" s="189"/>
      <c r="D859" s="237"/>
      <c r="E859" s="189"/>
      <c r="F859" s="189"/>
      <c r="G859" s="189"/>
      <c r="H859" s="193"/>
    </row>
    <row r="860" spans="1:8" ht="15" hidden="1" customHeight="1" x14ac:dyDescent="0.3">
      <c r="A860" s="232"/>
      <c r="B860" s="189"/>
      <c r="C860" s="189"/>
      <c r="D860" s="237"/>
      <c r="E860" s="189"/>
      <c r="F860" s="189"/>
      <c r="G860" s="189"/>
      <c r="H860" s="193"/>
    </row>
    <row r="861" spans="1:8" ht="15" hidden="1" customHeight="1" x14ac:dyDescent="0.3">
      <c r="A861" s="232"/>
      <c r="B861" s="189"/>
      <c r="C861" s="189"/>
      <c r="D861" s="237"/>
      <c r="E861" s="189"/>
      <c r="F861" s="189"/>
      <c r="G861" s="189"/>
      <c r="H861" s="193"/>
    </row>
    <row r="862" spans="1:8" ht="15" hidden="1" customHeight="1" x14ac:dyDescent="0.3">
      <c r="A862" s="232"/>
      <c r="B862" s="189"/>
      <c r="C862" s="189"/>
      <c r="D862" s="237"/>
      <c r="E862" s="189"/>
      <c r="F862" s="189"/>
      <c r="G862" s="189"/>
      <c r="H862" s="193"/>
    </row>
    <row r="863" spans="1:8" ht="15" hidden="1" customHeight="1" x14ac:dyDescent="0.3">
      <c r="A863" s="232"/>
      <c r="B863" s="189"/>
      <c r="C863" s="189"/>
      <c r="D863" s="237"/>
      <c r="E863" s="189"/>
      <c r="F863" s="189"/>
      <c r="G863" s="189"/>
      <c r="H863" s="193"/>
    </row>
    <row r="864" spans="1:8" ht="15" hidden="1" customHeight="1" x14ac:dyDescent="0.3">
      <c r="A864" s="232"/>
      <c r="B864" s="189"/>
      <c r="C864" s="189"/>
      <c r="D864" s="237"/>
      <c r="E864" s="189"/>
      <c r="F864" s="189"/>
      <c r="G864" s="189"/>
      <c r="H864" s="193"/>
    </row>
    <row r="865" spans="1:8" ht="15" hidden="1" customHeight="1" x14ac:dyDescent="0.3">
      <c r="A865" s="232"/>
      <c r="B865" s="189"/>
      <c r="C865" s="189"/>
      <c r="D865" s="237"/>
      <c r="E865" s="189"/>
      <c r="F865" s="189"/>
      <c r="G865" s="189"/>
      <c r="H865" s="193"/>
    </row>
    <row r="866" spans="1:8" ht="15" hidden="1" customHeight="1" x14ac:dyDescent="0.3">
      <c r="A866" s="232"/>
      <c r="B866" s="189"/>
      <c r="C866" s="189"/>
      <c r="D866" s="237"/>
      <c r="E866" s="189"/>
      <c r="F866" s="189"/>
      <c r="G866" s="189"/>
      <c r="H866" s="193"/>
    </row>
    <row r="867" spans="1:8" ht="15" hidden="1" customHeight="1" x14ac:dyDescent="0.3">
      <c r="A867" s="232"/>
      <c r="B867" s="189"/>
      <c r="C867" s="189"/>
      <c r="D867" s="237"/>
      <c r="E867" s="189"/>
      <c r="F867" s="189"/>
      <c r="G867" s="189"/>
      <c r="H867" s="193"/>
    </row>
    <row r="868" spans="1:8" ht="15" hidden="1" customHeight="1" x14ac:dyDescent="0.3">
      <c r="A868" s="232"/>
      <c r="B868" s="189"/>
      <c r="C868" s="189"/>
      <c r="D868" s="237"/>
      <c r="E868" s="189"/>
      <c r="F868" s="189"/>
      <c r="G868" s="189"/>
      <c r="H868" s="193"/>
    </row>
    <row r="869" spans="1:8" ht="15" hidden="1" customHeight="1" x14ac:dyDescent="0.3">
      <c r="A869" s="232"/>
      <c r="B869" s="189"/>
      <c r="C869" s="189"/>
      <c r="D869" s="237"/>
      <c r="E869" s="189"/>
      <c r="F869" s="189"/>
      <c r="G869" s="189"/>
      <c r="H869" s="193"/>
    </row>
    <row r="870" spans="1:8" ht="15" hidden="1" customHeight="1" x14ac:dyDescent="0.3">
      <c r="A870" s="232"/>
      <c r="B870" s="189"/>
      <c r="C870" s="189"/>
      <c r="D870" s="237"/>
      <c r="E870" s="189"/>
      <c r="F870" s="189"/>
      <c r="G870" s="189"/>
      <c r="H870" s="193"/>
    </row>
    <row r="871" spans="1:8" ht="15" hidden="1" customHeight="1" x14ac:dyDescent="0.3">
      <c r="A871" s="232"/>
      <c r="B871" s="189"/>
      <c r="C871" s="189"/>
      <c r="D871" s="237"/>
      <c r="E871" s="189"/>
      <c r="F871" s="189"/>
      <c r="G871" s="189"/>
      <c r="H871" s="193"/>
    </row>
    <row r="872" spans="1:8" ht="15" hidden="1" customHeight="1" x14ac:dyDescent="0.3">
      <c r="A872" s="232"/>
      <c r="B872" s="189"/>
      <c r="C872" s="189"/>
      <c r="D872" s="237"/>
      <c r="E872" s="189"/>
      <c r="F872" s="189"/>
      <c r="G872" s="189"/>
      <c r="H872" s="193"/>
    </row>
    <row r="873" spans="1:8" ht="15" hidden="1" customHeight="1" x14ac:dyDescent="0.3">
      <c r="A873" s="232"/>
      <c r="B873" s="189"/>
      <c r="C873" s="189"/>
      <c r="D873" s="237"/>
      <c r="E873" s="189"/>
      <c r="F873" s="189"/>
      <c r="G873" s="189"/>
      <c r="H873" s="193"/>
    </row>
    <row r="874" spans="1:8" ht="15" hidden="1" customHeight="1" x14ac:dyDescent="0.3">
      <c r="A874" s="232"/>
      <c r="B874" s="189"/>
      <c r="C874" s="189"/>
      <c r="D874" s="237"/>
      <c r="E874" s="189"/>
      <c r="F874" s="189"/>
      <c r="G874" s="189"/>
      <c r="H874" s="193"/>
    </row>
    <row r="875" spans="1:8" ht="15" hidden="1" customHeight="1" x14ac:dyDescent="0.3">
      <c r="A875" s="232"/>
      <c r="B875" s="189"/>
      <c r="C875" s="189"/>
      <c r="D875" s="237"/>
      <c r="E875" s="189"/>
      <c r="F875" s="189"/>
      <c r="G875" s="189"/>
      <c r="H875" s="193"/>
    </row>
    <row r="876" spans="1:8" ht="15" hidden="1" customHeight="1" x14ac:dyDescent="0.3">
      <c r="A876" s="232"/>
      <c r="B876" s="189"/>
      <c r="C876" s="189"/>
      <c r="D876" s="237"/>
      <c r="E876" s="189"/>
      <c r="F876" s="189"/>
      <c r="G876" s="189"/>
      <c r="H876" s="193"/>
    </row>
    <row r="877" spans="1:8" ht="15" hidden="1" customHeight="1" x14ac:dyDescent="0.3">
      <c r="A877" s="232"/>
      <c r="B877" s="189"/>
      <c r="C877" s="189"/>
      <c r="D877" s="237"/>
      <c r="E877" s="189"/>
      <c r="F877" s="189"/>
      <c r="G877" s="189"/>
      <c r="H877" s="193"/>
    </row>
    <row r="878" spans="1:8" ht="15" hidden="1" customHeight="1" x14ac:dyDescent="0.3">
      <c r="A878" s="232"/>
      <c r="B878" s="189"/>
      <c r="C878" s="189"/>
      <c r="D878" s="237"/>
      <c r="E878" s="189"/>
      <c r="F878" s="189"/>
      <c r="G878" s="189"/>
      <c r="H878" s="193"/>
    </row>
    <row r="879" spans="1:8" ht="15" hidden="1" customHeight="1" x14ac:dyDescent="0.3">
      <c r="A879" s="232"/>
      <c r="B879" s="189"/>
      <c r="C879" s="189"/>
      <c r="D879" s="237"/>
      <c r="E879" s="189"/>
      <c r="F879" s="189"/>
      <c r="G879" s="189"/>
      <c r="H879" s="193"/>
    </row>
    <row r="880" spans="1:8" ht="15" hidden="1" customHeight="1" x14ac:dyDescent="0.3">
      <c r="A880" s="232"/>
      <c r="B880" s="189"/>
      <c r="C880" s="189"/>
      <c r="D880" s="237"/>
      <c r="E880" s="189"/>
      <c r="F880" s="189"/>
      <c r="G880" s="189"/>
      <c r="H880" s="193"/>
    </row>
    <row r="881" spans="1:8" ht="15" hidden="1" customHeight="1" x14ac:dyDescent="0.3">
      <c r="A881" s="232"/>
      <c r="B881" s="189"/>
      <c r="C881" s="189"/>
      <c r="D881" s="237"/>
      <c r="E881" s="189"/>
      <c r="F881" s="189"/>
      <c r="G881" s="189"/>
      <c r="H881" s="193"/>
    </row>
    <row r="882" spans="1:8" ht="15" hidden="1" customHeight="1" x14ac:dyDescent="0.3">
      <c r="A882" s="232"/>
      <c r="B882" s="189"/>
      <c r="C882" s="189"/>
      <c r="D882" s="237"/>
      <c r="E882" s="189"/>
      <c r="F882" s="189"/>
      <c r="G882" s="189"/>
      <c r="H882" s="193"/>
    </row>
    <row r="883" spans="1:8" ht="15" hidden="1" customHeight="1" x14ac:dyDescent="0.3">
      <c r="A883" s="232"/>
      <c r="B883" s="189"/>
      <c r="C883" s="189"/>
      <c r="D883" s="237"/>
      <c r="E883" s="189"/>
      <c r="F883" s="189"/>
      <c r="G883" s="189"/>
      <c r="H883" s="193"/>
    </row>
    <row r="884" spans="1:8" ht="15" hidden="1" customHeight="1" x14ac:dyDescent="0.3">
      <c r="A884" s="232"/>
      <c r="B884" s="189"/>
      <c r="C884" s="189"/>
      <c r="D884" s="237"/>
      <c r="E884" s="189"/>
      <c r="F884" s="189"/>
      <c r="G884" s="189"/>
      <c r="H884" s="193"/>
    </row>
    <row r="885" spans="1:8" ht="15" hidden="1" customHeight="1" x14ac:dyDescent="0.3">
      <c r="A885" s="232"/>
      <c r="B885" s="189"/>
      <c r="C885" s="189"/>
      <c r="D885" s="237"/>
      <c r="E885" s="189"/>
      <c r="F885" s="189"/>
      <c r="G885" s="189"/>
      <c r="H885" s="193"/>
    </row>
    <row r="886" spans="1:8" ht="15" hidden="1" customHeight="1" x14ac:dyDescent="0.3">
      <c r="A886" s="232"/>
      <c r="B886" s="189"/>
      <c r="C886" s="189"/>
      <c r="D886" s="237"/>
      <c r="E886" s="189"/>
      <c r="F886" s="189"/>
      <c r="G886" s="189"/>
      <c r="H886" s="193"/>
    </row>
    <row r="887" spans="1:8" ht="15" hidden="1" customHeight="1" x14ac:dyDescent="0.3">
      <c r="A887" s="232"/>
      <c r="B887" s="189"/>
      <c r="C887" s="189"/>
      <c r="D887" s="237"/>
      <c r="E887" s="189"/>
      <c r="F887" s="189"/>
      <c r="G887" s="189"/>
      <c r="H887" s="193"/>
    </row>
    <row r="888" spans="1:8" ht="15" hidden="1" customHeight="1" x14ac:dyDescent="0.3">
      <c r="A888" s="232"/>
      <c r="B888" s="189"/>
      <c r="C888" s="189"/>
      <c r="D888" s="237"/>
      <c r="E888" s="189"/>
      <c r="F888" s="189"/>
      <c r="G888" s="189"/>
      <c r="H888" s="193"/>
    </row>
    <row r="889" spans="1:8" ht="15" hidden="1" customHeight="1" x14ac:dyDescent="0.3">
      <c r="A889" s="232"/>
      <c r="B889" s="189"/>
      <c r="C889" s="189"/>
      <c r="D889" s="237"/>
      <c r="E889" s="189"/>
      <c r="F889" s="189"/>
      <c r="G889" s="189"/>
      <c r="H889" s="193"/>
    </row>
    <row r="890" spans="1:8" ht="15" hidden="1" customHeight="1" x14ac:dyDescent="0.3">
      <c r="A890" s="232"/>
      <c r="B890" s="189"/>
      <c r="C890" s="189"/>
      <c r="D890" s="237"/>
      <c r="E890" s="189"/>
      <c r="F890" s="189"/>
      <c r="G890" s="189"/>
      <c r="H890" s="193"/>
    </row>
    <row r="891" spans="1:8" ht="15" hidden="1" customHeight="1" x14ac:dyDescent="0.3">
      <c r="A891" s="232"/>
      <c r="B891" s="189"/>
      <c r="C891" s="189"/>
      <c r="D891" s="237"/>
      <c r="E891" s="189"/>
      <c r="F891" s="189"/>
      <c r="G891" s="189"/>
      <c r="H891" s="193"/>
    </row>
    <row r="892" spans="1:8" ht="15" hidden="1" customHeight="1" x14ac:dyDescent="0.3">
      <c r="A892" s="232"/>
      <c r="B892" s="189"/>
      <c r="C892" s="189"/>
      <c r="D892" s="237"/>
      <c r="E892" s="189"/>
      <c r="F892" s="189"/>
      <c r="G892" s="189"/>
      <c r="H892" s="193"/>
    </row>
    <row r="893" spans="1:8" ht="15" hidden="1" customHeight="1" x14ac:dyDescent="0.3">
      <c r="A893" s="232"/>
      <c r="B893" s="189"/>
      <c r="C893" s="189"/>
      <c r="D893" s="237"/>
      <c r="E893" s="189"/>
      <c r="F893" s="189"/>
      <c r="G893" s="189"/>
      <c r="H893" s="193"/>
    </row>
    <row r="894" spans="1:8" ht="15" hidden="1" customHeight="1" x14ac:dyDescent="0.3">
      <c r="A894" s="232"/>
      <c r="B894" s="189"/>
      <c r="C894" s="189"/>
      <c r="D894" s="237"/>
      <c r="E894" s="189"/>
      <c r="F894" s="189"/>
      <c r="G894" s="189"/>
      <c r="H894" s="193"/>
    </row>
    <row r="895" spans="1:8" ht="15" hidden="1" customHeight="1" x14ac:dyDescent="0.3">
      <c r="A895" s="232"/>
      <c r="B895" s="189"/>
      <c r="C895" s="189"/>
      <c r="D895" s="237"/>
      <c r="E895" s="189"/>
      <c r="F895" s="189"/>
      <c r="G895" s="189"/>
      <c r="H895" s="193"/>
    </row>
    <row r="896" spans="1:8" ht="15" hidden="1" customHeight="1" x14ac:dyDescent="0.3">
      <c r="A896" s="232"/>
      <c r="B896" s="189"/>
      <c r="C896" s="189"/>
      <c r="D896" s="237"/>
      <c r="E896" s="189"/>
      <c r="F896" s="189"/>
      <c r="G896" s="189"/>
      <c r="H896" s="193"/>
    </row>
    <row r="897" spans="1:8" ht="15" hidden="1" customHeight="1" x14ac:dyDescent="0.3">
      <c r="A897" s="232"/>
      <c r="B897" s="189"/>
      <c r="C897" s="189"/>
      <c r="D897" s="237"/>
      <c r="E897" s="189"/>
      <c r="F897" s="189"/>
      <c r="G897" s="189"/>
      <c r="H897" s="193"/>
    </row>
    <row r="898" spans="1:8" ht="15" hidden="1" customHeight="1" x14ac:dyDescent="0.3">
      <c r="A898" s="232"/>
      <c r="B898" s="189"/>
      <c r="C898" s="189"/>
      <c r="D898" s="237"/>
      <c r="E898" s="189"/>
      <c r="F898" s="189"/>
      <c r="G898" s="189"/>
      <c r="H898" s="193"/>
    </row>
    <row r="899" spans="1:8" ht="15" hidden="1" customHeight="1" x14ac:dyDescent="0.3">
      <c r="A899" s="232"/>
      <c r="B899" s="189"/>
      <c r="C899" s="189"/>
      <c r="D899" s="237"/>
      <c r="E899" s="189"/>
      <c r="F899" s="189"/>
      <c r="G899" s="189"/>
      <c r="H899" s="193"/>
    </row>
    <row r="900" spans="1:8" ht="15" hidden="1" customHeight="1" x14ac:dyDescent="0.3">
      <c r="A900" s="232"/>
      <c r="B900" s="189"/>
      <c r="C900" s="189"/>
      <c r="D900" s="237"/>
      <c r="E900" s="189"/>
      <c r="F900" s="189"/>
      <c r="G900" s="189"/>
      <c r="H900" s="193"/>
    </row>
    <row r="901" spans="1:8" ht="15" hidden="1" customHeight="1" x14ac:dyDescent="0.3">
      <c r="A901" s="232"/>
      <c r="B901" s="189"/>
      <c r="C901" s="189"/>
      <c r="D901" s="237"/>
      <c r="E901" s="189"/>
      <c r="F901" s="189"/>
      <c r="G901" s="189"/>
      <c r="H901" s="193"/>
    </row>
    <row r="902" spans="1:8" ht="15" hidden="1" customHeight="1" x14ac:dyDescent="0.3">
      <c r="A902" s="232"/>
      <c r="B902" s="189"/>
      <c r="C902" s="189"/>
      <c r="D902" s="237"/>
      <c r="E902" s="189"/>
      <c r="F902" s="189"/>
      <c r="G902" s="189"/>
      <c r="H902" s="193"/>
    </row>
    <row r="903" spans="1:8" ht="15" hidden="1" customHeight="1" x14ac:dyDescent="0.3">
      <c r="A903" s="232"/>
      <c r="B903" s="189"/>
      <c r="C903" s="189"/>
      <c r="D903" s="237"/>
      <c r="E903" s="189"/>
      <c r="F903" s="189"/>
      <c r="G903" s="189"/>
      <c r="H903" s="193"/>
    </row>
    <row r="904" spans="1:8" ht="15" hidden="1" customHeight="1" x14ac:dyDescent="0.3">
      <c r="A904" s="232"/>
      <c r="B904" s="189"/>
      <c r="C904" s="189"/>
      <c r="D904" s="237"/>
      <c r="E904" s="189"/>
      <c r="F904" s="189"/>
      <c r="G904" s="189"/>
      <c r="H904" s="193"/>
    </row>
    <row r="905" spans="1:8" ht="15" hidden="1" customHeight="1" x14ac:dyDescent="0.3">
      <c r="A905" s="232"/>
      <c r="B905" s="189"/>
      <c r="C905" s="189"/>
      <c r="D905" s="237"/>
      <c r="E905" s="189"/>
      <c r="F905" s="189"/>
      <c r="G905" s="189"/>
      <c r="H905" s="193"/>
    </row>
    <row r="906" spans="1:8" ht="15" hidden="1" customHeight="1" x14ac:dyDescent="0.3">
      <c r="A906" s="232"/>
      <c r="B906" s="189"/>
      <c r="C906" s="189"/>
      <c r="D906" s="237"/>
      <c r="E906" s="189"/>
      <c r="F906" s="189"/>
      <c r="G906" s="189"/>
      <c r="H906" s="193"/>
    </row>
    <row r="907" spans="1:8" ht="15" hidden="1" customHeight="1" x14ac:dyDescent="0.3">
      <c r="A907" s="232"/>
      <c r="B907" s="189"/>
      <c r="C907" s="189"/>
      <c r="D907" s="237"/>
      <c r="E907" s="189"/>
      <c r="F907" s="189"/>
      <c r="G907" s="189"/>
      <c r="H907" s="193"/>
    </row>
    <row r="908" spans="1:8" ht="15" hidden="1" customHeight="1" x14ac:dyDescent="0.3">
      <c r="A908" s="232"/>
      <c r="B908" s="189"/>
      <c r="C908" s="189"/>
      <c r="D908" s="237"/>
      <c r="E908" s="189"/>
      <c r="F908" s="189"/>
      <c r="G908" s="189"/>
      <c r="H908" s="193"/>
    </row>
    <row r="909" spans="1:8" ht="15" hidden="1" customHeight="1" x14ac:dyDescent="0.3">
      <c r="A909" s="232"/>
      <c r="B909" s="189"/>
      <c r="C909" s="189"/>
      <c r="D909" s="237"/>
      <c r="E909" s="189"/>
      <c r="F909" s="189"/>
      <c r="G909" s="189"/>
      <c r="H909" s="193"/>
    </row>
    <row r="910" spans="1:8" ht="15" hidden="1" customHeight="1" x14ac:dyDescent="0.3">
      <c r="A910" s="232"/>
      <c r="B910" s="189"/>
      <c r="C910" s="189"/>
      <c r="D910" s="237"/>
      <c r="E910" s="189"/>
      <c r="F910" s="189"/>
      <c r="G910" s="189"/>
      <c r="H910" s="193"/>
    </row>
    <row r="911" spans="1:8" ht="15" hidden="1" customHeight="1" x14ac:dyDescent="0.3">
      <c r="A911" s="232"/>
      <c r="B911" s="189"/>
      <c r="C911" s="189"/>
      <c r="D911" s="237"/>
      <c r="E911" s="189"/>
      <c r="F911" s="189"/>
      <c r="G911" s="189"/>
      <c r="H911" s="193"/>
    </row>
    <row r="912" spans="1:8" ht="15" hidden="1" customHeight="1" x14ac:dyDescent="0.3">
      <c r="A912" s="232"/>
      <c r="B912" s="189"/>
      <c r="C912" s="189"/>
      <c r="D912" s="237"/>
      <c r="E912" s="189"/>
      <c r="F912" s="189"/>
      <c r="G912" s="189"/>
      <c r="H912" s="193"/>
    </row>
    <row r="913" spans="1:8" ht="15" hidden="1" customHeight="1" x14ac:dyDescent="0.3">
      <c r="A913" s="232"/>
      <c r="B913" s="189"/>
      <c r="C913" s="189"/>
      <c r="D913" s="237"/>
      <c r="E913" s="189"/>
      <c r="F913" s="189"/>
      <c r="G913" s="189"/>
      <c r="H913" s="193"/>
    </row>
    <row r="914" spans="1:8" ht="15" hidden="1" customHeight="1" x14ac:dyDescent="0.3">
      <c r="A914" s="232"/>
      <c r="B914" s="189"/>
      <c r="C914" s="189"/>
      <c r="D914" s="237"/>
      <c r="E914" s="189"/>
      <c r="F914" s="189"/>
      <c r="G914" s="189"/>
      <c r="H914" s="193"/>
    </row>
    <row r="915" spans="1:8" ht="15" hidden="1" customHeight="1" x14ac:dyDescent="0.3">
      <c r="A915" s="232"/>
      <c r="B915" s="189"/>
      <c r="C915" s="189"/>
      <c r="D915" s="237"/>
      <c r="E915" s="189"/>
      <c r="F915" s="189"/>
      <c r="G915" s="189"/>
      <c r="H915" s="193"/>
    </row>
    <row r="916" spans="1:8" ht="15" hidden="1" customHeight="1" x14ac:dyDescent="0.3">
      <c r="A916" s="232"/>
      <c r="B916" s="189"/>
      <c r="C916" s="189"/>
      <c r="D916" s="237"/>
      <c r="E916" s="189"/>
      <c r="F916" s="189"/>
      <c r="G916" s="189"/>
      <c r="H916" s="193"/>
    </row>
    <row r="917" spans="1:8" ht="15" hidden="1" customHeight="1" x14ac:dyDescent="0.3">
      <c r="A917" s="232"/>
      <c r="B917" s="189"/>
      <c r="C917" s="189"/>
      <c r="D917" s="237"/>
      <c r="E917" s="189"/>
      <c r="F917" s="189"/>
      <c r="G917" s="189"/>
      <c r="H917" s="193"/>
    </row>
    <row r="918" spans="1:8" ht="15" hidden="1" customHeight="1" x14ac:dyDescent="0.3">
      <c r="A918" s="232"/>
      <c r="B918" s="189"/>
      <c r="C918" s="189"/>
      <c r="D918" s="237"/>
      <c r="E918" s="189"/>
      <c r="F918" s="189"/>
      <c r="G918" s="189"/>
      <c r="H918" s="193"/>
    </row>
    <row r="919" spans="1:8" ht="15" hidden="1" customHeight="1" x14ac:dyDescent="0.3">
      <c r="A919" s="232"/>
      <c r="B919" s="189"/>
      <c r="C919" s="189"/>
      <c r="D919" s="237"/>
      <c r="E919" s="189"/>
      <c r="F919" s="189"/>
      <c r="G919" s="189"/>
      <c r="H919" s="193"/>
    </row>
    <row r="920" spans="1:8" ht="15" hidden="1" customHeight="1" x14ac:dyDescent="0.3">
      <c r="A920" s="232"/>
      <c r="B920" s="189"/>
      <c r="C920" s="189"/>
      <c r="D920" s="237"/>
      <c r="E920" s="189"/>
      <c r="F920" s="189"/>
      <c r="G920" s="189"/>
      <c r="H920" s="193"/>
    </row>
    <row r="921" spans="1:8" ht="15" hidden="1" customHeight="1" x14ac:dyDescent="0.3">
      <c r="A921" s="232"/>
      <c r="B921" s="189"/>
      <c r="C921" s="189"/>
      <c r="D921" s="237"/>
      <c r="E921" s="189"/>
      <c r="F921" s="189"/>
      <c r="G921" s="189"/>
      <c r="H921" s="193"/>
    </row>
    <row r="922" spans="1:8" ht="15" hidden="1" customHeight="1" x14ac:dyDescent="0.3">
      <c r="A922" s="232"/>
      <c r="B922" s="189"/>
      <c r="C922" s="189"/>
      <c r="D922" s="237"/>
      <c r="E922" s="189"/>
      <c r="F922" s="189"/>
      <c r="G922" s="189"/>
      <c r="H922" s="193"/>
    </row>
    <row r="923" spans="1:8" ht="15" hidden="1" customHeight="1" x14ac:dyDescent="0.3">
      <c r="A923" s="232"/>
      <c r="B923" s="189"/>
      <c r="C923" s="189"/>
      <c r="D923" s="237"/>
      <c r="E923" s="189"/>
      <c r="F923" s="189"/>
      <c r="G923" s="189"/>
      <c r="H923" s="193"/>
    </row>
    <row r="924" spans="1:8" ht="15" hidden="1" customHeight="1" x14ac:dyDescent="0.3">
      <c r="A924" s="232"/>
      <c r="B924" s="189"/>
      <c r="C924" s="189"/>
      <c r="D924" s="237"/>
      <c r="E924" s="189"/>
      <c r="F924" s="189"/>
      <c r="G924" s="189"/>
      <c r="H924" s="193"/>
    </row>
    <row r="925" spans="1:8" ht="15" hidden="1" customHeight="1" x14ac:dyDescent="0.3">
      <c r="A925" s="232"/>
      <c r="B925" s="189"/>
      <c r="C925" s="189"/>
      <c r="D925" s="237"/>
      <c r="E925" s="189"/>
      <c r="F925" s="189"/>
      <c r="G925" s="189"/>
      <c r="H925" s="193"/>
    </row>
    <row r="926" spans="1:8" ht="15" hidden="1" customHeight="1" x14ac:dyDescent="0.3">
      <c r="A926" s="232"/>
      <c r="B926" s="189"/>
      <c r="C926" s="189"/>
      <c r="D926" s="237"/>
      <c r="E926" s="189"/>
      <c r="F926" s="189"/>
      <c r="G926" s="189"/>
      <c r="H926" s="193"/>
    </row>
    <row r="927" spans="1:8" ht="15" hidden="1" customHeight="1" x14ac:dyDescent="0.3">
      <c r="A927" s="232"/>
      <c r="B927" s="189"/>
      <c r="C927" s="189"/>
      <c r="D927" s="237"/>
      <c r="E927" s="189"/>
      <c r="F927" s="189"/>
      <c r="G927" s="189"/>
      <c r="H927" s="193"/>
    </row>
    <row r="928" spans="1:8" ht="15" hidden="1" customHeight="1" x14ac:dyDescent="0.3">
      <c r="A928" s="232"/>
      <c r="B928" s="189"/>
      <c r="C928" s="189"/>
      <c r="D928" s="237"/>
      <c r="E928" s="189"/>
      <c r="F928" s="189"/>
      <c r="G928" s="189"/>
      <c r="H928" s="193"/>
    </row>
    <row r="929" spans="1:8" ht="15" hidden="1" customHeight="1" x14ac:dyDescent="0.3">
      <c r="A929" s="232"/>
      <c r="B929" s="189"/>
      <c r="C929" s="189"/>
      <c r="D929" s="237"/>
      <c r="E929" s="189"/>
      <c r="F929" s="189"/>
      <c r="G929" s="189"/>
      <c r="H929" s="193"/>
    </row>
    <row r="930" spans="1:8" ht="15" hidden="1" customHeight="1" x14ac:dyDescent="0.3">
      <c r="A930" s="232"/>
      <c r="B930" s="189"/>
      <c r="C930" s="189"/>
      <c r="D930" s="237"/>
      <c r="E930" s="189"/>
      <c r="F930" s="189"/>
      <c r="G930" s="189"/>
      <c r="H930" s="193"/>
    </row>
    <row r="931" spans="1:8" ht="15" hidden="1" customHeight="1" x14ac:dyDescent="0.3">
      <c r="A931" s="232"/>
      <c r="B931" s="189"/>
      <c r="C931" s="189"/>
      <c r="D931" s="237"/>
      <c r="E931" s="189"/>
      <c r="F931" s="189"/>
      <c r="G931" s="189"/>
      <c r="H931" s="193"/>
    </row>
    <row r="932" spans="1:8" ht="15" hidden="1" customHeight="1" x14ac:dyDescent="0.3">
      <c r="A932" s="232"/>
      <c r="B932" s="189"/>
      <c r="C932" s="189"/>
      <c r="D932" s="237"/>
      <c r="E932" s="189"/>
      <c r="F932" s="189"/>
      <c r="G932" s="189"/>
      <c r="H932" s="193"/>
    </row>
    <row r="933" spans="1:8" ht="15" hidden="1" customHeight="1" x14ac:dyDescent="0.3">
      <c r="A933" s="232"/>
      <c r="B933" s="189"/>
      <c r="C933" s="189"/>
      <c r="D933" s="237"/>
      <c r="E933" s="189"/>
      <c r="F933" s="189"/>
      <c r="G933" s="189"/>
      <c r="H933" s="193"/>
    </row>
    <row r="934" spans="1:8" ht="15" hidden="1" customHeight="1" x14ac:dyDescent="0.3">
      <c r="A934" s="232"/>
      <c r="B934" s="189"/>
      <c r="C934" s="189"/>
      <c r="D934" s="237"/>
      <c r="E934" s="189"/>
      <c r="F934" s="189"/>
      <c r="G934" s="189"/>
      <c r="H934" s="193"/>
    </row>
    <row r="935" spans="1:8" ht="15" hidden="1" customHeight="1" x14ac:dyDescent="0.3">
      <c r="A935" s="232"/>
      <c r="B935" s="189"/>
      <c r="C935" s="189"/>
      <c r="D935" s="237"/>
      <c r="E935" s="189"/>
      <c r="F935" s="189"/>
      <c r="G935" s="189"/>
      <c r="H935" s="193"/>
    </row>
    <row r="936" spans="1:8" ht="15" hidden="1" customHeight="1" x14ac:dyDescent="0.3">
      <c r="A936" s="232"/>
      <c r="B936" s="189"/>
      <c r="C936" s="189"/>
      <c r="D936" s="237"/>
      <c r="E936" s="189"/>
      <c r="F936" s="189"/>
      <c r="G936" s="189"/>
      <c r="H936" s="193"/>
    </row>
    <row r="937" spans="1:8" ht="15" hidden="1" customHeight="1" x14ac:dyDescent="0.3">
      <c r="A937" s="232"/>
      <c r="B937" s="189"/>
      <c r="C937" s="189"/>
      <c r="D937" s="237"/>
      <c r="E937" s="189"/>
      <c r="F937" s="189"/>
      <c r="G937" s="189"/>
      <c r="H937" s="193"/>
    </row>
    <row r="938" spans="1:8" ht="15" hidden="1" customHeight="1" x14ac:dyDescent="0.3">
      <c r="A938" s="232"/>
      <c r="B938" s="189"/>
      <c r="C938" s="189"/>
      <c r="D938" s="237"/>
      <c r="E938" s="189"/>
      <c r="F938" s="189"/>
      <c r="G938" s="189"/>
      <c r="H938" s="193"/>
    </row>
    <row r="939" spans="1:8" ht="15" hidden="1" customHeight="1" x14ac:dyDescent="0.3">
      <c r="A939" s="232"/>
      <c r="B939" s="189"/>
      <c r="C939" s="189"/>
      <c r="D939" s="237"/>
      <c r="E939" s="189"/>
      <c r="F939" s="189"/>
      <c r="G939" s="189"/>
      <c r="H939" s="193"/>
    </row>
    <row r="940" spans="1:8" ht="15" hidden="1" customHeight="1" x14ac:dyDescent="0.3">
      <c r="A940" s="232"/>
      <c r="B940" s="189"/>
      <c r="C940" s="189"/>
      <c r="D940" s="237"/>
      <c r="E940" s="189"/>
      <c r="F940" s="189"/>
      <c r="G940" s="189"/>
      <c r="H940" s="193"/>
    </row>
    <row r="941" spans="1:8" ht="15" hidden="1" customHeight="1" x14ac:dyDescent="0.3">
      <c r="A941" s="232"/>
      <c r="B941" s="189"/>
      <c r="C941" s="189"/>
      <c r="D941" s="237"/>
      <c r="E941" s="189"/>
      <c r="F941" s="189"/>
      <c r="G941" s="189"/>
      <c r="H941" s="193"/>
    </row>
    <row r="942" spans="1:8" ht="15" hidden="1" customHeight="1" x14ac:dyDescent="0.3">
      <c r="A942" s="232"/>
      <c r="B942" s="189"/>
      <c r="C942" s="189"/>
      <c r="D942" s="237"/>
      <c r="E942" s="189"/>
      <c r="F942" s="189"/>
      <c r="G942" s="189"/>
      <c r="H942" s="193"/>
    </row>
    <row r="943" spans="1:8" ht="15" hidden="1" customHeight="1" x14ac:dyDescent="0.3">
      <c r="A943" s="232"/>
      <c r="B943" s="189"/>
      <c r="C943" s="189"/>
      <c r="D943" s="237"/>
      <c r="E943" s="189"/>
      <c r="F943" s="189"/>
      <c r="G943" s="189"/>
      <c r="H943" s="193"/>
    </row>
    <row r="944" spans="1:8" ht="15" hidden="1" customHeight="1" x14ac:dyDescent="0.3">
      <c r="A944" s="232"/>
      <c r="B944" s="189"/>
      <c r="C944" s="189"/>
      <c r="D944" s="237"/>
      <c r="E944" s="189"/>
      <c r="F944" s="189"/>
      <c r="G944" s="189"/>
      <c r="H944" s="193"/>
    </row>
    <row r="945" spans="1:8" ht="15" hidden="1" customHeight="1" x14ac:dyDescent="0.3">
      <c r="A945" s="232"/>
      <c r="B945" s="189"/>
      <c r="C945" s="189"/>
      <c r="D945" s="237"/>
      <c r="E945" s="189"/>
      <c r="F945" s="189"/>
      <c r="G945" s="189"/>
      <c r="H945" s="193"/>
    </row>
    <row r="946" spans="1:8" ht="15" hidden="1" customHeight="1" x14ac:dyDescent="0.3">
      <c r="A946" s="232"/>
      <c r="B946" s="189"/>
      <c r="C946" s="189"/>
      <c r="D946" s="237"/>
      <c r="E946" s="189"/>
      <c r="F946" s="189"/>
      <c r="G946" s="189"/>
      <c r="H946" s="193"/>
    </row>
    <row r="947" spans="1:8" ht="15" hidden="1" customHeight="1" x14ac:dyDescent="0.3">
      <c r="A947" s="232"/>
      <c r="B947" s="189"/>
      <c r="C947" s="189"/>
      <c r="D947" s="237"/>
      <c r="E947" s="189"/>
      <c r="F947" s="189"/>
      <c r="G947" s="189"/>
      <c r="H947" s="193"/>
    </row>
    <row r="948" spans="1:8" ht="15" hidden="1" customHeight="1" x14ac:dyDescent="0.3">
      <c r="A948" s="232"/>
      <c r="B948" s="189"/>
      <c r="C948" s="189"/>
      <c r="D948" s="237"/>
      <c r="E948" s="189"/>
      <c r="F948" s="189"/>
      <c r="G948" s="189"/>
      <c r="H948" s="193"/>
    </row>
    <row r="949" spans="1:8" ht="15" hidden="1" customHeight="1" x14ac:dyDescent="0.3">
      <c r="A949" s="232"/>
      <c r="B949" s="189"/>
      <c r="C949" s="189"/>
      <c r="D949" s="237"/>
      <c r="E949" s="189"/>
      <c r="F949" s="189"/>
      <c r="G949" s="189"/>
      <c r="H949" s="193"/>
    </row>
    <row r="950" spans="1:8" ht="15" hidden="1" customHeight="1" x14ac:dyDescent="0.3">
      <c r="A950" s="232"/>
      <c r="B950" s="189"/>
      <c r="C950" s="189"/>
      <c r="D950" s="237"/>
      <c r="E950" s="189"/>
      <c r="F950" s="189"/>
      <c r="G950" s="189"/>
      <c r="H950" s="193"/>
    </row>
    <row r="951" spans="1:8" ht="15" hidden="1" customHeight="1" x14ac:dyDescent="0.3">
      <c r="A951" s="232"/>
      <c r="B951" s="189"/>
      <c r="C951" s="189"/>
      <c r="D951" s="237"/>
      <c r="E951" s="189"/>
      <c r="F951" s="189"/>
      <c r="G951" s="189"/>
      <c r="H951" s="193"/>
    </row>
    <row r="952" spans="1:8" ht="15" hidden="1" customHeight="1" x14ac:dyDescent="0.3">
      <c r="A952" s="232"/>
      <c r="B952" s="189"/>
      <c r="C952" s="189"/>
      <c r="D952" s="237"/>
      <c r="E952" s="189"/>
      <c r="F952" s="189"/>
      <c r="G952" s="189"/>
      <c r="H952" s="193"/>
    </row>
    <row r="953" spans="1:8" ht="15" hidden="1" customHeight="1" x14ac:dyDescent="0.3">
      <c r="A953" s="232"/>
      <c r="B953" s="189"/>
      <c r="C953" s="189"/>
      <c r="D953" s="237"/>
      <c r="E953" s="189"/>
      <c r="F953" s="189"/>
      <c r="G953" s="189"/>
      <c r="H953" s="193"/>
    </row>
    <row r="954" spans="1:8" ht="15" hidden="1" customHeight="1" x14ac:dyDescent="0.3">
      <c r="A954" s="232"/>
      <c r="B954" s="189"/>
      <c r="C954" s="189"/>
      <c r="D954" s="237"/>
      <c r="E954" s="189"/>
      <c r="F954" s="189"/>
      <c r="G954" s="189"/>
      <c r="H954" s="193"/>
    </row>
    <row r="955" spans="1:8" ht="15" hidden="1" customHeight="1" x14ac:dyDescent="0.3">
      <c r="A955" s="232"/>
      <c r="B955" s="189"/>
      <c r="C955" s="189"/>
      <c r="D955" s="237"/>
      <c r="E955" s="189"/>
      <c r="F955" s="189"/>
      <c r="G955" s="189"/>
      <c r="H955" s="193"/>
    </row>
    <row r="956" spans="1:8" ht="15" hidden="1" customHeight="1" x14ac:dyDescent="0.3">
      <c r="A956" s="232"/>
      <c r="B956" s="189"/>
      <c r="C956" s="189"/>
      <c r="D956" s="237"/>
      <c r="E956" s="189"/>
      <c r="F956" s="189"/>
      <c r="G956" s="189"/>
      <c r="H956" s="193"/>
    </row>
    <row r="957" spans="1:8" ht="15" hidden="1" customHeight="1" x14ac:dyDescent="0.3">
      <c r="A957" s="232"/>
      <c r="B957" s="189"/>
      <c r="C957" s="189"/>
      <c r="D957" s="237"/>
      <c r="E957" s="189"/>
      <c r="F957" s="189"/>
      <c r="G957" s="189"/>
      <c r="H957" s="193"/>
    </row>
    <row r="958" spans="1:8" ht="15" hidden="1" customHeight="1" x14ac:dyDescent="0.3">
      <c r="A958" s="232"/>
      <c r="B958" s="189"/>
      <c r="C958" s="189"/>
      <c r="D958" s="237"/>
      <c r="E958" s="189"/>
      <c r="F958" s="189"/>
      <c r="G958" s="189"/>
      <c r="H958" s="193"/>
    </row>
    <row r="959" spans="1:8" ht="15" hidden="1" customHeight="1" x14ac:dyDescent="0.3">
      <c r="A959" s="232"/>
      <c r="B959" s="189"/>
      <c r="C959" s="189"/>
      <c r="D959" s="237"/>
      <c r="E959" s="189"/>
      <c r="F959" s="189"/>
      <c r="G959" s="189"/>
      <c r="H959" s="193"/>
    </row>
    <row r="960" spans="1:8" ht="15" hidden="1" customHeight="1" x14ac:dyDescent="0.3">
      <c r="A960" s="232"/>
      <c r="B960" s="189"/>
      <c r="C960" s="189"/>
      <c r="D960" s="237"/>
      <c r="E960" s="189"/>
      <c r="F960" s="189"/>
      <c r="G960" s="189"/>
      <c r="H960" s="193"/>
    </row>
    <row r="961" spans="1:8" ht="15" hidden="1" customHeight="1" x14ac:dyDescent="0.3">
      <c r="A961" s="232"/>
      <c r="B961" s="189"/>
      <c r="C961" s="189"/>
      <c r="D961" s="237"/>
      <c r="E961" s="189"/>
      <c r="F961" s="189"/>
      <c r="G961" s="189"/>
      <c r="H961" s="193"/>
    </row>
    <row r="962" spans="1:8" ht="15" hidden="1" customHeight="1" x14ac:dyDescent="0.3">
      <c r="A962" s="232"/>
      <c r="B962" s="189"/>
      <c r="C962" s="189"/>
      <c r="D962" s="237"/>
      <c r="E962" s="189"/>
      <c r="F962" s="189"/>
      <c r="G962" s="189"/>
      <c r="H962" s="193"/>
    </row>
    <row r="963" spans="1:8" ht="15" hidden="1" customHeight="1" x14ac:dyDescent="0.3">
      <c r="A963" s="232"/>
      <c r="B963" s="189"/>
      <c r="C963" s="189"/>
      <c r="D963" s="237"/>
      <c r="E963" s="189"/>
      <c r="F963" s="189"/>
      <c r="G963" s="189"/>
      <c r="H963" s="193"/>
    </row>
    <row r="964" spans="1:8" ht="15" hidden="1" customHeight="1" x14ac:dyDescent="0.3">
      <c r="A964" s="232"/>
      <c r="B964" s="189"/>
      <c r="C964" s="189"/>
      <c r="D964" s="237"/>
      <c r="E964" s="189"/>
      <c r="F964" s="189"/>
      <c r="G964" s="189"/>
      <c r="H964" s="193"/>
    </row>
    <row r="965" spans="1:8" ht="15" hidden="1" customHeight="1" x14ac:dyDescent="0.3">
      <c r="A965" s="232"/>
      <c r="B965" s="189"/>
      <c r="C965" s="189"/>
      <c r="D965" s="237"/>
      <c r="E965" s="189"/>
      <c r="F965" s="189"/>
      <c r="G965" s="189"/>
      <c r="H965" s="193"/>
    </row>
    <row r="966" spans="1:8" ht="15" hidden="1" customHeight="1" x14ac:dyDescent="0.3">
      <c r="A966" s="232"/>
      <c r="B966" s="189"/>
      <c r="C966" s="189"/>
      <c r="D966" s="237"/>
      <c r="E966" s="189"/>
      <c r="F966" s="189"/>
      <c r="G966" s="189"/>
      <c r="H966" s="193"/>
    </row>
    <row r="967" spans="1:8" ht="15" hidden="1" customHeight="1" x14ac:dyDescent="0.3">
      <c r="A967" s="232"/>
      <c r="B967" s="189"/>
      <c r="C967" s="189"/>
      <c r="D967" s="237"/>
      <c r="E967" s="189"/>
      <c r="F967" s="189"/>
      <c r="G967" s="189"/>
      <c r="H967" s="193"/>
    </row>
    <row r="968" spans="1:8" ht="15" hidden="1" customHeight="1" x14ac:dyDescent="0.3">
      <c r="A968" s="232"/>
      <c r="B968" s="189"/>
      <c r="C968" s="189"/>
      <c r="D968" s="237"/>
      <c r="E968" s="189"/>
      <c r="F968" s="189"/>
      <c r="G968" s="189"/>
      <c r="H968" s="193"/>
    </row>
    <row r="969" spans="1:8" ht="15" hidden="1" customHeight="1" x14ac:dyDescent="0.3">
      <c r="A969" s="232"/>
      <c r="B969" s="189"/>
      <c r="C969" s="189"/>
      <c r="D969" s="237"/>
      <c r="E969" s="189"/>
      <c r="F969" s="189"/>
      <c r="G969" s="189"/>
      <c r="H969" s="193"/>
    </row>
    <row r="970" spans="1:8" ht="15" hidden="1" customHeight="1" x14ac:dyDescent="0.3">
      <c r="A970" s="232"/>
      <c r="B970" s="189"/>
      <c r="C970" s="189"/>
      <c r="D970" s="237"/>
      <c r="E970" s="189"/>
      <c r="F970" s="189"/>
      <c r="G970" s="189"/>
      <c r="H970" s="193"/>
    </row>
    <row r="971" spans="1:8" ht="15" hidden="1" customHeight="1" x14ac:dyDescent="0.3">
      <c r="A971" s="232"/>
      <c r="B971" s="189"/>
      <c r="C971" s="189"/>
      <c r="D971" s="237"/>
      <c r="E971" s="189"/>
      <c r="F971" s="189"/>
      <c r="G971" s="189"/>
      <c r="H971" s="193"/>
    </row>
    <row r="972" spans="1:8" ht="15" hidden="1" customHeight="1" x14ac:dyDescent="0.3">
      <c r="A972" s="232"/>
      <c r="B972" s="189"/>
      <c r="C972" s="189"/>
      <c r="D972" s="237"/>
      <c r="E972" s="189"/>
      <c r="F972" s="189"/>
      <c r="G972" s="189"/>
      <c r="H972" s="193"/>
    </row>
    <row r="973" spans="1:8" ht="15" hidden="1" customHeight="1" x14ac:dyDescent="0.3">
      <c r="A973" s="232"/>
      <c r="B973" s="189"/>
      <c r="C973" s="189"/>
      <c r="D973" s="237"/>
      <c r="E973" s="189"/>
      <c r="F973" s="189"/>
      <c r="G973" s="189"/>
      <c r="H973" s="193"/>
    </row>
    <row r="974" spans="1:8" ht="15" hidden="1" customHeight="1" x14ac:dyDescent="0.3">
      <c r="A974" s="232"/>
      <c r="B974" s="189"/>
      <c r="C974" s="189"/>
      <c r="D974" s="237"/>
      <c r="E974" s="189"/>
      <c r="F974" s="189"/>
      <c r="G974" s="189"/>
      <c r="H974" s="193"/>
    </row>
    <row r="975" spans="1:8" ht="15" hidden="1" customHeight="1" x14ac:dyDescent="0.3">
      <c r="A975" s="232"/>
      <c r="B975" s="189"/>
      <c r="C975" s="189"/>
      <c r="D975" s="237"/>
      <c r="E975" s="189"/>
      <c r="F975" s="189"/>
      <c r="G975" s="189"/>
      <c r="H975" s="193"/>
    </row>
    <row r="976" spans="1:8" ht="15" hidden="1" customHeight="1" x14ac:dyDescent="0.3">
      <c r="A976" s="232"/>
      <c r="B976" s="189"/>
      <c r="C976" s="189"/>
      <c r="D976" s="237"/>
      <c r="E976" s="189"/>
      <c r="F976" s="189"/>
      <c r="G976" s="189"/>
      <c r="H976" s="193"/>
    </row>
    <row r="977" spans="1:8" ht="15" hidden="1" customHeight="1" x14ac:dyDescent="0.3">
      <c r="A977" s="232"/>
      <c r="B977" s="189"/>
      <c r="C977" s="189"/>
      <c r="D977" s="237"/>
      <c r="E977" s="189"/>
      <c r="F977" s="189"/>
      <c r="G977" s="189"/>
      <c r="H977" s="193"/>
    </row>
    <row r="978" spans="1:8" ht="15" hidden="1" customHeight="1" x14ac:dyDescent="0.3">
      <c r="A978" s="232"/>
      <c r="B978" s="189"/>
      <c r="C978" s="189"/>
      <c r="D978" s="237"/>
      <c r="E978" s="189"/>
      <c r="F978" s="189"/>
      <c r="G978" s="189"/>
      <c r="H978" s="193"/>
    </row>
    <row r="979" spans="1:8" ht="15" hidden="1" customHeight="1" x14ac:dyDescent="0.3">
      <c r="A979" s="232"/>
      <c r="B979" s="189"/>
      <c r="C979" s="189"/>
      <c r="D979" s="237"/>
      <c r="E979" s="189"/>
      <c r="F979" s="189"/>
      <c r="G979" s="189"/>
      <c r="H979" s="193"/>
    </row>
    <row r="980" spans="1:8" ht="15" hidden="1" customHeight="1" x14ac:dyDescent="0.3">
      <c r="A980" s="232"/>
      <c r="B980" s="189"/>
      <c r="C980" s="189"/>
      <c r="D980" s="237"/>
      <c r="E980" s="189"/>
      <c r="F980" s="189"/>
      <c r="G980" s="189"/>
      <c r="H980" s="193"/>
    </row>
    <row r="981" spans="1:8" ht="15" hidden="1" customHeight="1" x14ac:dyDescent="0.3">
      <c r="A981" s="232"/>
      <c r="B981" s="189"/>
      <c r="C981" s="189"/>
      <c r="D981" s="237"/>
      <c r="E981" s="189"/>
      <c r="F981" s="189"/>
      <c r="G981" s="189"/>
      <c r="H981" s="193"/>
    </row>
    <row r="982" spans="1:8" ht="15" hidden="1" customHeight="1" x14ac:dyDescent="0.3">
      <c r="A982" s="232"/>
      <c r="B982" s="189"/>
      <c r="C982" s="189"/>
      <c r="D982" s="237"/>
      <c r="E982" s="189"/>
      <c r="F982" s="189"/>
      <c r="G982" s="189"/>
      <c r="H982" s="193"/>
    </row>
    <row r="983" spans="1:8" ht="15" hidden="1" customHeight="1" x14ac:dyDescent="0.3">
      <c r="A983" s="232"/>
      <c r="B983" s="189"/>
      <c r="C983" s="189"/>
      <c r="D983" s="237"/>
      <c r="E983" s="189"/>
      <c r="F983" s="189"/>
      <c r="G983" s="189"/>
      <c r="H983" s="193"/>
    </row>
    <row r="984" spans="1:8" ht="15" hidden="1" customHeight="1" x14ac:dyDescent="0.3">
      <c r="A984" s="232"/>
      <c r="B984" s="189"/>
      <c r="C984" s="189"/>
      <c r="D984" s="237"/>
      <c r="E984" s="189"/>
      <c r="F984" s="189"/>
      <c r="G984" s="189"/>
      <c r="H984" s="193"/>
    </row>
    <row r="985" spans="1:8" ht="15" hidden="1" customHeight="1" x14ac:dyDescent="0.3">
      <c r="A985" s="232"/>
      <c r="B985" s="189"/>
      <c r="C985" s="189"/>
      <c r="D985" s="237"/>
      <c r="E985" s="189"/>
      <c r="F985" s="189"/>
      <c r="G985" s="189"/>
      <c r="H985" s="193"/>
    </row>
    <row r="986" spans="1:8" ht="15" hidden="1" customHeight="1" x14ac:dyDescent="0.3">
      <c r="A986" s="232"/>
      <c r="B986" s="189"/>
      <c r="C986" s="189"/>
      <c r="D986" s="237"/>
      <c r="E986" s="189"/>
      <c r="F986" s="189"/>
      <c r="G986" s="189"/>
      <c r="H986" s="193"/>
    </row>
    <row r="987" spans="1:8" ht="15" hidden="1" customHeight="1" x14ac:dyDescent="0.3">
      <c r="A987" s="232"/>
      <c r="B987" s="189"/>
      <c r="C987" s="189"/>
      <c r="D987" s="237"/>
      <c r="E987" s="189"/>
      <c r="F987" s="189"/>
      <c r="G987" s="189"/>
      <c r="H987" s="193"/>
    </row>
    <row r="988" spans="1:8" ht="15" hidden="1" customHeight="1" x14ac:dyDescent="0.3">
      <c r="A988" s="232"/>
      <c r="B988" s="189"/>
      <c r="C988" s="189"/>
      <c r="D988" s="237"/>
      <c r="E988" s="189"/>
      <c r="F988" s="189"/>
      <c r="G988" s="189"/>
      <c r="H988" s="193"/>
    </row>
    <row r="989" spans="1:8" ht="15" hidden="1" customHeight="1" x14ac:dyDescent="0.3">
      <c r="A989" s="232"/>
      <c r="B989" s="189"/>
      <c r="C989" s="189"/>
      <c r="D989" s="237"/>
      <c r="E989" s="189"/>
      <c r="F989" s="189"/>
      <c r="G989" s="189"/>
      <c r="H989" s="193"/>
    </row>
    <row r="990" spans="1:8" ht="15" hidden="1" customHeight="1" x14ac:dyDescent="0.3">
      <c r="A990" s="232"/>
      <c r="B990" s="189"/>
      <c r="C990" s="189"/>
      <c r="D990" s="237"/>
      <c r="E990" s="189"/>
      <c r="F990" s="189"/>
      <c r="G990" s="189"/>
      <c r="H990" s="193"/>
    </row>
    <row r="991" spans="1:8" ht="15" hidden="1" customHeight="1" x14ac:dyDescent="0.3">
      <c r="A991" s="232"/>
      <c r="B991" s="189"/>
      <c r="C991" s="189"/>
      <c r="D991" s="237"/>
      <c r="E991" s="189"/>
      <c r="F991" s="189"/>
      <c r="G991" s="189"/>
      <c r="H991" s="193"/>
    </row>
    <row r="992" spans="1:8" ht="15" hidden="1" customHeight="1" x14ac:dyDescent="0.3">
      <c r="A992" s="232"/>
      <c r="B992" s="189"/>
      <c r="C992" s="189"/>
      <c r="D992" s="237"/>
      <c r="E992" s="189"/>
      <c r="F992" s="189"/>
      <c r="G992" s="189"/>
      <c r="H992" s="193"/>
    </row>
    <row r="993" spans="1:8" ht="15" hidden="1" customHeight="1" x14ac:dyDescent="0.3">
      <c r="A993" s="232"/>
      <c r="B993" s="189"/>
      <c r="C993" s="189"/>
      <c r="D993" s="237"/>
      <c r="E993" s="189"/>
      <c r="F993" s="189"/>
      <c r="G993" s="189"/>
      <c r="H993" s="193"/>
    </row>
    <row r="994" spans="1:8" ht="15" hidden="1" customHeight="1" x14ac:dyDescent="0.3">
      <c r="A994" s="232"/>
      <c r="B994" s="189"/>
      <c r="C994" s="189"/>
      <c r="D994" s="237"/>
      <c r="E994" s="189"/>
      <c r="F994" s="189"/>
      <c r="G994" s="189"/>
      <c r="H994" s="193"/>
    </row>
    <row r="995" spans="1:8" ht="15" hidden="1" customHeight="1" x14ac:dyDescent="0.3">
      <c r="A995" s="232"/>
      <c r="B995" s="189"/>
      <c r="C995" s="189"/>
      <c r="D995" s="237"/>
      <c r="E995" s="189"/>
      <c r="F995" s="189"/>
      <c r="G995" s="189"/>
      <c r="H995" s="193"/>
    </row>
    <row r="996" spans="1:8" ht="15" hidden="1" customHeight="1" x14ac:dyDescent="0.3">
      <c r="A996" s="232"/>
      <c r="B996" s="189"/>
      <c r="C996" s="189"/>
      <c r="D996" s="237"/>
      <c r="E996" s="189"/>
      <c r="F996" s="189"/>
      <c r="G996" s="189"/>
      <c r="H996" s="193"/>
    </row>
    <row r="997" spans="1:8" ht="15" hidden="1" customHeight="1" x14ac:dyDescent="0.3">
      <c r="A997" s="232"/>
      <c r="B997" s="189"/>
      <c r="C997" s="189"/>
      <c r="D997" s="237"/>
      <c r="E997" s="189"/>
      <c r="F997" s="189"/>
      <c r="G997" s="189"/>
      <c r="H997" s="193"/>
    </row>
    <row r="998" spans="1:8" ht="15" hidden="1" customHeight="1" x14ac:dyDescent="0.3">
      <c r="A998" s="232"/>
      <c r="B998" s="189"/>
      <c r="C998" s="189"/>
      <c r="D998" s="237"/>
      <c r="E998" s="189"/>
      <c r="F998" s="189"/>
      <c r="G998" s="189"/>
      <c r="H998" s="193"/>
    </row>
    <row r="999" spans="1:8" ht="15" hidden="1" customHeight="1" x14ac:dyDescent="0.3">
      <c r="A999" s="232"/>
      <c r="B999" s="189"/>
      <c r="C999" s="189"/>
      <c r="D999" s="237"/>
      <c r="E999" s="189"/>
      <c r="F999" s="189"/>
      <c r="G999" s="189"/>
      <c r="H999" s="193"/>
    </row>
    <row r="1000" spans="1:8" ht="15" hidden="1" customHeight="1" x14ac:dyDescent="0.3">
      <c r="A1000" s="232"/>
      <c r="B1000" s="189"/>
      <c r="C1000" s="189"/>
      <c r="D1000" s="237"/>
      <c r="E1000" s="189"/>
      <c r="F1000" s="189"/>
      <c r="G1000" s="189"/>
      <c r="H1000" s="193"/>
    </row>
    <row r="1001" spans="1:8" ht="15" hidden="1" customHeight="1" x14ac:dyDescent="0.3">
      <c r="A1001" s="232"/>
      <c r="B1001" s="189"/>
      <c r="C1001" s="189"/>
      <c r="D1001" s="237"/>
      <c r="E1001" s="189"/>
      <c r="F1001" s="189"/>
      <c r="G1001" s="189"/>
      <c r="H1001" s="193"/>
    </row>
    <row r="1002" spans="1:8" ht="15" hidden="1" customHeight="1" x14ac:dyDescent="0.3">
      <c r="A1002" s="232"/>
      <c r="B1002" s="189"/>
      <c r="C1002" s="189"/>
      <c r="D1002" s="237"/>
      <c r="E1002" s="189"/>
      <c r="F1002" s="189"/>
      <c r="G1002" s="189"/>
      <c r="H1002" s="193"/>
    </row>
    <row r="1003" spans="1:8" ht="15" hidden="1" customHeight="1" x14ac:dyDescent="0.3">
      <c r="A1003" s="232"/>
      <c r="B1003" s="189"/>
      <c r="C1003" s="189"/>
      <c r="D1003" s="237"/>
      <c r="E1003" s="189"/>
      <c r="F1003" s="189"/>
      <c r="G1003" s="189"/>
      <c r="H1003" s="193"/>
    </row>
    <row r="1004" spans="1:8" ht="15" hidden="1" customHeight="1" x14ac:dyDescent="0.3">
      <c r="A1004" s="232"/>
      <c r="B1004" s="189"/>
      <c r="C1004" s="189"/>
      <c r="D1004" s="237"/>
      <c r="E1004" s="189"/>
      <c r="F1004" s="189"/>
      <c r="G1004" s="189"/>
      <c r="H1004" s="193"/>
    </row>
    <row r="1005" spans="1:8" ht="15" hidden="1" customHeight="1" x14ac:dyDescent="0.3">
      <c r="A1005" s="232"/>
      <c r="B1005" s="189"/>
      <c r="C1005" s="189"/>
      <c r="D1005" s="237"/>
      <c r="E1005" s="189"/>
      <c r="F1005" s="189"/>
      <c r="G1005" s="189"/>
      <c r="H1005" s="193"/>
    </row>
    <row r="1006" spans="1:8" ht="15" hidden="1" customHeight="1" x14ac:dyDescent="0.3">
      <c r="A1006" s="232"/>
      <c r="B1006" s="189"/>
      <c r="C1006" s="189"/>
      <c r="D1006" s="237"/>
      <c r="E1006" s="189"/>
      <c r="F1006" s="189"/>
      <c r="G1006" s="189"/>
      <c r="H1006" s="193"/>
    </row>
    <row r="1007" spans="1:8" ht="15" hidden="1" customHeight="1" x14ac:dyDescent="0.3">
      <c r="A1007" s="232"/>
      <c r="B1007" s="189"/>
      <c r="C1007" s="189"/>
      <c r="D1007" s="237"/>
      <c r="E1007" s="189"/>
      <c r="F1007" s="189"/>
      <c r="G1007" s="189"/>
      <c r="H1007" s="193"/>
    </row>
    <row r="1008" spans="1:8" ht="15" hidden="1" customHeight="1" x14ac:dyDescent="0.3">
      <c r="A1008" s="232"/>
      <c r="B1008" s="189"/>
      <c r="C1008" s="189"/>
      <c r="D1008" s="237"/>
      <c r="E1008" s="189"/>
      <c r="F1008" s="189"/>
      <c r="G1008" s="189"/>
      <c r="H1008" s="193"/>
    </row>
    <row r="1009" spans="1:8" ht="15" hidden="1" customHeight="1" x14ac:dyDescent="0.3">
      <c r="A1009" s="232"/>
      <c r="B1009" s="189"/>
      <c r="C1009" s="189"/>
      <c r="D1009" s="237"/>
      <c r="E1009" s="189"/>
      <c r="F1009" s="189"/>
      <c r="G1009" s="189"/>
      <c r="H1009" s="193"/>
    </row>
    <row r="1010" spans="1:8" ht="15" hidden="1" customHeight="1" x14ac:dyDescent="0.3">
      <c r="A1010" s="232"/>
      <c r="B1010" s="189"/>
      <c r="C1010" s="189"/>
      <c r="D1010" s="237"/>
      <c r="E1010" s="189"/>
      <c r="F1010" s="189"/>
      <c r="G1010" s="189"/>
      <c r="H1010" s="193"/>
    </row>
    <row r="1011" spans="1:8" ht="15" hidden="1" customHeight="1" x14ac:dyDescent="0.3">
      <c r="A1011" s="232"/>
      <c r="B1011" s="189"/>
      <c r="C1011" s="189"/>
      <c r="D1011" s="237"/>
      <c r="E1011" s="189"/>
      <c r="F1011" s="189"/>
      <c r="G1011" s="189"/>
      <c r="H1011" s="193"/>
    </row>
    <row r="1012" spans="1:8" ht="15" hidden="1" customHeight="1" x14ac:dyDescent="0.3">
      <c r="A1012" s="232"/>
      <c r="B1012" s="189"/>
      <c r="C1012" s="189"/>
      <c r="D1012" s="237"/>
      <c r="E1012" s="189"/>
      <c r="F1012" s="189"/>
      <c r="G1012" s="189"/>
      <c r="H1012" s="193"/>
    </row>
    <row r="1013" spans="1:8" ht="15" hidden="1" customHeight="1" x14ac:dyDescent="0.3">
      <c r="A1013" s="232"/>
      <c r="B1013" s="189"/>
      <c r="C1013" s="189"/>
      <c r="D1013" s="237"/>
      <c r="E1013" s="189"/>
      <c r="F1013" s="189"/>
      <c r="G1013" s="189"/>
      <c r="H1013" s="193"/>
    </row>
    <row r="1014" spans="1:8" ht="15" hidden="1" customHeight="1" x14ac:dyDescent="0.3">
      <c r="A1014" s="232"/>
      <c r="B1014" s="189"/>
      <c r="C1014" s="189"/>
      <c r="D1014" s="237"/>
      <c r="E1014" s="189"/>
      <c r="F1014" s="189"/>
      <c r="G1014" s="189"/>
      <c r="H1014" s="193"/>
    </row>
    <row r="1015" spans="1:8" ht="15" hidden="1" customHeight="1" x14ac:dyDescent="0.3">
      <c r="A1015" s="232"/>
      <c r="B1015" s="189"/>
      <c r="C1015" s="189"/>
      <c r="D1015" s="237"/>
      <c r="E1015" s="189"/>
      <c r="F1015" s="189"/>
      <c r="G1015" s="189"/>
      <c r="H1015" s="193"/>
    </row>
    <row r="1016" spans="1:8" ht="15" hidden="1" customHeight="1" x14ac:dyDescent="0.3">
      <c r="A1016" s="232"/>
      <c r="B1016" s="189"/>
      <c r="C1016" s="189"/>
      <c r="D1016" s="237"/>
      <c r="E1016" s="189"/>
      <c r="F1016" s="189"/>
      <c r="G1016" s="189"/>
      <c r="H1016" s="193"/>
    </row>
    <row r="1017" spans="1:8" ht="15" hidden="1" customHeight="1" x14ac:dyDescent="0.3">
      <c r="A1017" s="232"/>
      <c r="B1017" s="189"/>
      <c r="C1017" s="189"/>
      <c r="D1017" s="237"/>
      <c r="E1017" s="189"/>
      <c r="F1017" s="189"/>
      <c r="G1017" s="189"/>
      <c r="H1017" s="193"/>
    </row>
    <row r="1018" spans="1:8" ht="15" hidden="1" customHeight="1" x14ac:dyDescent="0.3">
      <c r="A1018" s="232"/>
      <c r="B1018" s="189"/>
      <c r="C1018" s="189"/>
      <c r="D1018" s="237"/>
      <c r="E1018" s="189"/>
      <c r="F1018" s="189"/>
      <c r="G1018" s="189"/>
      <c r="H1018" s="193"/>
    </row>
    <row r="1019" spans="1:8" ht="15" hidden="1" customHeight="1" x14ac:dyDescent="0.3">
      <c r="A1019" s="232"/>
      <c r="B1019" s="189"/>
      <c r="C1019" s="189"/>
      <c r="D1019" s="237"/>
      <c r="E1019" s="189"/>
      <c r="F1019" s="189"/>
      <c r="G1019" s="189"/>
      <c r="H1019" s="193"/>
    </row>
    <row r="1020" spans="1:8" ht="15" hidden="1" customHeight="1" x14ac:dyDescent="0.3">
      <c r="A1020" s="232"/>
      <c r="B1020" s="189"/>
      <c r="C1020" s="189"/>
      <c r="D1020" s="237"/>
      <c r="E1020" s="189"/>
      <c r="F1020" s="189"/>
      <c r="G1020" s="189"/>
      <c r="H1020" s="193"/>
    </row>
    <row r="1021" spans="1:8" ht="15" hidden="1" customHeight="1" x14ac:dyDescent="0.3">
      <c r="A1021" s="232"/>
      <c r="B1021" s="189"/>
      <c r="C1021" s="189"/>
      <c r="D1021" s="237"/>
      <c r="E1021" s="189"/>
      <c r="F1021" s="189"/>
      <c r="G1021" s="189"/>
      <c r="H1021" s="193"/>
    </row>
    <row r="1022" spans="1:8" ht="15" hidden="1" customHeight="1" x14ac:dyDescent="0.3">
      <c r="A1022" s="232"/>
      <c r="B1022" s="189"/>
      <c r="C1022" s="189"/>
      <c r="D1022" s="237"/>
      <c r="E1022" s="189"/>
      <c r="F1022" s="189"/>
      <c r="G1022" s="189"/>
      <c r="H1022" s="193"/>
    </row>
    <row r="1023" spans="1:8" ht="15" hidden="1" customHeight="1" x14ac:dyDescent="0.3">
      <c r="A1023" s="232"/>
      <c r="B1023" s="189"/>
      <c r="C1023" s="189"/>
      <c r="D1023" s="237"/>
      <c r="E1023" s="189"/>
      <c r="F1023" s="189"/>
      <c r="G1023" s="189"/>
      <c r="H1023" s="193"/>
    </row>
    <row r="1024" spans="1:8" ht="15" hidden="1" customHeight="1" x14ac:dyDescent="0.3">
      <c r="A1024" s="232"/>
      <c r="B1024" s="189"/>
      <c r="C1024" s="189"/>
      <c r="D1024" s="237"/>
      <c r="E1024" s="189"/>
      <c r="F1024" s="189"/>
      <c r="G1024" s="189"/>
      <c r="H1024" s="193"/>
    </row>
    <row r="1025" spans="1:8" ht="15" hidden="1" customHeight="1" x14ac:dyDescent="0.3">
      <c r="A1025" s="232"/>
      <c r="B1025" s="189"/>
      <c r="C1025" s="189"/>
      <c r="D1025" s="237"/>
      <c r="E1025" s="189"/>
      <c r="F1025" s="189"/>
      <c r="G1025" s="189"/>
      <c r="H1025" s="193"/>
    </row>
    <row r="1026" spans="1:8" ht="15" hidden="1" customHeight="1" x14ac:dyDescent="0.3">
      <c r="A1026" s="232"/>
      <c r="B1026" s="189"/>
      <c r="C1026" s="189"/>
      <c r="D1026" s="237"/>
      <c r="E1026" s="189"/>
      <c r="F1026" s="189"/>
      <c r="G1026" s="189"/>
      <c r="H1026" s="193"/>
    </row>
    <row r="1027" spans="1:8" ht="15" hidden="1" customHeight="1" x14ac:dyDescent="0.3">
      <c r="A1027" s="232"/>
      <c r="B1027" s="189"/>
      <c r="C1027" s="189"/>
      <c r="D1027" s="237"/>
      <c r="E1027" s="189"/>
      <c r="F1027" s="189"/>
      <c r="G1027" s="189"/>
      <c r="H1027" s="193"/>
    </row>
    <row r="1028" spans="1:8" ht="15" hidden="1" customHeight="1" x14ac:dyDescent="0.3">
      <c r="A1028" s="232"/>
      <c r="B1028" s="189"/>
      <c r="C1028" s="189"/>
      <c r="D1028" s="237"/>
      <c r="E1028" s="189"/>
      <c r="F1028" s="189"/>
      <c r="G1028" s="189"/>
      <c r="H1028" s="193"/>
    </row>
    <row r="1029" spans="1:8" ht="15" hidden="1" customHeight="1" x14ac:dyDescent="0.3">
      <c r="A1029" s="232"/>
      <c r="B1029" s="189"/>
      <c r="C1029" s="189"/>
      <c r="D1029" s="237"/>
      <c r="E1029" s="189"/>
      <c r="F1029" s="189"/>
      <c r="G1029" s="189"/>
      <c r="H1029" s="193"/>
    </row>
    <row r="1030" spans="1:8" ht="15" hidden="1" customHeight="1" x14ac:dyDescent="0.3">
      <c r="A1030" s="232"/>
      <c r="B1030" s="189"/>
      <c r="C1030" s="189"/>
      <c r="D1030" s="237"/>
      <c r="E1030" s="189"/>
      <c r="F1030" s="189"/>
      <c r="G1030" s="189"/>
      <c r="H1030" s="193"/>
    </row>
    <row r="1031" spans="1:8" ht="15" hidden="1" customHeight="1" x14ac:dyDescent="0.3">
      <c r="A1031" s="232"/>
      <c r="B1031" s="189"/>
      <c r="C1031" s="189"/>
      <c r="D1031" s="237"/>
      <c r="E1031" s="189"/>
      <c r="F1031" s="189"/>
      <c r="G1031" s="189"/>
      <c r="H1031" s="193"/>
    </row>
    <row r="1032" spans="1:8" ht="15" hidden="1" customHeight="1" x14ac:dyDescent="0.3">
      <c r="A1032" s="232"/>
      <c r="B1032" s="189"/>
      <c r="C1032" s="189"/>
      <c r="D1032" s="237"/>
      <c r="E1032" s="189"/>
      <c r="F1032" s="189"/>
      <c r="G1032" s="189"/>
      <c r="H1032" s="193"/>
    </row>
    <row r="1033" spans="1:8" ht="15" hidden="1" customHeight="1" x14ac:dyDescent="0.3">
      <c r="A1033" s="232"/>
      <c r="B1033" s="189"/>
      <c r="C1033" s="189"/>
      <c r="D1033" s="237"/>
      <c r="E1033" s="189"/>
      <c r="F1033" s="189"/>
      <c r="G1033" s="189"/>
      <c r="H1033" s="193"/>
    </row>
    <row r="1034" spans="1:8" ht="15" hidden="1" customHeight="1" x14ac:dyDescent="0.3">
      <c r="A1034" s="232"/>
      <c r="B1034" s="189"/>
      <c r="C1034" s="189"/>
      <c r="D1034" s="237"/>
      <c r="E1034" s="189"/>
      <c r="F1034" s="189"/>
      <c r="G1034" s="189"/>
      <c r="H1034" s="193"/>
    </row>
    <row r="1035" spans="1:8" ht="15" hidden="1" customHeight="1" x14ac:dyDescent="0.3">
      <c r="A1035" s="232"/>
      <c r="B1035" s="189"/>
      <c r="C1035" s="189"/>
      <c r="D1035" s="237"/>
      <c r="E1035" s="189"/>
      <c r="F1035" s="189"/>
      <c r="G1035" s="189"/>
      <c r="H1035" s="193"/>
    </row>
    <row r="1036" spans="1:8" ht="15" hidden="1" customHeight="1" x14ac:dyDescent="0.3">
      <c r="A1036" s="232"/>
      <c r="B1036" s="189"/>
      <c r="C1036" s="189"/>
      <c r="D1036" s="237"/>
      <c r="E1036" s="189"/>
      <c r="F1036" s="189"/>
      <c r="G1036" s="189"/>
      <c r="H1036" s="193"/>
    </row>
    <row r="1037" spans="1:8" ht="15" hidden="1" customHeight="1" x14ac:dyDescent="0.3">
      <c r="A1037" s="232"/>
      <c r="B1037" s="189"/>
      <c r="C1037" s="189"/>
      <c r="D1037" s="237"/>
      <c r="E1037" s="189"/>
      <c r="F1037" s="189"/>
      <c r="G1037" s="189"/>
      <c r="H1037" s="193"/>
    </row>
    <row r="1038" spans="1:8" ht="15" hidden="1" customHeight="1" x14ac:dyDescent="0.3">
      <c r="A1038" s="232"/>
      <c r="B1038" s="189"/>
      <c r="C1038" s="189"/>
      <c r="D1038" s="237"/>
      <c r="E1038" s="189"/>
      <c r="F1038" s="189"/>
      <c r="G1038" s="189"/>
      <c r="H1038" s="193"/>
    </row>
    <row r="1039" spans="1:8" ht="15" hidden="1" customHeight="1" x14ac:dyDescent="0.3">
      <c r="A1039" s="232"/>
      <c r="B1039" s="189"/>
      <c r="C1039" s="189"/>
      <c r="D1039" s="237"/>
      <c r="E1039" s="189"/>
      <c r="F1039" s="189"/>
      <c r="G1039" s="189"/>
      <c r="H1039" s="193"/>
    </row>
    <row r="1040" spans="1:8" ht="15" hidden="1" customHeight="1" x14ac:dyDescent="0.3">
      <c r="A1040" s="232"/>
      <c r="B1040" s="189"/>
      <c r="C1040" s="189"/>
      <c r="D1040" s="237"/>
      <c r="E1040" s="189"/>
      <c r="F1040" s="189"/>
      <c r="G1040" s="189"/>
      <c r="H1040" s="193"/>
    </row>
    <row r="1041" spans="1:8" ht="15" hidden="1" customHeight="1" x14ac:dyDescent="0.3">
      <c r="A1041" s="232"/>
      <c r="B1041" s="189"/>
      <c r="C1041" s="189"/>
      <c r="D1041" s="237"/>
      <c r="E1041" s="189"/>
      <c r="F1041" s="189"/>
      <c r="G1041" s="189"/>
      <c r="H1041" s="193"/>
    </row>
    <row r="1042" spans="1:8" ht="15" hidden="1" customHeight="1" x14ac:dyDescent="0.3">
      <c r="A1042" s="232"/>
      <c r="B1042" s="189"/>
      <c r="C1042" s="189"/>
      <c r="D1042" s="237"/>
      <c r="E1042" s="189"/>
      <c r="F1042" s="189"/>
      <c r="G1042" s="189"/>
      <c r="H1042" s="193"/>
    </row>
    <row r="1043" spans="1:8" ht="15" hidden="1" customHeight="1" x14ac:dyDescent="0.3">
      <c r="A1043" s="232"/>
      <c r="B1043" s="189"/>
      <c r="C1043" s="189"/>
      <c r="D1043" s="237"/>
      <c r="E1043" s="189"/>
      <c r="F1043" s="189"/>
      <c r="G1043" s="189"/>
      <c r="H1043" s="193"/>
    </row>
    <row r="1044" spans="1:8" ht="15" hidden="1" customHeight="1" x14ac:dyDescent="0.3">
      <c r="A1044" s="232"/>
      <c r="B1044" s="189"/>
      <c r="C1044" s="189"/>
      <c r="D1044" s="237"/>
      <c r="E1044" s="189"/>
      <c r="F1044" s="189"/>
      <c r="G1044" s="189"/>
      <c r="H1044" s="193"/>
    </row>
    <row r="1045" spans="1:8" ht="15" hidden="1" customHeight="1" x14ac:dyDescent="0.3">
      <c r="A1045" s="232"/>
      <c r="B1045" s="189"/>
      <c r="C1045" s="189"/>
      <c r="D1045" s="237"/>
      <c r="E1045" s="189"/>
      <c r="F1045" s="189"/>
      <c r="G1045" s="189"/>
      <c r="H1045" s="193"/>
    </row>
    <row r="1046" spans="1:8" ht="15" hidden="1" customHeight="1" x14ac:dyDescent="0.3">
      <c r="A1046" s="232"/>
      <c r="B1046" s="189"/>
      <c r="C1046" s="189"/>
      <c r="D1046" s="237"/>
      <c r="E1046" s="189"/>
      <c r="F1046" s="189"/>
      <c r="G1046" s="189"/>
      <c r="H1046" s="193"/>
    </row>
    <row r="1047" spans="1:8" ht="15" hidden="1" customHeight="1" x14ac:dyDescent="0.3">
      <c r="A1047" s="232"/>
      <c r="B1047" s="189"/>
      <c r="C1047" s="189"/>
      <c r="D1047" s="237"/>
      <c r="E1047" s="189"/>
      <c r="F1047" s="189"/>
      <c r="G1047" s="189"/>
      <c r="H1047" s="193"/>
    </row>
    <row r="1048" spans="1:8" ht="15" hidden="1" customHeight="1" x14ac:dyDescent="0.3">
      <c r="A1048" s="232"/>
      <c r="B1048" s="189"/>
      <c r="C1048" s="189"/>
      <c r="D1048" s="237"/>
      <c r="E1048" s="189"/>
      <c r="F1048" s="189"/>
      <c r="G1048" s="189"/>
      <c r="H1048" s="193"/>
    </row>
    <row r="1049" spans="1:8" ht="15" hidden="1" customHeight="1" x14ac:dyDescent="0.3">
      <c r="A1049" s="232"/>
      <c r="B1049" s="189"/>
      <c r="C1049" s="189"/>
      <c r="D1049" s="237"/>
      <c r="E1049" s="189"/>
      <c r="F1049" s="189"/>
      <c r="G1049" s="189"/>
      <c r="H1049" s="193"/>
    </row>
    <row r="1050" spans="1:8" ht="15" hidden="1" customHeight="1" x14ac:dyDescent="0.3">
      <c r="A1050" s="232"/>
      <c r="B1050" s="189"/>
      <c r="C1050" s="189"/>
      <c r="D1050" s="237"/>
      <c r="E1050" s="189"/>
      <c r="F1050" s="189"/>
      <c r="G1050" s="189"/>
      <c r="H1050" s="193"/>
    </row>
    <row r="1051" spans="1:8" ht="15" hidden="1" customHeight="1" x14ac:dyDescent="0.3">
      <c r="A1051" s="232"/>
      <c r="B1051" s="189"/>
      <c r="C1051" s="189"/>
      <c r="D1051" s="237"/>
      <c r="E1051" s="189"/>
      <c r="F1051" s="189"/>
      <c r="G1051" s="189"/>
      <c r="H1051" s="193"/>
    </row>
    <row r="1052" spans="1:8" ht="15" hidden="1" customHeight="1" x14ac:dyDescent="0.3">
      <c r="A1052" s="232"/>
      <c r="B1052" s="189"/>
      <c r="C1052" s="189"/>
      <c r="D1052" s="237"/>
      <c r="E1052" s="189"/>
      <c r="F1052" s="189"/>
      <c r="G1052" s="189"/>
      <c r="H1052" s="193"/>
    </row>
    <row r="1053" spans="1:8" ht="15" hidden="1" customHeight="1" x14ac:dyDescent="0.3">
      <c r="A1053" s="232"/>
      <c r="B1053" s="189"/>
      <c r="C1053" s="189"/>
      <c r="D1053" s="237"/>
      <c r="E1053" s="189"/>
      <c r="F1053" s="189"/>
      <c r="G1053" s="189"/>
      <c r="H1053" s="193"/>
    </row>
    <row r="1054" spans="1:8" ht="15" hidden="1" customHeight="1" x14ac:dyDescent="0.3">
      <c r="A1054" s="232"/>
      <c r="B1054" s="189"/>
      <c r="C1054" s="189"/>
      <c r="D1054" s="237"/>
      <c r="E1054" s="189"/>
      <c r="F1054" s="189"/>
      <c r="G1054" s="189"/>
      <c r="H1054" s="193"/>
    </row>
    <row r="1055" spans="1:8" ht="15" hidden="1" customHeight="1" x14ac:dyDescent="0.3">
      <c r="A1055" s="232"/>
      <c r="B1055" s="189"/>
      <c r="C1055" s="189"/>
      <c r="D1055" s="237"/>
      <c r="E1055" s="189"/>
      <c r="F1055" s="189"/>
      <c r="G1055" s="189"/>
      <c r="H1055" s="193"/>
    </row>
    <row r="1056" spans="1:8" ht="15" hidden="1" customHeight="1" x14ac:dyDescent="0.3">
      <c r="A1056" s="232"/>
      <c r="B1056" s="189"/>
      <c r="C1056" s="189"/>
      <c r="D1056" s="237"/>
      <c r="E1056" s="189"/>
      <c r="F1056" s="189"/>
      <c r="G1056" s="189"/>
      <c r="H1056" s="193"/>
    </row>
    <row r="1057" spans="1:8" ht="15" hidden="1" customHeight="1" x14ac:dyDescent="0.3">
      <c r="A1057" s="232"/>
      <c r="B1057" s="189"/>
      <c r="C1057" s="189"/>
      <c r="D1057" s="237"/>
      <c r="E1057" s="189"/>
      <c r="F1057" s="189"/>
      <c r="G1057" s="189"/>
      <c r="H1057" s="193"/>
    </row>
    <row r="1058" spans="1:8" ht="15" hidden="1" customHeight="1" x14ac:dyDescent="0.3">
      <c r="A1058" s="232"/>
      <c r="B1058" s="189"/>
      <c r="C1058" s="189"/>
      <c r="D1058" s="237"/>
      <c r="E1058" s="189"/>
      <c r="F1058" s="189"/>
      <c r="G1058" s="189"/>
      <c r="H1058" s="193"/>
    </row>
    <row r="1059" spans="1:8" ht="15" hidden="1" customHeight="1" x14ac:dyDescent="0.3">
      <c r="A1059" s="232"/>
      <c r="B1059" s="189"/>
      <c r="C1059" s="189"/>
      <c r="D1059" s="237"/>
      <c r="E1059" s="189"/>
      <c r="F1059" s="189"/>
      <c r="G1059" s="189"/>
      <c r="H1059" s="193"/>
    </row>
    <row r="1060" spans="1:8" ht="15" hidden="1" customHeight="1" x14ac:dyDescent="0.3">
      <c r="A1060" s="232"/>
      <c r="B1060" s="189"/>
      <c r="C1060" s="189"/>
      <c r="D1060" s="237"/>
      <c r="E1060" s="189"/>
      <c r="F1060" s="189"/>
      <c r="G1060" s="189"/>
      <c r="H1060" s="193"/>
    </row>
    <row r="1061" spans="1:8" ht="15" hidden="1" customHeight="1" x14ac:dyDescent="0.3">
      <c r="A1061" s="232"/>
      <c r="B1061" s="189"/>
      <c r="C1061" s="189"/>
      <c r="D1061" s="237"/>
      <c r="E1061" s="189"/>
      <c r="F1061" s="189"/>
      <c r="G1061" s="189"/>
      <c r="H1061" s="193"/>
    </row>
    <row r="1062" spans="1:8" ht="15" hidden="1" customHeight="1" x14ac:dyDescent="0.3">
      <c r="A1062" s="232"/>
      <c r="B1062" s="189"/>
      <c r="C1062" s="189"/>
      <c r="D1062" s="237"/>
      <c r="E1062" s="189"/>
      <c r="F1062" s="189"/>
      <c r="G1062" s="189"/>
      <c r="H1062" s="193"/>
    </row>
    <row r="1063" spans="1:8" ht="15" hidden="1" customHeight="1" x14ac:dyDescent="0.3">
      <c r="A1063" s="232"/>
      <c r="B1063" s="189"/>
      <c r="C1063" s="189"/>
      <c r="D1063" s="237"/>
      <c r="E1063" s="189"/>
      <c r="F1063" s="189"/>
      <c r="G1063" s="189"/>
      <c r="H1063" s="193"/>
    </row>
    <row r="1064" spans="1:8" ht="15" hidden="1" customHeight="1" x14ac:dyDescent="0.3">
      <c r="A1064" s="232"/>
      <c r="B1064" s="189"/>
      <c r="C1064" s="189"/>
      <c r="D1064" s="237"/>
      <c r="E1064" s="189"/>
      <c r="F1064" s="189"/>
      <c r="G1064" s="189"/>
      <c r="H1064" s="193"/>
    </row>
    <row r="1065" spans="1:8" ht="15" hidden="1" customHeight="1" x14ac:dyDescent="0.3">
      <c r="A1065" s="232"/>
      <c r="B1065" s="189"/>
      <c r="C1065" s="189"/>
      <c r="D1065" s="237"/>
      <c r="E1065" s="189"/>
      <c r="F1065" s="189"/>
      <c r="G1065" s="189"/>
      <c r="H1065" s="193"/>
    </row>
    <row r="1066" spans="1:8" ht="15" hidden="1" customHeight="1" x14ac:dyDescent="0.3">
      <c r="A1066" s="232"/>
      <c r="B1066" s="189"/>
      <c r="C1066" s="189"/>
      <c r="D1066" s="237"/>
      <c r="E1066" s="189"/>
      <c r="F1066" s="189"/>
      <c r="G1066" s="189"/>
      <c r="H1066" s="193"/>
    </row>
    <row r="1067" spans="1:8" ht="15" hidden="1" customHeight="1" x14ac:dyDescent="0.3">
      <c r="A1067" s="232"/>
      <c r="B1067" s="189"/>
      <c r="C1067" s="189"/>
      <c r="D1067" s="237"/>
      <c r="E1067" s="189"/>
      <c r="F1067" s="189"/>
      <c r="G1067" s="189"/>
      <c r="H1067" s="193"/>
    </row>
    <row r="1068" spans="1:8" ht="15" hidden="1" customHeight="1" x14ac:dyDescent="0.3">
      <c r="A1068" s="232"/>
      <c r="B1068" s="189"/>
      <c r="C1068" s="189"/>
      <c r="D1068" s="237"/>
      <c r="E1068" s="189"/>
      <c r="F1068" s="189"/>
      <c r="G1068" s="189"/>
      <c r="H1068" s="193"/>
    </row>
    <row r="1069" spans="1:8" ht="15" hidden="1" customHeight="1" x14ac:dyDescent="0.3">
      <c r="A1069" s="232"/>
      <c r="B1069" s="189"/>
      <c r="C1069" s="189"/>
      <c r="D1069" s="237"/>
      <c r="E1069" s="189"/>
      <c r="F1069" s="189"/>
      <c r="G1069" s="189"/>
      <c r="H1069" s="193"/>
    </row>
    <row r="1070" spans="1:8" ht="15" hidden="1" customHeight="1" x14ac:dyDescent="0.3">
      <c r="A1070" s="232"/>
      <c r="B1070" s="189"/>
      <c r="C1070" s="189"/>
      <c r="D1070" s="237"/>
      <c r="E1070" s="189"/>
      <c r="F1070" s="189"/>
      <c r="G1070" s="189"/>
      <c r="H1070" s="193"/>
    </row>
    <row r="1071" spans="1:8" ht="15" hidden="1" customHeight="1" x14ac:dyDescent="0.3">
      <c r="A1071" s="232"/>
      <c r="B1071" s="189"/>
      <c r="C1071" s="189"/>
      <c r="D1071" s="237"/>
      <c r="E1071" s="189"/>
      <c r="F1071" s="189"/>
      <c r="G1071" s="189"/>
      <c r="H1071" s="193"/>
    </row>
    <row r="1072" spans="1:8" ht="15" hidden="1" customHeight="1" x14ac:dyDescent="0.3">
      <c r="A1072" s="232"/>
      <c r="B1072" s="189"/>
      <c r="C1072" s="189"/>
      <c r="D1072" s="237"/>
      <c r="E1072" s="189"/>
      <c r="F1072" s="189"/>
      <c r="G1072" s="189"/>
      <c r="H1072" s="193"/>
    </row>
    <row r="1073" spans="1:8" ht="15" hidden="1" customHeight="1" x14ac:dyDescent="0.3">
      <c r="A1073" s="232"/>
      <c r="B1073" s="189"/>
      <c r="C1073" s="189"/>
      <c r="D1073" s="237"/>
      <c r="E1073" s="189"/>
      <c r="F1073" s="189"/>
      <c r="G1073" s="189"/>
      <c r="H1073" s="193"/>
    </row>
    <row r="1074" spans="1:8" ht="15" hidden="1" customHeight="1" x14ac:dyDescent="0.3">
      <c r="A1074" s="232"/>
      <c r="B1074" s="189"/>
      <c r="C1074" s="189"/>
      <c r="D1074" s="237"/>
      <c r="E1074" s="189"/>
      <c r="F1074" s="189"/>
      <c r="G1074" s="189"/>
      <c r="H1074" s="193"/>
    </row>
    <row r="1075" spans="1:8" ht="15" hidden="1" customHeight="1" x14ac:dyDescent="0.3">
      <c r="A1075" s="232"/>
      <c r="B1075" s="189"/>
      <c r="C1075" s="189"/>
      <c r="D1075" s="237"/>
      <c r="E1075" s="189"/>
      <c r="F1075" s="189"/>
      <c r="G1075" s="189"/>
      <c r="H1075" s="193"/>
    </row>
    <row r="1076" spans="1:8" ht="15" hidden="1" customHeight="1" x14ac:dyDescent="0.3">
      <c r="A1076" s="232"/>
      <c r="B1076" s="189"/>
      <c r="C1076" s="189"/>
      <c r="D1076" s="237"/>
      <c r="E1076" s="189"/>
      <c r="F1076" s="189"/>
      <c r="G1076" s="189"/>
      <c r="H1076" s="193"/>
    </row>
    <row r="1077" spans="1:8" ht="15" hidden="1" customHeight="1" x14ac:dyDescent="0.3">
      <c r="A1077" s="232"/>
      <c r="B1077" s="189"/>
      <c r="C1077" s="189"/>
      <c r="D1077" s="237"/>
      <c r="E1077" s="189"/>
      <c r="F1077" s="189"/>
      <c r="G1077" s="189"/>
      <c r="H1077" s="193"/>
    </row>
    <row r="1078" spans="1:8" ht="15" hidden="1" customHeight="1" x14ac:dyDescent="0.3">
      <c r="C1078" s="189"/>
      <c r="D1078" s="237"/>
      <c r="E1078" s="189"/>
      <c r="F1078" s="189"/>
      <c r="G1078" s="189"/>
      <c r="H1078" s="194"/>
    </row>
    <row r="1079" spans="1:8" ht="15" hidden="1" customHeight="1" x14ac:dyDescent="0.3">
      <c r="G1079" s="189"/>
    </row>
  </sheetData>
  <mergeCells count="8">
    <mergeCell ref="N8:N9"/>
    <mergeCell ref="N77:N78"/>
    <mergeCell ref="N52:N55"/>
    <mergeCell ref="N12:N15"/>
    <mergeCell ref="N23:N26"/>
    <mergeCell ref="N28:N31"/>
    <mergeCell ref="N33:N36"/>
    <mergeCell ref="N38:N41"/>
  </mergeCells>
  <phoneticPr fontId="0" type="noConversion"/>
  <conditionalFormatting sqref="B91">
    <cfRule type="cellIs" dxfId="142" priority="59" stopIfTrue="1" operator="equal">
      <formula>FALSE</formula>
    </cfRule>
  </conditionalFormatting>
  <conditionalFormatting sqref="L51:L55 L58:L61 L22:L44 L49 L76:L79 L64:L73">
    <cfRule type="cellIs" dxfId="141" priority="67" stopIfTrue="1" operator="lessThanOrEqual">
      <formula>0</formula>
    </cfRule>
  </conditionalFormatting>
  <conditionalFormatting sqref="C82:C83">
    <cfRule type="cellIs" dxfId="140" priority="73" stopIfTrue="1" operator="lessThan">
      <formula>0</formula>
    </cfRule>
    <cfRule type="cellIs" dxfId="139" priority="74" stopIfTrue="1" operator="equal">
      <formula>0</formula>
    </cfRule>
  </conditionalFormatting>
  <conditionalFormatting sqref="H82">
    <cfRule type="expression" dxfId="138" priority="80" stopIfTrue="1">
      <formula>ABS(F82)&lt;1</formula>
    </cfRule>
  </conditionalFormatting>
  <conditionalFormatting sqref="H84">
    <cfRule type="expression" dxfId="137" priority="81" stopIfTrue="1">
      <formula>ABS(F84)&lt;1</formula>
    </cfRule>
  </conditionalFormatting>
  <conditionalFormatting sqref="H83">
    <cfRule type="expression" dxfId="136" priority="131" stopIfTrue="1">
      <formula>ABS(F83)&lt;1</formula>
    </cfRule>
  </conditionalFormatting>
  <conditionalFormatting sqref="E49:F49">
    <cfRule type="cellIs" dxfId="135" priority="27" stopIfTrue="1" operator="notBetween">
      <formula>-3</formula>
      <formula>3</formula>
    </cfRule>
  </conditionalFormatting>
  <conditionalFormatting sqref="E49:F49">
    <cfRule type="cellIs" dxfId="134" priority="26" stopIfTrue="1" operator="lessThan">
      <formula>-1</formula>
    </cfRule>
  </conditionalFormatting>
  <conditionalFormatting sqref="E50:F50">
    <cfRule type="expression" dxfId="133" priority="15" stopIfTrue="1">
      <formula>ABS(E49)&lt;1</formula>
    </cfRule>
  </conditionalFormatting>
  <conditionalFormatting sqref="L11:L19">
    <cfRule type="cellIs" dxfId="132" priority="13" stopIfTrue="1" operator="lessThanOrEqual">
      <formula>0</formula>
    </cfRule>
  </conditionalFormatting>
  <conditionalFormatting sqref="C65:C66">
    <cfRule type="expression" dxfId="131" priority="83" stopIfTrue="1">
      <formula>IF(AND(C$66&gt;C$65),SUM(C$65-C$66)&lt;-0.1)</formula>
    </cfRule>
  </conditionalFormatting>
  <conditionalFormatting sqref="O10:O80">
    <cfRule type="cellIs" dxfId="130" priority="11" stopIfTrue="1" operator="equal">
      <formula>"Förändring"</formula>
    </cfRule>
    <cfRule type="cellIs" dxfId="129" priority="19" stopIfTrue="1" operator="notEqual">
      <formula>"Förändring"</formula>
    </cfRule>
  </conditionalFormatting>
  <conditionalFormatting sqref="M10:M80">
    <cfRule type="expression" dxfId="128" priority="5" stopIfTrue="1">
      <formula>O10="Kommentera"</formula>
    </cfRule>
  </conditionalFormatting>
  <conditionalFormatting sqref="E12:E19 E23:E26 E28:E31 E33:E36 E38:E44">
    <cfRule type="cellIs" dxfId="127" priority="4" stopIfTrue="1" operator="lessThan">
      <formula>-1</formula>
    </cfRule>
  </conditionalFormatting>
  <conditionalFormatting sqref="C12:C19 C23:C26 C28:C31 C33:C36 C38:C44 C49 C52:C55 C59:C61 C65:C67 C69:C73 C76 C78 C82:C83">
    <cfRule type="cellIs" dxfId="126" priority="1" operator="lessThan">
      <formula>0</formula>
    </cfRule>
  </conditionalFormatting>
  <dataValidations count="3">
    <dataValidation type="decimal" allowBlank="1" showErrorMessage="1" error="Endast tal får anges!_x000a_" sqref="C82:C84 H10:I10 D44:D48 E11:H19 E22:H44 D10:F10 E45:F47 E20:F21 C10:C80" xr:uid="{00000000-0002-0000-0100-000000000000}">
      <formula1>-99999</formula1>
      <formula2>999999</formula2>
    </dataValidation>
    <dataValidation type="decimal" errorStyle="information" allowBlank="1" showInputMessage="1" showErrorMessage="1" sqref="K22:K44 K76:K80 K10:K19 K58:K61 K49:K55 K64:K73" xr:uid="{00000000-0002-0000-0100-000001000000}">
      <formula1>-99999</formula1>
      <formula2>99999</formula2>
    </dataValidation>
    <dataValidation type="decimal" allowBlank="1" showInputMessage="1" showErrorMessage="1" error="Endast tal får anges!_x000a_" sqref="G20:H21 G45:H49" xr:uid="{00000000-0002-0000-0100-000002000000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9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R87"/>
  <sheetViews>
    <sheetView zoomScaleNormal="100" zoomScalePageLayoutView="80" workbookViewId="0"/>
  </sheetViews>
  <sheetFormatPr defaultColWidth="15.453125" defaultRowHeight="15" customHeight="1" zeroHeight="1" x14ac:dyDescent="0.25"/>
  <cols>
    <col min="1" max="1" width="10.54296875" style="129" customWidth="1"/>
    <col min="2" max="2" width="46.54296875" style="129" customWidth="1"/>
    <col min="3" max="3" width="16" style="129" customWidth="1"/>
    <col min="4" max="10" width="10.54296875" style="129" customWidth="1"/>
    <col min="11" max="11" width="4" style="129" customWidth="1"/>
    <col min="12" max="12" width="24.54296875" style="129" customWidth="1"/>
    <col min="13" max="13" width="14.54296875" style="260" customWidth="1"/>
    <col min="14" max="14" width="10" style="129" customWidth="1"/>
    <col min="15" max="15" width="34" style="129" customWidth="1"/>
    <col min="16" max="16" width="45.54296875" style="129" customWidth="1"/>
    <col min="17" max="17" width="15.453125" style="129" hidden="1" customWidth="1"/>
    <col min="18" max="19" width="0" style="129" hidden="1" customWidth="1"/>
    <col min="20" max="16384" width="15.453125" style="129"/>
  </cols>
  <sheetData>
    <row r="1" spans="1:18" ht="24" customHeight="1" x14ac:dyDescent="0.4">
      <c r="A1" s="2" t="s">
        <v>349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3.4" customHeight="1" x14ac:dyDescent="0.25">
      <c r="A2" s="551"/>
      <c r="B2" s="141"/>
      <c r="C2" s="574"/>
      <c r="D2" s="145" t="s">
        <v>473</v>
      </c>
      <c r="E2" s="802"/>
      <c r="F2" s="129" t="s">
        <v>514</v>
      </c>
      <c r="H2" s="142"/>
      <c r="I2" s="798" t="s">
        <v>516</v>
      </c>
      <c r="J2" s="141"/>
      <c r="K2" s="141"/>
      <c r="L2" s="141"/>
      <c r="M2" s="141"/>
      <c r="N2" s="141"/>
      <c r="O2" s="141"/>
      <c r="P2" s="141"/>
    </row>
    <row r="3" spans="1:18" ht="13.4" customHeight="1" x14ac:dyDescent="0.25">
      <c r="A3" s="142"/>
      <c r="B3" s="142"/>
      <c r="C3" s="308"/>
      <c r="D3" s="705" t="s">
        <v>461</v>
      </c>
      <c r="E3" s="799"/>
      <c r="F3" s="142" t="s">
        <v>515</v>
      </c>
      <c r="G3" s="142"/>
      <c r="I3" s="142"/>
      <c r="J3" s="142"/>
      <c r="K3" s="142"/>
      <c r="L3" s="142"/>
      <c r="M3" s="142"/>
      <c r="N3" s="142"/>
      <c r="O3" s="142"/>
      <c r="P3" s="141"/>
    </row>
    <row r="4" spans="1:18" ht="24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1"/>
    </row>
    <row r="5" spans="1:18" s="508" customFormat="1" ht="15.75" customHeight="1" thickBot="1" x14ac:dyDescent="0.3">
      <c r="A5" s="509" t="s">
        <v>228</v>
      </c>
      <c r="B5" s="509" t="s">
        <v>248</v>
      </c>
      <c r="C5" s="509" t="s">
        <v>238</v>
      </c>
      <c r="D5" s="509" t="s">
        <v>239</v>
      </c>
      <c r="E5" s="509" t="s">
        <v>240</v>
      </c>
      <c r="F5" s="509" t="s">
        <v>249</v>
      </c>
      <c r="G5" s="509" t="s">
        <v>250</v>
      </c>
      <c r="H5" s="509" t="s">
        <v>251</v>
      </c>
      <c r="I5" s="509" t="s">
        <v>252</v>
      </c>
      <c r="J5" s="509" t="s">
        <v>253</v>
      </c>
      <c r="K5" s="509"/>
      <c r="L5" s="509" t="s">
        <v>254</v>
      </c>
      <c r="O5" s="502" t="str">
        <f>IF(COUNTIF(C10:I39, "&lt;0")&gt;0, "Minusbelopp förekommer, var vänlig kommentera!", "")</f>
        <v/>
      </c>
    </row>
    <row r="6" spans="1:18" s="130" customFormat="1" ht="15" customHeight="1" x14ac:dyDescent="0.3">
      <c r="A6" s="994" t="s">
        <v>115</v>
      </c>
      <c r="B6" s="42" t="s">
        <v>32</v>
      </c>
      <c r="C6" s="555" t="s">
        <v>379</v>
      </c>
      <c r="D6" s="44" t="s">
        <v>381</v>
      </c>
      <c r="E6" s="44" t="s">
        <v>381</v>
      </c>
      <c r="F6" s="43" t="s">
        <v>381</v>
      </c>
      <c r="G6" s="43" t="s">
        <v>21</v>
      </c>
      <c r="H6" s="43" t="s">
        <v>23</v>
      </c>
      <c r="I6" s="44" t="s">
        <v>129</v>
      </c>
      <c r="J6" s="13" t="s">
        <v>313</v>
      </c>
      <c r="K6" s="257"/>
      <c r="L6" s="997" t="s">
        <v>275</v>
      </c>
      <c r="M6" s="998"/>
      <c r="N6" s="999"/>
      <c r="O6" s="44" t="s">
        <v>588</v>
      </c>
      <c r="P6" s="939" t="s">
        <v>290</v>
      </c>
    </row>
    <row r="7" spans="1:18" s="130" customFormat="1" ht="15" customHeight="1" x14ac:dyDescent="0.25">
      <c r="A7" s="995"/>
      <c r="B7" s="11"/>
      <c r="C7" s="556" t="s">
        <v>488</v>
      </c>
      <c r="D7" s="6" t="s">
        <v>426</v>
      </c>
      <c r="E7" s="6" t="s">
        <v>20</v>
      </c>
      <c r="F7" s="36" t="s">
        <v>30</v>
      </c>
      <c r="G7" s="36" t="s">
        <v>22</v>
      </c>
      <c r="H7" s="36" t="s">
        <v>24</v>
      </c>
      <c r="I7" s="6" t="s">
        <v>128</v>
      </c>
      <c r="J7" s="45" t="s">
        <v>314</v>
      </c>
      <c r="K7" s="257"/>
      <c r="L7" s="557">
        <f>År</f>
        <v>2024</v>
      </c>
      <c r="M7" s="103">
        <f>År-1</f>
        <v>2023</v>
      </c>
      <c r="N7" s="22" t="s">
        <v>276</v>
      </c>
      <c r="O7" s="985"/>
      <c r="P7" s="81"/>
    </row>
    <row r="8" spans="1:18" s="130" customFormat="1" ht="15" customHeight="1" x14ac:dyDescent="0.25">
      <c r="A8" s="995"/>
      <c r="B8" s="11"/>
      <c r="C8" s="556" t="s">
        <v>380</v>
      </c>
      <c r="D8" s="6" t="s">
        <v>427</v>
      </c>
      <c r="E8" s="6"/>
      <c r="F8" s="36" t="s">
        <v>31</v>
      </c>
      <c r="G8" s="36"/>
      <c r="H8" s="36"/>
      <c r="I8" s="6" t="s">
        <v>24</v>
      </c>
      <c r="J8" s="45"/>
      <c r="K8" s="257"/>
      <c r="L8" s="78"/>
      <c r="M8" s="6"/>
      <c r="N8" s="22" t="s">
        <v>277</v>
      </c>
      <c r="O8" s="1001"/>
      <c r="P8" s="81"/>
    </row>
    <row r="9" spans="1:18" s="262" customFormat="1" ht="15" customHeight="1" x14ac:dyDescent="0.3">
      <c r="A9" s="996"/>
      <c r="B9" s="53"/>
      <c r="C9" s="606" t="s">
        <v>374</v>
      </c>
      <c r="D9" s="37" t="s">
        <v>369</v>
      </c>
      <c r="E9" s="37" t="s">
        <v>370</v>
      </c>
      <c r="F9" s="605" t="s">
        <v>371</v>
      </c>
      <c r="G9" s="605" t="s">
        <v>372</v>
      </c>
      <c r="H9" s="605" t="s">
        <v>373</v>
      </c>
      <c r="I9" s="4"/>
      <c r="J9" s="15"/>
      <c r="K9" s="257"/>
      <c r="L9" s="79"/>
      <c r="M9" s="6"/>
      <c r="N9" s="4"/>
      <c r="O9" s="986"/>
      <c r="P9" s="826"/>
      <c r="Q9" s="254"/>
      <c r="R9" s="407"/>
    </row>
    <row r="10" spans="1:18" s="254" customFormat="1" ht="15" customHeight="1" x14ac:dyDescent="0.3">
      <c r="A10" s="99" t="s">
        <v>233</v>
      </c>
      <c r="B10" s="38" t="s">
        <v>382</v>
      </c>
      <c r="C10" s="590">
        <f>SUM(C11,C13,C15,C17,C18,C22)</f>
        <v>0</v>
      </c>
      <c r="D10" s="590">
        <f t="shared" ref="D10:I10" si="0">SUM(D11,D13,D15,D17,D18,D22)</f>
        <v>0</v>
      </c>
      <c r="E10" s="590">
        <f t="shared" si="0"/>
        <v>0</v>
      </c>
      <c r="F10" s="590">
        <f t="shared" si="0"/>
        <v>0</v>
      </c>
      <c r="G10" s="590">
        <f t="shared" si="0"/>
        <v>0</v>
      </c>
      <c r="H10" s="590">
        <f t="shared" si="0"/>
        <v>0</v>
      </c>
      <c r="I10" s="591">
        <f t="shared" si="0"/>
        <v>0</v>
      </c>
      <c r="J10" s="592">
        <f>SUM(C10:I10)</f>
        <v>0</v>
      </c>
      <c r="K10" s="258"/>
      <c r="L10" s="601">
        <f t="shared" ref="L10:L32" si="1">J10-I10</f>
        <v>0</v>
      </c>
      <c r="M10" s="50"/>
      <c r="N10" s="771" t="str">
        <f>IF(M10=0,"0%",(L10-M10)/M10)</f>
        <v>0%</v>
      </c>
      <c r="O10" s="157"/>
      <c r="P10" s="426"/>
      <c r="R10" s="131">
        <f>IF(ABS(N10)&gt;8%,L10-M10,1)</f>
        <v>1</v>
      </c>
    </row>
    <row r="11" spans="1:18" ht="15" customHeight="1" x14ac:dyDescent="0.25">
      <c r="A11" s="46" t="s">
        <v>179</v>
      </c>
      <c r="B11" s="18" t="s">
        <v>40</v>
      </c>
      <c r="C11" s="35"/>
      <c r="D11" s="35"/>
      <c r="E11" s="35"/>
      <c r="F11" s="35"/>
      <c r="G11" s="35"/>
      <c r="H11" s="35"/>
      <c r="I11" s="341"/>
      <c r="J11" s="593">
        <f>SUM(C11:I11)</f>
        <v>0</v>
      </c>
      <c r="K11" s="259"/>
      <c r="L11" s="602">
        <f t="shared" si="1"/>
        <v>0</v>
      </c>
      <c r="M11" s="52"/>
      <c r="N11" s="720" t="str">
        <f t="shared" ref="N11:N39" si="2">IF(M11=0,"0%",(L11-M11)/M11)</f>
        <v>0%</v>
      </c>
      <c r="O11" s="157" t="s">
        <v>294</v>
      </c>
      <c r="P11" s="426" t="str">
        <f>IF(AND(2000000&lt;'1. Nettokostnader'!$P$6,ABS(R11)&gt;100),"Förändring",(IF(AND(1000000&lt;'1. Nettokostnader'!$P$6,'1. Nettokostnader'!$P$6&lt;2000000,ABS(R11)&gt;70),"Förändring",(IF(AND(330000&lt;'1. Nettokostnader'!$P$6,'1. Nettokostnader'!$P$6&lt;1000000,ABS(R11)&gt;50),"Förändring",(IF(AND(200000&lt;'1. Nettokostnader'!$P$6,'1. Nettokostnader'!$P$6&lt;330000,ABS(R11)&gt;30),"Förändring",(IF(AND('1. Nettokostnader'!$P$6&lt;200000,ABS(R11)&gt;10),"Förändring",(IF(L11=0,"",IF(M11=0,"",(L11-M11)/M11))))))))))))</f>
        <v/>
      </c>
      <c r="R11" s="131">
        <f t="shared" ref="R11:R40" si="3">IF(ABS(N11)&gt;8%,L11-M11,1)</f>
        <v>1</v>
      </c>
    </row>
    <row r="12" spans="1:18" ht="15" customHeight="1" x14ac:dyDescent="0.25">
      <c r="A12" s="46" t="s">
        <v>141</v>
      </c>
      <c r="B12" s="18" t="s">
        <v>123</v>
      </c>
      <c r="C12" s="35"/>
      <c r="D12" s="35"/>
      <c r="E12" s="35"/>
      <c r="F12" s="35"/>
      <c r="G12" s="35"/>
      <c r="H12" s="35"/>
      <c r="I12" s="341"/>
      <c r="J12" s="593">
        <f t="shared" ref="J12:J22" si="4">SUM(C12:I12)</f>
        <v>0</v>
      </c>
      <c r="K12" s="259"/>
      <c r="L12" s="602">
        <f t="shared" si="1"/>
        <v>0</v>
      </c>
      <c r="M12" s="52"/>
      <c r="N12" s="720" t="str">
        <f t="shared" si="2"/>
        <v>0%</v>
      </c>
      <c r="O12" s="989"/>
      <c r="P12" s="426" t="str">
        <f>IF(AND(2000000&lt;'1. Nettokostnader'!$P$6,ABS(R12)&gt;100),"Förändring",(IF(AND(1000000&lt;'1. Nettokostnader'!$P$6,'1. Nettokostnader'!$P$6&lt;2000000,ABS(R12)&gt;70),"Förändring",(IF(AND(330000&lt;'1. Nettokostnader'!$P$6,'1. Nettokostnader'!$P$6&lt;1000000,ABS(R12)&gt;50),"Förändring",(IF(AND(200000&lt;'1. Nettokostnader'!$P$6,'1. Nettokostnader'!$P$6&lt;330000,ABS(R12)&gt;30),"Förändring",(IF(AND('1. Nettokostnader'!$P$6&lt;200000,ABS(R12)&gt;10),"Förändring",(IF(L12=0,"",IF(M12=0,"",(L12-M12)/M12))))))))))))</f>
        <v/>
      </c>
      <c r="R12" s="131">
        <f t="shared" si="3"/>
        <v>1</v>
      </c>
    </row>
    <row r="13" spans="1:18" ht="15" customHeight="1" x14ac:dyDescent="0.25">
      <c r="A13" s="46" t="s">
        <v>180</v>
      </c>
      <c r="B13" s="18" t="s">
        <v>2</v>
      </c>
      <c r="C13" s="35"/>
      <c r="D13" s="35"/>
      <c r="E13" s="35"/>
      <c r="F13" s="35"/>
      <c r="G13" s="35"/>
      <c r="H13" s="35"/>
      <c r="I13" s="341"/>
      <c r="J13" s="593">
        <f t="shared" si="4"/>
        <v>0</v>
      </c>
      <c r="K13" s="259"/>
      <c r="L13" s="602">
        <f t="shared" si="1"/>
        <v>0</v>
      </c>
      <c r="M13" s="52"/>
      <c r="N13" s="720" t="str">
        <f t="shared" si="2"/>
        <v>0%</v>
      </c>
      <c r="O13" s="990"/>
      <c r="P13" s="426" t="str">
        <f>IF(AND(2000000&lt;'1. Nettokostnader'!$P$6,ABS(R13)&gt;100),"Förändring",(IF(AND(1000000&lt;'1. Nettokostnader'!$P$6,'1. Nettokostnader'!$P$6&lt;2000000,ABS(R13)&gt;70),"Förändring",(IF(AND(330000&lt;'1. Nettokostnader'!$P$6,'1. Nettokostnader'!$P$6&lt;1000000,ABS(R13)&gt;50),"Förändring",(IF(AND(200000&lt;'1. Nettokostnader'!$P$6,'1. Nettokostnader'!$P$6&lt;330000,ABS(R13)&gt;30),"Förändring",(IF(AND('1. Nettokostnader'!$P$6&lt;200000,ABS(R13)&gt;10),"Förändring",(IF(L13=0,"",IF(M13=0,"",(L13-M13)/M13))))))))))))</f>
        <v/>
      </c>
      <c r="R13" s="131">
        <f t="shared" si="3"/>
        <v>1</v>
      </c>
    </row>
    <row r="14" spans="1:18" s="254" customFormat="1" ht="15" customHeight="1" x14ac:dyDescent="0.3">
      <c r="A14" s="46" t="s">
        <v>187</v>
      </c>
      <c r="B14" s="18" t="s">
        <v>124</v>
      </c>
      <c r="C14" s="35"/>
      <c r="D14" s="35"/>
      <c r="E14" s="35"/>
      <c r="F14" s="35"/>
      <c r="G14" s="35"/>
      <c r="H14" s="35"/>
      <c r="I14" s="341"/>
      <c r="J14" s="593">
        <f t="shared" si="4"/>
        <v>0</v>
      </c>
      <c r="K14" s="259"/>
      <c r="L14" s="602">
        <f t="shared" si="1"/>
        <v>0</v>
      </c>
      <c r="M14" s="52"/>
      <c r="N14" s="720" t="str">
        <f t="shared" si="2"/>
        <v>0%</v>
      </c>
      <c r="O14" s="990"/>
      <c r="P14" s="426" t="str">
        <f>IF(AND(2000000&lt;'1. Nettokostnader'!$P$6,ABS(R14)&gt;100),"Förändring",(IF(AND(1000000&lt;'1. Nettokostnader'!$P$6,'1. Nettokostnader'!$P$6&lt;2000000,ABS(R14)&gt;70),"Förändring",(IF(AND(330000&lt;'1. Nettokostnader'!$P$6,'1. Nettokostnader'!$P$6&lt;1000000,ABS(R14)&gt;50),"Förändring",(IF(AND(200000&lt;'1. Nettokostnader'!$P$6,'1. Nettokostnader'!$P$6&lt;330000,ABS(R14)&gt;30),"Förändring",(IF(AND('1. Nettokostnader'!$P$6&lt;200000,ABS(R14)&gt;10),"Förändring",(IF(L14=0,"",IF(M14=0,"",(L14-M14)/M14))))))))))))</f>
        <v/>
      </c>
      <c r="R14" s="131">
        <f t="shared" si="3"/>
        <v>1</v>
      </c>
    </row>
    <row r="15" spans="1:18" ht="15" customHeight="1" x14ac:dyDescent="0.25">
      <c r="A15" s="46" t="s">
        <v>181</v>
      </c>
      <c r="B15" s="18" t="s">
        <v>3</v>
      </c>
      <c r="C15" s="35"/>
      <c r="D15" s="35"/>
      <c r="E15" s="35"/>
      <c r="F15" s="35"/>
      <c r="G15" s="35"/>
      <c r="H15" s="35"/>
      <c r="I15" s="341"/>
      <c r="J15" s="593">
        <f>SUM(C15:I15)</f>
        <v>0</v>
      </c>
      <c r="K15" s="259"/>
      <c r="L15" s="602">
        <f t="shared" si="1"/>
        <v>0</v>
      </c>
      <c r="M15" s="52"/>
      <c r="N15" s="720" t="str">
        <f t="shared" si="2"/>
        <v>0%</v>
      </c>
      <c r="O15" s="990"/>
      <c r="P15" s="426" t="str">
        <f>IF(AND(2000000&lt;'1. Nettokostnader'!$P$6,ABS(R15)&gt;100),"Förändring",(IF(AND(1000000&lt;'1. Nettokostnader'!$P$6,'1. Nettokostnader'!$P$6&lt;2000000,ABS(R15)&gt;70),"Förändring",(IF(AND(330000&lt;'1. Nettokostnader'!$P$6,'1. Nettokostnader'!$P$6&lt;1000000,ABS(R15)&gt;50),"Förändring",(IF(AND(200000&lt;'1. Nettokostnader'!$P$6,'1. Nettokostnader'!$P$6&lt;330000,ABS(R15)&gt;30),"Förändring",(IF(AND('1. Nettokostnader'!$P$6&lt;200000,ABS(R15)&gt;10),"Förändring",(IF(L15=0,"",IF(M15=0,"",(L15-M15)/M15))))))))))))</f>
        <v/>
      </c>
      <c r="R15" s="131">
        <f t="shared" si="3"/>
        <v>1</v>
      </c>
    </row>
    <row r="16" spans="1:18" s="254" customFormat="1" ht="15" customHeight="1" x14ac:dyDescent="0.3">
      <c r="A16" s="46" t="s">
        <v>191</v>
      </c>
      <c r="B16" s="18" t="s">
        <v>125</v>
      </c>
      <c r="C16" s="35"/>
      <c r="D16" s="35"/>
      <c r="E16" s="35"/>
      <c r="F16" s="35"/>
      <c r="G16" s="35"/>
      <c r="H16" s="35"/>
      <c r="I16" s="341"/>
      <c r="J16" s="593">
        <f t="shared" si="4"/>
        <v>0</v>
      </c>
      <c r="K16" s="259"/>
      <c r="L16" s="602">
        <f t="shared" si="1"/>
        <v>0</v>
      </c>
      <c r="M16" s="52"/>
      <c r="N16" s="720" t="str">
        <f t="shared" si="2"/>
        <v>0%</v>
      </c>
      <c r="O16" s="990"/>
      <c r="P16" s="426" t="str">
        <f>IF(AND(2000000&lt;'1. Nettokostnader'!$P$6,ABS(R16)&gt;100),"Förändring",(IF(AND(1000000&lt;'1. Nettokostnader'!$P$6,'1. Nettokostnader'!$P$6&lt;2000000,ABS(R16)&gt;70),"Förändring",(IF(AND(330000&lt;'1. Nettokostnader'!$P$6,'1. Nettokostnader'!$P$6&lt;1000000,ABS(R16)&gt;50),"Förändring",(IF(AND(200000&lt;'1. Nettokostnader'!$P$6,'1. Nettokostnader'!$P$6&lt;330000,ABS(R16)&gt;30),"Förändring",(IF(AND('1. Nettokostnader'!$P$6&lt;200000,ABS(R16)&gt;10),"Förändring",(IF(L16=0,"",IF(M16=0,"",(L16-M16)/M16))))))))))))</f>
        <v/>
      </c>
      <c r="R16" s="131">
        <f t="shared" si="3"/>
        <v>1</v>
      </c>
    </row>
    <row r="17" spans="1:18" ht="15" customHeight="1" x14ac:dyDescent="0.25">
      <c r="A17" s="46" t="s">
        <v>182</v>
      </c>
      <c r="B17" s="18" t="s">
        <v>4</v>
      </c>
      <c r="C17" s="35"/>
      <c r="D17" s="35"/>
      <c r="E17" s="35"/>
      <c r="F17" s="35"/>
      <c r="G17" s="35"/>
      <c r="H17" s="35"/>
      <c r="I17" s="341"/>
      <c r="J17" s="593">
        <f t="shared" si="4"/>
        <v>0</v>
      </c>
      <c r="K17" s="259"/>
      <c r="L17" s="602">
        <f t="shared" si="1"/>
        <v>0</v>
      </c>
      <c r="M17" s="52"/>
      <c r="N17" s="720" t="str">
        <f t="shared" si="2"/>
        <v>0%</v>
      </c>
      <c r="O17" s="991"/>
      <c r="P17" s="426" t="str">
        <f>IF(AND(2000000&lt;'1. Nettokostnader'!$P$6,ABS(R17)&gt;100),"Förändring",(IF(AND(1000000&lt;'1. Nettokostnader'!$P$6,'1. Nettokostnader'!$P$6&lt;2000000,ABS(R17)&gt;70),"Förändring",(IF(AND(330000&lt;'1. Nettokostnader'!$P$6,'1. Nettokostnader'!$P$6&lt;1000000,ABS(R17)&gt;50),"Förändring",(IF(AND(200000&lt;'1. Nettokostnader'!$P$6,'1. Nettokostnader'!$P$6&lt;330000,ABS(R17)&gt;30),"Förändring",(IF(AND('1. Nettokostnader'!$P$6&lt;200000,ABS(R17)&gt;10),"Förändring",(IF(L17=0,"",IF(M17=0,"",(L17-M17)/M17))))))))))))</f>
        <v/>
      </c>
      <c r="R17" s="131">
        <f t="shared" si="3"/>
        <v>1</v>
      </c>
    </row>
    <row r="18" spans="1:18" ht="15" customHeight="1" x14ac:dyDescent="0.25">
      <c r="A18" s="46" t="s">
        <v>183</v>
      </c>
      <c r="B18" s="18" t="s">
        <v>35</v>
      </c>
      <c r="C18" s="35"/>
      <c r="D18" s="35"/>
      <c r="E18" s="35"/>
      <c r="F18" s="35"/>
      <c r="G18" s="35"/>
      <c r="H18" s="35"/>
      <c r="I18" s="341"/>
      <c r="J18" s="593">
        <f t="shared" si="4"/>
        <v>0</v>
      </c>
      <c r="K18" s="259"/>
      <c r="L18" s="602">
        <f t="shared" si="1"/>
        <v>0</v>
      </c>
      <c r="M18" s="52"/>
      <c r="N18" s="720" t="str">
        <f t="shared" si="2"/>
        <v>0%</v>
      </c>
      <c r="O18" s="157"/>
      <c r="P18" s="426" t="str">
        <f>IF(AND(2000000&lt;'1. Nettokostnader'!$P$6,ABS(R18)&gt;100),"Förändring",(IF(AND(1000000&lt;'1. Nettokostnader'!$P$6,'1. Nettokostnader'!$P$6&lt;2000000,ABS(R18)&gt;70),"Förändring",(IF(AND(330000&lt;'1. Nettokostnader'!$P$6,'1. Nettokostnader'!$P$6&lt;1000000,ABS(R18)&gt;50),"Förändring",(IF(AND(200000&lt;'1. Nettokostnader'!$P$6,'1. Nettokostnader'!$P$6&lt;330000,ABS(R18)&gt;30),"Förändring",(IF(AND('1. Nettokostnader'!$P$6&lt;200000,ABS(R18)&gt;10),"Förändring",(IF(L18=0,"",IF(M18=0,"",(L18-M18)/M18))))))))))))</f>
        <v/>
      </c>
      <c r="R18" s="131">
        <f t="shared" si="3"/>
        <v>1</v>
      </c>
    </row>
    <row r="19" spans="1:18" s="254" customFormat="1" ht="15" customHeight="1" x14ac:dyDescent="0.3">
      <c r="A19" s="46" t="s">
        <v>198</v>
      </c>
      <c r="B19" s="18" t="s">
        <v>475</v>
      </c>
      <c r="C19" s="35"/>
      <c r="D19" s="35"/>
      <c r="E19" s="35"/>
      <c r="F19" s="35"/>
      <c r="G19" s="35"/>
      <c r="H19" s="35"/>
      <c r="I19" s="341"/>
      <c r="J19" s="593">
        <f t="shared" si="4"/>
        <v>0</v>
      </c>
      <c r="K19" s="259"/>
      <c r="L19" s="602">
        <f t="shared" si="1"/>
        <v>0</v>
      </c>
      <c r="M19" s="52"/>
      <c r="N19" s="720" t="str">
        <f t="shared" si="2"/>
        <v>0%</v>
      </c>
      <c r="O19" s="157"/>
      <c r="P19" s="426" t="str">
        <f>IF(AND(2000000&lt;'1. Nettokostnader'!$P$6,ABS(R19)&gt;100),"Förändring",(IF(AND(1000000&lt;'1. Nettokostnader'!$P$6,'1. Nettokostnader'!$P$6&lt;2000000,ABS(R19)&gt;70),"Förändring",(IF(AND(330000&lt;'1. Nettokostnader'!$P$6,'1. Nettokostnader'!$P$6&lt;1000000,ABS(R19)&gt;50),"Förändring",(IF(AND(200000&lt;'1. Nettokostnader'!$P$6,'1. Nettokostnader'!$P$6&lt;330000,ABS(R19)&gt;30),"Förändring",(IF(AND('1. Nettokostnader'!$P$6&lt;200000,ABS(R19)&gt;10),"Förändring",(IF(L19=0,"",IF(M19=0,"",(L19-M19)/M19))))))))))))</f>
        <v/>
      </c>
      <c r="R19" s="131">
        <f t="shared" si="3"/>
        <v>1</v>
      </c>
    </row>
    <row r="20" spans="1:18" s="254" customFormat="1" ht="15" customHeight="1" x14ac:dyDescent="0.3">
      <c r="A20" s="46" t="s">
        <v>199</v>
      </c>
      <c r="B20" s="18" t="s">
        <v>42</v>
      </c>
      <c r="C20" s="35"/>
      <c r="D20" s="35"/>
      <c r="E20" s="35"/>
      <c r="F20" s="35"/>
      <c r="G20" s="35"/>
      <c r="H20" s="35"/>
      <c r="I20" s="341"/>
      <c r="J20" s="593">
        <f t="shared" si="4"/>
        <v>0</v>
      </c>
      <c r="K20" s="259"/>
      <c r="L20" s="602">
        <f t="shared" si="1"/>
        <v>0</v>
      </c>
      <c r="M20" s="52"/>
      <c r="N20" s="720" t="str">
        <f t="shared" si="2"/>
        <v>0%</v>
      </c>
      <c r="O20" s="157"/>
      <c r="P20" s="426" t="str">
        <f>IF(AND(2000000&lt;'1. Nettokostnader'!$P$6,ABS(R20)&gt;100),"Förändring",(IF(AND(1000000&lt;'1. Nettokostnader'!$P$6,'1. Nettokostnader'!$P$6&lt;2000000,ABS(R20)&gt;70),"Förändring",(IF(AND(330000&lt;'1. Nettokostnader'!$P$6,'1. Nettokostnader'!$P$6&lt;1000000,ABS(R20)&gt;50),"Förändring",(IF(AND(200000&lt;'1. Nettokostnader'!$P$6,'1. Nettokostnader'!$P$6&lt;330000,ABS(R20)&gt;30),"Förändring",(IF(AND('1. Nettokostnader'!$P$6&lt;200000,ABS(R20)&gt;10),"Förändring",(IF(L20=0,"",IF(M20=0,"",(L20-M20)/M20))))))))))))</f>
        <v/>
      </c>
      <c r="R20" s="131">
        <f t="shared" si="3"/>
        <v>1</v>
      </c>
    </row>
    <row r="21" spans="1:18" s="254" customFormat="1" ht="15" customHeight="1" x14ac:dyDescent="0.3">
      <c r="A21" s="46" t="s">
        <v>201</v>
      </c>
      <c r="B21" s="18" t="s">
        <v>160</v>
      </c>
      <c r="C21" s="35"/>
      <c r="D21" s="35"/>
      <c r="E21" s="35"/>
      <c r="F21" s="35"/>
      <c r="G21" s="35"/>
      <c r="H21" s="35"/>
      <c r="I21" s="341"/>
      <c r="J21" s="593">
        <f t="shared" si="4"/>
        <v>0</v>
      </c>
      <c r="K21" s="259"/>
      <c r="L21" s="602">
        <f t="shared" si="1"/>
        <v>0</v>
      </c>
      <c r="M21" s="52"/>
      <c r="N21" s="720" t="str">
        <f t="shared" si="2"/>
        <v>0%</v>
      </c>
      <c r="O21" s="157"/>
      <c r="P21" s="426" t="str">
        <f>IF(AND(2000000&lt;'1. Nettokostnader'!$P$6,ABS(R21)&gt;100),"Förändring",(IF(AND(1000000&lt;'1. Nettokostnader'!$P$6,'1. Nettokostnader'!$P$6&lt;2000000,ABS(R21)&gt;70),"Förändring",(IF(AND(330000&lt;'1. Nettokostnader'!$P$6,'1. Nettokostnader'!$P$6&lt;1000000,ABS(R21)&gt;50),"Förändring",(IF(AND(200000&lt;'1. Nettokostnader'!$P$6,'1. Nettokostnader'!$P$6&lt;330000,ABS(R21)&gt;30),"Förändring",(IF(AND('1. Nettokostnader'!$P$6&lt;200000,ABS(R21)&gt;10),"Förändring",(IF(L21=0,"",IF(M21=0,"",(L21-M21)/M21))))))))))))</f>
        <v/>
      </c>
      <c r="R21" s="131">
        <f t="shared" si="3"/>
        <v>1</v>
      </c>
    </row>
    <row r="22" spans="1:18" s="254" customFormat="1" ht="15" customHeight="1" x14ac:dyDescent="0.3">
      <c r="A22" s="46" t="s">
        <v>204</v>
      </c>
      <c r="B22" s="18" t="s">
        <v>121</v>
      </c>
      <c r="C22" s="35"/>
      <c r="D22" s="35"/>
      <c r="E22" s="35"/>
      <c r="F22" s="35"/>
      <c r="G22" s="35"/>
      <c r="H22" s="35"/>
      <c r="I22" s="341"/>
      <c r="J22" s="593">
        <f t="shared" si="4"/>
        <v>0</v>
      </c>
      <c r="K22" s="259"/>
      <c r="L22" s="602">
        <f t="shared" si="1"/>
        <v>0</v>
      </c>
      <c r="M22" s="52"/>
      <c r="N22" s="720" t="str">
        <f t="shared" si="2"/>
        <v>0%</v>
      </c>
      <c r="O22" s="157"/>
      <c r="P22" s="426" t="str">
        <f>IF(AND(2000000&lt;'1. Nettokostnader'!$P$6,ABS(R22)&gt;100),"Förändring",(IF(AND(1000000&lt;'1. Nettokostnader'!$P$6,'1. Nettokostnader'!$P$6&lt;2000000,ABS(R22)&gt;70),"Förändring",(IF(AND(330000&lt;'1. Nettokostnader'!$P$6,'1. Nettokostnader'!$P$6&lt;1000000,ABS(R22)&gt;50),"Förändring",(IF(AND(200000&lt;'1. Nettokostnader'!$P$6,'1. Nettokostnader'!$P$6&lt;330000,ABS(R22)&gt;30),"Förändring",(IF(AND('1. Nettokostnader'!$P$6&lt;200000,ABS(R22)&gt;10),"Förändring",(IF(L22=0,"",IF(M22=0,"",(L22-M22)/M22))))))))))))</f>
        <v/>
      </c>
      <c r="R22" s="131">
        <f t="shared" si="3"/>
        <v>1</v>
      </c>
    </row>
    <row r="23" spans="1:18" ht="15" customHeight="1" x14ac:dyDescent="0.25">
      <c r="A23" s="39" t="s">
        <v>234</v>
      </c>
      <c r="B23" s="39" t="s">
        <v>135</v>
      </c>
      <c r="C23" s="590">
        <f>SUM(C24,C28,C29,C32,C34)</f>
        <v>0</v>
      </c>
      <c r="D23" s="590">
        <f t="shared" ref="D23:I23" si="5">SUM(D24,D28,D29,D32,D34)</f>
        <v>0</v>
      </c>
      <c r="E23" s="590">
        <f t="shared" si="5"/>
        <v>0</v>
      </c>
      <c r="F23" s="590">
        <f t="shared" si="5"/>
        <v>0</v>
      </c>
      <c r="G23" s="590">
        <f t="shared" si="5"/>
        <v>0</v>
      </c>
      <c r="H23" s="590">
        <f t="shared" si="5"/>
        <v>0</v>
      </c>
      <c r="I23" s="596">
        <f t="shared" si="5"/>
        <v>0</v>
      </c>
      <c r="J23" s="592">
        <f>SUM(C23:I23)</f>
        <v>0</v>
      </c>
      <c r="K23" s="258"/>
      <c r="L23" s="603">
        <f t="shared" si="1"/>
        <v>0</v>
      </c>
      <c r="M23" s="51"/>
      <c r="N23" s="771" t="str">
        <f t="shared" si="2"/>
        <v>0%</v>
      </c>
      <c r="O23" s="157" t="s">
        <v>295</v>
      </c>
      <c r="P23" s="426"/>
      <c r="R23" s="131">
        <f t="shared" si="3"/>
        <v>1</v>
      </c>
    </row>
    <row r="24" spans="1:18" ht="15" customHeight="1" x14ac:dyDescent="0.25">
      <c r="A24" s="46" t="s">
        <v>72</v>
      </c>
      <c r="B24" s="18" t="s">
        <v>33</v>
      </c>
      <c r="C24" s="35"/>
      <c r="D24" s="35"/>
      <c r="E24" s="35"/>
      <c r="F24" s="35"/>
      <c r="G24" s="35"/>
      <c r="H24" s="35"/>
      <c r="I24" s="341"/>
      <c r="J24" s="593">
        <f t="shared" ref="J24:J34" si="6">SUM(C24:I24)</f>
        <v>0</v>
      </c>
      <c r="K24" s="259"/>
      <c r="L24" s="602">
        <f t="shared" si="1"/>
        <v>0</v>
      </c>
      <c r="M24" s="52"/>
      <c r="N24" s="720" t="str">
        <f t="shared" si="2"/>
        <v>0%</v>
      </c>
      <c r="O24" s="989"/>
      <c r="P24" s="426" t="str">
        <f>IF(AND(2000000&lt;'1. Nettokostnader'!$P$6,ABS(R24)&gt;100),"Förändring",(IF(AND(1000000&lt;'1. Nettokostnader'!$P$6,'1. Nettokostnader'!$P$6&lt;2000000,ABS(R24)&gt;70),"Förändring",(IF(AND(330000&lt;'1. Nettokostnader'!$P$6,'1. Nettokostnader'!$P$6&lt;1000000,ABS(R24)&gt;50),"Förändring",(IF(AND(200000&lt;'1. Nettokostnader'!$P$6,'1. Nettokostnader'!$P$6&lt;330000,ABS(R24)&gt;30),"Förändring",(IF(AND('1. Nettokostnader'!$P$6&lt;200000,ABS(R24)&gt;10),"Förändring",(IF(L24=0,"",IF(M24=0,"",(L24-M24)/M24))))))))))))</f>
        <v/>
      </c>
      <c r="R24" s="131">
        <f t="shared" si="3"/>
        <v>1</v>
      </c>
    </row>
    <row r="25" spans="1:18" s="254" customFormat="1" ht="15" customHeight="1" x14ac:dyDescent="0.3">
      <c r="A25" s="46" t="s">
        <v>205</v>
      </c>
      <c r="B25" s="18" t="s">
        <v>131</v>
      </c>
      <c r="C25" s="35"/>
      <c r="D25" s="35"/>
      <c r="E25" s="35"/>
      <c r="F25" s="35"/>
      <c r="G25" s="35"/>
      <c r="H25" s="35"/>
      <c r="I25" s="341"/>
      <c r="J25" s="593">
        <f t="shared" si="6"/>
        <v>0</v>
      </c>
      <c r="K25" s="259"/>
      <c r="L25" s="602">
        <f t="shared" si="1"/>
        <v>0</v>
      </c>
      <c r="M25" s="52"/>
      <c r="N25" s="720" t="str">
        <f t="shared" si="2"/>
        <v>0%</v>
      </c>
      <c r="O25" s="990"/>
      <c r="P25" s="426" t="str">
        <f>IF(AND(2000000&lt;'1. Nettokostnader'!$P$6,ABS(R25)&gt;100),"Förändring",(IF(AND(1000000&lt;'1. Nettokostnader'!$P$6,'1. Nettokostnader'!$P$6&lt;2000000,ABS(R25)&gt;70),"Förändring",(IF(AND(330000&lt;'1. Nettokostnader'!$P$6,'1. Nettokostnader'!$P$6&lt;1000000,ABS(R25)&gt;50),"Förändring",(IF(AND(200000&lt;'1. Nettokostnader'!$P$6,'1. Nettokostnader'!$P$6&lt;330000,ABS(R25)&gt;30),"Förändring",(IF(AND('1. Nettokostnader'!$P$6&lt;200000,ABS(R25)&gt;10),"Förändring",(IF(L25=0,"",IF(M25=0,"",(L25-M25)/M25))))))))))))</f>
        <v/>
      </c>
      <c r="R25" s="131">
        <f t="shared" si="3"/>
        <v>1</v>
      </c>
    </row>
    <row r="26" spans="1:18" s="263" customFormat="1" ht="15" customHeight="1" x14ac:dyDescent="0.3">
      <c r="A26" s="46" t="s">
        <v>206</v>
      </c>
      <c r="B26" s="18" t="s">
        <v>133</v>
      </c>
      <c r="C26" s="35"/>
      <c r="D26" s="35"/>
      <c r="E26" s="35"/>
      <c r="F26" s="35"/>
      <c r="G26" s="35"/>
      <c r="H26" s="35"/>
      <c r="I26" s="341"/>
      <c r="J26" s="593">
        <f t="shared" si="6"/>
        <v>0</v>
      </c>
      <c r="K26" s="259"/>
      <c r="L26" s="602">
        <f t="shared" si="1"/>
        <v>0</v>
      </c>
      <c r="M26" s="52"/>
      <c r="N26" s="720" t="str">
        <f t="shared" si="2"/>
        <v>0%</v>
      </c>
      <c r="O26" s="990"/>
      <c r="P26" s="426" t="str">
        <f>IF(AND(2000000&lt;'1. Nettokostnader'!$P$6,ABS(R26)&gt;100),"Förändring",(IF(AND(1000000&lt;'1. Nettokostnader'!$P$6,'1. Nettokostnader'!$P$6&lt;2000000,ABS(R26)&gt;70),"Förändring",(IF(AND(330000&lt;'1. Nettokostnader'!$P$6,'1. Nettokostnader'!$P$6&lt;1000000,ABS(R26)&gt;50),"Förändring",(IF(AND(200000&lt;'1. Nettokostnader'!$P$6,'1. Nettokostnader'!$P$6&lt;330000,ABS(R26)&gt;30),"Förändring",(IF(AND('1. Nettokostnader'!$P$6&lt;200000,ABS(R26)&gt;10),"Förändring",(IF(L26=0,"",IF(M26=0,"",(L26-M26)/M26))))))))))))</f>
        <v/>
      </c>
      <c r="R26" s="131">
        <f t="shared" si="3"/>
        <v>1</v>
      </c>
    </row>
    <row r="27" spans="1:18" s="254" customFormat="1" ht="15" customHeight="1" x14ac:dyDescent="0.3">
      <c r="A27" s="46" t="s">
        <v>207</v>
      </c>
      <c r="B27" s="18" t="s">
        <v>132</v>
      </c>
      <c r="C27" s="35"/>
      <c r="D27" s="35"/>
      <c r="E27" s="35"/>
      <c r="F27" s="35"/>
      <c r="G27" s="35"/>
      <c r="H27" s="35"/>
      <c r="I27" s="341"/>
      <c r="J27" s="593">
        <f t="shared" si="6"/>
        <v>0</v>
      </c>
      <c r="K27" s="259"/>
      <c r="L27" s="602">
        <f t="shared" si="1"/>
        <v>0</v>
      </c>
      <c r="M27" s="52"/>
      <c r="N27" s="720" t="str">
        <f t="shared" si="2"/>
        <v>0%</v>
      </c>
      <c r="O27" s="990"/>
      <c r="P27" s="426" t="str">
        <f>IF(AND(2000000&lt;'1. Nettokostnader'!$P$6,ABS(R27)&gt;100),"Förändring",(IF(AND(1000000&lt;'1. Nettokostnader'!$P$6,'1. Nettokostnader'!$P$6&lt;2000000,ABS(R27)&gt;70),"Förändring",(IF(AND(330000&lt;'1. Nettokostnader'!$P$6,'1. Nettokostnader'!$P$6&lt;1000000,ABS(R27)&gt;50),"Förändring",(IF(AND(200000&lt;'1. Nettokostnader'!$P$6,'1. Nettokostnader'!$P$6&lt;330000,ABS(R27)&gt;30),"Förändring",(IF(AND('1. Nettokostnader'!$P$6&lt;200000,ABS(R27)&gt;10),"Förändring",(IF(L27=0,"",IF(M27=0,"",(L27-M27)/M27))))))))))))</f>
        <v/>
      </c>
      <c r="R27" s="131">
        <f t="shared" si="3"/>
        <v>1</v>
      </c>
    </row>
    <row r="28" spans="1:18" ht="15" customHeight="1" x14ac:dyDescent="0.25">
      <c r="A28" s="46" t="s">
        <v>151</v>
      </c>
      <c r="B28" s="18" t="s">
        <v>11</v>
      </c>
      <c r="C28" s="35"/>
      <c r="D28" s="35"/>
      <c r="E28" s="35"/>
      <c r="F28" s="35"/>
      <c r="G28" s="35"/>
      <c r="H28" s="35"/>
      <c r="I28" s="341"/>
      <c r="J28" s="593">
        <f t="shared" si="6"/>
        <v>0</v>
      </c>
      <c r="K28" s="259"/>
      <c r="L28" s="602">
        <f t="shared" si="1"/>
        <v>0</v>
      </c>
      <c r="M28" s="52"/>
      <c r="N28" s="720" t="str">
        <f t="shared" si="2"/>
        <v>0%</v>
      </c>
      <c r="O28" s="990"/>
      <c r="P28" s="426" t="str">
        <f>IF(AND(2000000&lt;'1. Nettokostnader'!$P$6,ABS(R28)&gt;100),"Förändring",(IF(AND(1000000&lt;'1. Nettokostnader'!$P$6,'1. Nettokostnader'!$P$6&lt;2000000,ABS(R28)&gt;70),"Förändring",(IF(AND(330000&lt;'1. Nettokostnader'!$P$6,'1. Nettokostnader'!$P$6&lt;1000000,ABS(R28)&gt;50),"Förändring",(IF(AND(200000&lt;'1. Nettokostnader'!$P$6,'1. Nettokostnader'!$P$6&lt;330000,ABS(R28)&gt;30),"Förändring",(IF(AND('1. Nettokostnader'!$P$6&lt;200000,ABS(R28)&gt;10),"Förändring",(IF(L28=0,"",IF(M28=0,"",(L28-M28)/M28))))))))))))</f>
        <v/>
      </c>
      <c r="R28" s="131">
        <f t="shared" si="3"/>
        <v>1</v>
      </c>
    </row>
    <row r="29" spans="1:18" ht="15" customHeight="1" x14ac:dyDescent="0.25">
      <c r="A29" s="46" t="s">
        <v>152</v>
      </c>
      <c r="B29" s="18" t="s">
        <v>13</v>
      </c>
      <c r="C29" s="35"/>
      <c r="D29" s="35"/>
      <c r="E29" s="35"/>
      <c r="F29" s="35"/>
      <c r="G29" s="35"/>
      <c r="H29" s="35"/>
      <c r="I29" s="341"/>
      <c r="J29" s="593">
        <f t="shared" si="6"/>
        <v>0</v>
      </c>
      <c r="K29" s="259"/>
      <c r="L29" s="602">
        <f t="shared" si="1"/>
        <v>0</v>
      </c>
      <c r="M29" s="52"/>
      <c r="N29" s="720" t="str">
        <f t="shared" si="2"/>
        <v>0%</v>
      </c>
      <c r="O29" s="991"/>
      <c r="P29" s="426" t="str">
        <f>IF(AND(2000000&lt;'1. Nettokostnader'!$P$6,ABS(R29)&gt;100),"Förändring",(IF(AND(1000000&lt;'1. Nettokostnader'!$P$6,'1. Nettokostnader'!$P$6&lt;2000000,ABS(R29)&gt;70),"Förändring",(IF(AND(330000&lt;'1. Nettokostnader'!$P$6,'1. Nettokostnader'!$P$6&lt;1000000,ABS(R29)&gt;50),"Förändring",(IF(AND(200000&lt;'1. Nettokostnader'!$P$6,'1. Nettokostnader'!$P$6&lt;330000,ABS(R29)&gt;30),"Förändring",(IF(AND('1. Nettokostnader'!$P$6&lt;200000,ABS(R29)&gt;10),"Förändring",(IF(L29=0,"",IF(M29=0,"",(L29-M29)/M29))))))))))))</f>
        <v/>
      </c>
      <c r="R29" s="131">
        <f t="shared" si="3"/>
        <v>1</v>
      </c>
    </row>
    <row r="30" spans="1:18" s="254" customFormat="1" ht="15" customHeight="1" x14ac:dyDescent="0.3">
      <c r="A30" s="46" t="s">
        <v>212</v>
      </c>
      <c r="B30" s="18" t="s">
        <v>43</v>
      </c>
      <c r="C30" s="35"/>
      <c r="D30" s="35"/>
      <c r="E30" s="35"/>
      <c r="F30" s="35"/>
      <c r="G30" s="35"/>
      <c r="H30" s="35"/>
      <c r="I30" s="341"/>
      <c r="J30" s="593">
        <f t="shared" si="6"/>
        <v>0</v>
      </c>
      <c r="K30" s="259"/>
      <c r="L30" s="602">
        <f t="shared" si="1"/>
        <v>0</v>
      </c>
      <c r="M30" s="52"/>
      <c r="N30" s="720" t="str">
        <f t="shared" si="2"/>
        <v>0%</v>
      </c>
      <c r="O30" s="157"/>
      <c r="P30" s="426" t="str">
        <f>IF(AND(2000000&lt;'1. Nettokostnader'!$P$6,ABS(R30)&gt;100),"Förändring",(IF(AND(1000000&lt;'1. Nettokostnader'!$P$6,'1. Nettokostnader'!$P$6&lt;2000000,ABS(R30)&gt;70),"Förändring",(IF(AND(330000&lt;'1. Nettokostnader'!$P$6,'1. Nettokostnader'!$P$6&lt;1000000,ABS(R30)&gt;50),"Förändring",(IF(AND(200000&lt;'1. Nettokostnader'!$P$6,'1. Nettokostnader'!$P$6&lt;330000,ABS(R30)&gt;30),"Förändring",(IF(AND('1. Nettokostnader'!$P$6&lt;200000,ABS(R30)&gt;10),"Förändring",(IF(L30=0,"",IF(M30=0,"",(L30-M30)/M30))))))))))))</f>
        <v/>
      </c>
      <c r="R30" s="131">
        <f t="shared" si="3"/>
        <v>1</v>
      </c>
    </row>
    <row r="31" spans="1:18" s="254" customFormat="1" ht="15" customHeight="1" x14ac:dyDescent="0.3">
      <c r="A31" s="774" t="s">
        <v>462</v>
      </c>
      <c r="B31" s="18" t="s">
        <v>463</v>
      </c>
      <c r="C31" s="35"/>
      <c r="D31" s="35"/>
      <c r="E31" s="35"/>
      <c r="F31" s="35"/>
      <c r="G31" s="35"/>
      <c r="H31" s="35"/>
      <c r="I31" s="341"/>
      <c r="J31" s="593">
        <f t="shared" si="6"/>
        <v>0</v>
      </c>
      <c r="K31" s="259"/>
      <c r="L31" s="602">
        <f>J31-I31</f>
        <v>0</v>
      </c>
      <c r="M31" s="52"/>
      <c r="N31" s="720" t="str">
        <f>IF(M31=0,"0%",(L31-M31)/M31)</f>
        <v>0%</v>
      </c>
      <c r="O31" s="157"/>
      <c r="P31" s="426" t="str">
        <f>IF(AND(N31&gt;30%,J31&gt;500),"Förändring","")</f>
        <v/>
      </c>
      <c r="R31" s="131">
        <f t="shared" si="3"/>
        <v>1</v>
      </c>
    </row>
    <row r="32" spans="1:18" ht="15" customHeight="1" x14ac:dyDescent="0.25">
      <c r="A32" s="46" t="s">
        <v>153</v>
      </c>
      <c r="B32" s="18" t="s">
        <v>16</v>
      </c>
      <c r="C32" s="35"/>
      <c r="D32" s="35"/>
      <c r="E32" s="35"/>
      <c r="F32" s="35"/>
      <c r="G32" s="35"/>
      <c r="H32" s="35"/>
      <c r="I32" s="341"/>
      <c r="J32" s="593">
        <f t="shared" si="6"/>
        <v>0</v>
      </c>
      <c r="K32" s="259"/>
      <c r="L32" s="602">
        <f t="shared" si="1"/>
        <v>0</v>
      </c>
      <c r="M32" s="52"/>
      <c r="N32" s="720" t="str">
        <f t="shared" si="2"/>
        <v>0%</v>
      </c>
      <c r="O32" s="157"/>
      <c r="P32" s="426" t="str">
        <f>IF(AND(2000000&lt;'1. Nettokostnader'!$P$6,ABS(R32)&gt;100),"Förändring",(IF(AND(1000000&lt;'1. Nettokostnader'!$P$6,'1. Nettokostnader'!$P$6&lt;2000000,ABS(R32)&gt;70),"Förändring",(IF(AND(330000&lt;'1. Nettokostnader'!$P$6,'1. Nettokostnader'!$P$6&lt;1000000,ABS(R32)&gt;50),"Förändring",(IF(AND(200000&lt;'1. Nettokostnader'!$P$6,'1. Nettokostnader'!$P$6&lt;330000,ABS(R32)&gt;30),"Förändring",(IF(AND('1. Nettokostnader'!$P$6&lt;200000,ABS(R32)&gt;10),"Förändring",(IF(L32=0,"",IF(M32=0,"",(L32-M32)/M32))))))))))))</f>
        <v/>
      </c>
      <c r="R32" s="131">
        <f t="shared" si="3"/>
        <v>1</v>
      </c>
    </row>
    <row r="33" spans="1:18" s="254" customFormat="1" ht="15" customHeight="1" x14ac:dyDescent="0.3">
      <c r="A33" s="46" t="s">
        <v>217</v>
      </c>
      <c r="B33" s="18" t="s">
        <v>159</v>
      </c>
      <c r="C33" s="35"/>
      <c r="D33" s="35"/>
      <c r="E33" s="35"/>
      <c r="F33" s="35"/>
      <c r="G33" s="35"/>
      <c r="H33" s="35"/>
      <c r="I33" s="341"/>
      <c r="J33" s="593">
        <f t="shared" si="6"/>
        <v>0</v>
      </c>
      <c r="K33" s="259"/>
      <c r="L33" s="602">
        <f t="shared" ref="L33:L39" si="7">J33-I33</f>
        <v>0</v>
      </c>
      <c r="M33" s="52"/>
      <c r="N33" s="720" t="str">
        <f t="shared" si="2"/>
        <v>0%</v>
      </c>
      <c r="O33" s="159"/>
      <c r="P33" s="426" t="str">
        <f>IF(AND(2000000&lt;'1. Nettokostnader'!$P$6,ABS(R33)&gt;100),"Förändring",(IF(AND(1000000&lt;'1. Nettokostnader'!$P$6,'1. Nettokostnader'!$P$6&lt;2000000,ABS(R33)&gt;70),"Förändring",(IF(AND(330000&lt;'1. Nettokostnader'!$P$6,'1. Nettokostnader'!$P$6&lt;1000000,ABS(R33)&gt;50),"Förändring",(IF(AND(200000&lt;'1. Nettokostnader'!$P$6,'1. Nettokostnader'!$P$6&lt;330000,ABS(R33)&gt;30),"Förändring",(IF(AND('1. Nettokostnader'!$P$6&lt;200000,ABS(R33)&gt;10),"Förändring",(IF(L33=0,"",IF(M33=0,"",(L33-M33)/M33))))))))))))</f>
        <v/>
      </c>
      <c r="R33" s="131">
        <f t="shared" si="3"/>
        <v>1</v>
      </c>
    </row>
    <row r="34" spans="1:18" s="254" customFormat="1" ht="15" customHeight="1" x14ac:dyDescent="0.3">
      <c r="A34" s="118" t="s">
        <v>219</v>
      </c>
      <c r="B34" s="19" t="s">
        <v>114</v>
      </c>
      <c r="C34" s="371"/>
      <c r="D34" s="35"/>
      <c r="E34" s="35"/>
      <c r="F34" s="35"/>
      <c r="G34" s="35"/>
      <c r="H34" s="35"/>
      <c r="I34" s="341"/>
      <c r="J34" s="593">
        <f t="shared" si="6"/>
        <v>0</v>
      </c>
      <c r="K34" s="259"/>
      <c r="L34" s="602">
        <f t="shared" si="7"/>
        <v>0</v>
      </c>
      <c r="M34" s="52"/>
      <c r="N34" s="720" t="str">
        <f t="shared" si="2"/>
        <v>0%</v>
      </c>
      <c r="O34" s="159"/>
      <c r="P34" s="426" t="str">
        <f>IF(AND(2000000&lt;'1. Nettokostnader'!$P$6,ABS(R34)&gt;100),"Förändring",(IF(AND(1000000&lt;'1. Nettokostnader'!$P$6,'1. Nettokostnader'!$P$6&lt;2000000,ABS(R34)&gt;70),"Förändring",(IF(AND(330000&lt;'1. Nettokostnader'!$P$6,'1. Nettokostnader'!$P$6&lt;1000000,ABS(R34)&gt;50),"Förändring",(IF(AND(200000&lt;'1. Nettokostnader'!$P$6,'1. Nettokostnader'!$P$6&lt;330000,ABS(R34)&gt;30),"Förändring",(IF(AND('1. Nettokostnader'!$P$6&lt;200000,ABS(R34)&gt;10),"Förändring",(IF(L34=0,"",IF(M34=0,"",(L34-M34)/M34))))))))))))</f>
        <v/>
      </c>
      <c r="R34" s="131">
        <f t="shared" si="3"/>
        <v>1</v>
      </c>
    </row>
    <row r="35" spans="1:18" s="254" customFormat="1" ht="15" customHeight="1" x14ac:dyDescent="0.3">
      <c r="A35" s="347" t="s">
        <v>170</v>
      </c>
      <c r="B35" s="17" t="s">
        <v>376</v>
      </c>
      <c r="C35" s="590">
        <f>SUM(C36:C38)</f>
        <v>0</v>
      </c>
      <c r="D35" s="590">
        <f t="shared" ref="D35:I35" si="8">SUM(D36:D38)</f>
        <v>0</v>
      </c>
      <c r="E35" s="590">
        <f t="shared" si="8"/>
        <v>0</v>
      </c>
      <c r="F35" s="590">
        <f t="shared" si="8"/>
        <v>0</v>
      </c>
      <c r="G35" s="590">
        <f t="shared" si="8"/>
        <v>0</v>
      </c>
      <c r="H35" s="590">
        <f t="shared" si="8"/>
        <v>0</v>
      </c>
      <c r="I35" s="590">
        <f t="shared" si="8"/>
        <v>0</v>
      </c>
      <c r="J35" s="594">
        <f>SUM(C35:I35)</f>
        <v>0</v>
      </c>
      <c r="K35" s="259"/>
      <c r="L35" s="603">
        <f t="shared" si="7"/>
        <v>0</v>
      </c>
      <c r="M35" s="51"/>
      <c r="N35" s="771" t="str">
        <f t="shared" si="2"/>
        <v>0%</v>
      </c>
      <c r="O35" s="159"/>
      <c r="P35" s="426"/>
      <c r="R35" s="131">
        <f t="shared" si="3"/>
        <v>1</v>
      </c>
    </row>
    <row r="36" spans="1:18" s="254" customFormat="1" ht="15" customHeight="1" x14ac:dyDescent="0.3">
      <c r="A36" s="46" t="s">
        <v>220</v>
      </c>
      <c r="B36" s="18" t="s">
        <v>119</v>
      </c>
      <c r="C36" s="354"/>
      <c r="D36" s="354"/>
      <c r="E36" s="354"/>
      <c r="F36" s="354"/>
      <c r="G36" s="354"/>
      <c r="H36" s="354"/>
      <c r="I36" s="353"/>
      <c r="J36" s="593">
        <f>SUM(C36:I36)</f>
        <v>0</v>
      </c>
      <c r="K36" s="259"/>
      <c r="L36" s="602">
        <f t="shared" si="7"/>
        <v>0</v>
      </c>
      <c r="M36" s="52"/>
      <c r="N36" s="720" t="str">
        <f t="shared" si="2"/>
        <v>0%</v>
      </c>
      <c r="O36" s="159"/>
      <c r="P36" s="426" t="str">
        <f>IF(AND(2000000&lt;'1. Nettokostnader'!$P$6,ABS(R36)&gt;100),"Förändring",(IF(AND(1000000&lt;'1. Nettokostnader'!$P$6,'1. Nettokostnader'!$P$6&lt;2000000,ABS(R36)&gt;70),"Förändring",(IF(AND(330000&lt;'1. Nettokostnader'!$P$6,'1. Nettokostnader'!$P$6&lt;1000000,ABS(R36)&gt;50),"Förändring",(IF(AND(200000&lt;'1. Nettokostnader'!$P$6,'1. Nettokostnader'!$P$6&lt;330000,ABS(R36)&gt;30),"Förändring",(IF(AND('1. Nettokostnader'!$P$6&lt;200000,ABS(R36)&gt;10),"Förändring",(IF(L36=0,"",IF(M36=0,"",(L36-M36)/M36))))))))))))</f>
        <v/>
      </c>
      <c r="R36" s="131">
        <f t="shared" si="3"/>
        <v>1</v>
      </c>
    </row>
    <row r="37" spans="1:18" s="254" customFormat="1" ht="15" customHeight="1" x14ac:dyDescent="0.3">
      <c r="A37" s="46" t="s">
        <v>221</v>
      </c>
      <c r="B37" s="18" t="s">
        <v>36</v>
      </c>
      <c r="C37" s="354"/>
      <c r="D37" s="354"/>
      <c r="E37" s="354"/>
      <c r="F37" s="354"/>
      <c r="G37" s="354"/>
      <c r="H37" s="354"/>
      <c r="I37" s="353"/>
      <c r="J37" s="593">
        <f>SUM(C37:I37)</f>
        <v>0</v>
      </c>
      <c r="K37" s="259"/>
      <c r="L37" s="602">
        <f t="shared" si="7"/>
        <v>0</v>
      </c>
      <c r="M37" s="52"/>
      <c r="N37" s="720" t="str">
        <f t="shared" si="2"/>
        <v>0%</v>
      </c>
      <c r="O37" s="367" t="s">
        <v>317</v>
      </c>
      <c r="P37" s="426" t="str">
        <f>IF(AND(2000000&lt;'1. Nettokostnader'!$P$6,ABS(R37)&gt;100),"Förändring",(IF(AND(1000000&lt;'1. Nettokostnader'!$P$6,'1. Nettokostnader'!$P$6&lt;2000000,ABS(R37)&gt;70),"Förändring",(IF(AND(330000&lt;'1. Nettokostnader'!$P$6,'1. Nettokostnader'!$P$6&lt;1000000,ABS(R37)&gt;50),"Förändring",(IF(AND(200000&lt;'1. Nettokostnader'!$P$6,'1. Nettokostnader'!$P$6&lt;330000,ABS(R37)&gt;30),"Förändring",(IF(AND('1. Nettokostnader'!$P$6&lt;200000,ABS(R37)&gt;10),"Förändring",(IF(L37=0,"",IF(M37=0,"",(L37-M37)/M37))))))))))))</f>
        <v/>
      </c>
      <c r="R37" s="131">
        <f t="shared" si="3"/>
        <v>1</v>
      </c>
    </row>
    <row r="38" spans="1:18" ht="15" customHeight="1" x14ac:dyDescent="0.25">
      <c r="A38" s="46" t="s">
        <v>222</v>
      </c>
      <c r="B38" s="18" t="s">
        <v>37</v>
      </c>
      <c r="C38" s="396"/>
      <c r="D38" s="397"/>
      <c r="E38" s="397"/>
      <c r="F38" s="397"/>
      <c r="G38" s="397"/>
      <c r="H38" s="397"/>
      <c r="I38" s="398"/>
      <c r="J38" s="595">
        <f>SUM(C38:I38)</f>
        <v>0</v>
      </c>
      <c r="K38" s="259"/>
      <c r="L38" s="602">
        <f t="shared" si="7"/>
        <v>0</v>
      </c>
      <c r="M38" s="52"/>
      <c r="N38" s="720" t="str">
        <f t="shared" si="2"/>
        <v>0%</v>
      </c>
      <c r="O38" s="987"/>
      <c r="P38" s="426" t="str">
        <f>IF(AND(2000000&lt;'1. Nettokostnader'!$P$6,ABS(R38)&gt;100),"Förändring",(IF(AND(1000000&lt;'1. Nettokostnader'!$P$6,'1. Nettokostnader'!$P$6&lt;2000000,ABS(R38)&gt;70),"Förändring",(IF(AND(330000&lt;'1. Nettokostnader'!$P$6,'1. Nettokostnader'!$P$6&lt;1000000,ABS(R38)&gt;50),"Förändring",(IF(AND(200000&lt;'1. Nettokostnader'!$P$6,'1. Nettokostnader'!$P$6&lt;330000,ABS(R38)&gt;30),"Förändring",(IF(AND('1. Nettokostnader'!$P$6&lt;200000,ABS(R38)&gt;10),"Förändring",(IF(L38=0,"",IF(M38=0,"",(L38-M38)/M38))))))))))))</f>
        <v/>
      </c>
      <c r="R38" s="131">
        <f t="shared" si="3"/>
        <v>1</v>
      </c>
    </row>
    <row r="39" spans="1:18" ht="15" customHeight="1" x14ac:dyDescent="0.25">
      <c r="A39" s="99" t="s">
        <v>321</v>
      </c>
      <c r="B39" s="773" t="s">
        <v>312</v>
      </c>
      <c r="C39" s="399"/>
      <c r="D39" s="400"/>
      <c r="E39" s="400"/>
      <c r="F39" s="400"/>
      <c r="G39" s="400"/>
      <c r="H39" s="400"/>
      <c r="I39" s="401"/>
      <c r="J39" s="630">
        <f>SUM(C39:I39)</f>
        <v>0</v>
      </c>
      <c r="K39" s="259"/>
      <c r="L39" s="603">
        <f t="shared" si="7"/>
        <v>0</v>
      </c>
      <c r="M39" s="52"/>
      <c r="N39" s="771" t="str">
        <f t="shared" si="2"/>
        <v>0%</v>
      </c>
      <c r="O39" s="1000"/>
      <c r="P39" s="426" t="str">
        <f>IF(AND(2000000&lt;'1. Nettokostnader'!$P$6,ABS(R39)&gt;100),"Förändring",(IF(AND(1000000&lt;'1. Nettokostnader'!$P$6,'1. Nettokostnader'!$P$6&lt;2000000,ABS(R39)&gt;70),"Förändring",(IF(AND(330000&lt;'1. Nettokostnader'!$P$6,'1. Nettokostnader'!$P$6&lt;1000000,ABS(R39)&gt;50),"Förändring",(IF(AND(200000&lt;'1. Nettokostnader'!$P$6,'1. Nettokostnader'!$P$6&lt;330000,ABS(R39)&gt;30),"Förändring",(IF(AND('1. Nettokostnader'!$P$6&lt;200000,ABS(R39)&gt;10),"Förändring",(IF(L39=0,"",IF(M39=0,"",(L39-M39)/M39))))))))))))</f>
        <v/>
      </c>
      <c r="R39" s="131">
        <f t="shared" si="3"/>
        <v>1</v>
      </c>
    </row>
    <row r="40" spans="1:18" ht="15" customHeight="1" thickBot="1" x14ac:dyDescent="0.3">
      <c r="A40" s="99" t="s">
        <v>120</v>
      </c>
      <c r="B40" s="48" t="s">
        <v>142</v>
      </c>
      <c r="C40" s="597">
        <f>SUM(C10,C23,C35,C39)</f>
        <v>0</v>
      </c>
      <c r="D40" s="597">
        <f t="shared" ref="D40:H40" si="9">SUM(D10,D23,D35,D39)</f>
        <v>0</v>
      </c>
      <c r="E40" s="597">
        <f t="shared" si="9"/>
        <v>0</v>
      </c>
      <c r="F40" s="597">
        <f t="shared" si="9"/>
        <v>0</v>
      </c>
      <c r="G40" s="597">
        <f t="shared" si="9"/>
        <v>0</v>
      </c>
      <c r="H40" s="597">
        <f t="shared" si="9"/>
        <v>0</v>
      </c>
      <c r="I40" s="598">
        <f t="shared" ref="I40:J40" si="10">SUM(I10,I23,I35,I39)</f>
        <v>0</v>
      </c>
      <c r="J40" s="599">
        <f t="shared" si="10"/>
        <v>0</v>
      </c>
      <c r="K40" s="258"/>
      <c r="L40" s="604">
        <f>J40-I40</f>
        <v>0</v>
      </c>
      <c r="M40" s="349">
        <f>M10+M23+M35+M39</f>
        <v>0</v>
      </c>
      <c r="N40" s="772" t="str">
        <f>IF(M40=0,"0%",(L40-M40)/M40)</f>
        <v>0%</v>
      </c>
      <c r="O40" s="159"/>
      <c r="P40" s="426"/>
      <c r="R40" s="131">
        <f t="shared" si="3"/>
        <v>1</v>
      </c>
    </row>
    <row r="41" spans="1:18" ht="15" customHeight="1" x14ac:dyDescent="0.25">
      <c r="A41" s="804" t="s">
        <v>236</v>
      </c>
      <c r="B41" s="155" t="s">
        <v>156</v>
      </c>
      <c r="C41" s="41"/>
      <c r="D41" s="41"/>
      <c r="E41" s="41"/>
      <c r="F41" s="41"/>
      <c r="G41" s="41"/>
      <c r="H41" s="41"/>
      <c r="I41" s="351"/>
      <c r="J41" s="350">
        <f>I40</f>
        <v>0</v>
      </c>
      <c r="K41" s="258"/>
      <c r="L41" s="369"/>
      <c r="M41" s="127"/>
      <c r="N41" s="158"/>
      <c r="O41" s="6"/>
      <c r="P41" s="897"/>
    </row>
    <row r="42" spans="1:18" ht="15" customHeight="1" thickBot="1" x14ac:dyDescent="0.3">
      <c r="A42" s="805" t="s">
        <v>244</v>
      </c>
      <c r="B42" s="48" t="s">
        <v>501</v>
      </c>
      <c r="C42" s="49"/>
      <c r="D42" s="49"/>
      <c r="E42" s="49"/>
      <c r="F42" s="49"/>
      <c r="G42" s="49"/>
      <c r="H42" s="49"/>
      <c r="I42" s="352"/>
      <c r="J42" s="600">
        <f>J40-J41</f>
        <v>0</v>
      </c>
      <c r="K42" s="258"/>
      <c r="L42" s="160"/>
      <c r="M42" s="161"/>
      <c r="N42" s="161"/>
      <c r="O42" s="66"/>
      <c r="P42" s="427"/>
    </row>
    <row r="43" spans="1:18" ht="15" customHeight="1" x14ac:dyDescent="0.25">
      <c r="J43" s="131"/>
      <c r="K43" s="137"/>
      <c r="L43" s="131"/>
      <c r="M43" s="131"/>
      <c r="N43" s="131"/>
    </row>
    <row r="44" spans="1:18" ht="15" customHeight="1" x14ac:dyDescent="0.25">
      <c r="J44" s="131"/>
      <c r="K44" s="137"/>
      <c r="L44" s="131"/>
      <c r="M44" s="131"/>
      <c r="N44" s="131"/>
    </row>
    <row r="45" spans="1:18" ht="15" customHeight="1" thickBot="1" x14ac:dyDescent="0.4">
      <c r="B45" s="138" t="s">
        <v>467</v>
      </c>
      <c r="J45" s="131"/>
      <c r="K45" s="137"/>
      <c r="L45" s="131"/>
      <c r="M45" s="131"/>
      <c r="N45" s="131"/>
    </row>
    <row r="46" spans="1:18" s="261" customFormat="1" ht="15" customHeight="1" x14ac:dyDescent="0.25">
      <c r="A46" s="129"/>
      <c r="B46" s="734" t="s">
        <v>281</v>
      </c>
      <c r="C46" s="732">
        <f>'6. Spec intäkter'!C8</f>
        <v>0</v>
      </c>
      <c r="D46" s="677">
        <f>'6. Spec intäkter'!C18</f>
        <v>0</v>
      </c>
      <c r="E46" s="677">
        <f>'6. Spec intäkter'!C20</f>
        <v>0</v>
      </c>
      <c r="F46" s="677">
        <f>'6. Spec intäkter'!C23</f>
        <v>0</v>
      </c>
      <c r="G46" s="677">
        <f>'6. Spec intäkter'!C24</f>
        <v>0</v>
      </c>
      <c r="H46" s="677">
        <f>'6. Spec intäkter'!C34</f>
        <v>0</v>
      </c>
      <c r="I46" s="898"/>
      <c r="J46" s="899"/>
      <c r="K46" s="129"/>
      <c r="M46" s="129"/>
      <c r="N46" s="129"/>
      <c r="O46" s="129"/>
    </row>
    <row r="47" spans="1:18" s="166" customFormat="1" ht="19.5" customHeight="1" x14ac:dyDescent="0.25">
      <c r="A47" s="508" t="s">
        <v>324</v>
      </c>
      <c r="B47" s="735" t="s">
        <v>383</v>
      </c>
      <c r="C47" s="733">
        <f t="shared" ref="C47:H47" si="11">C40-C46</f>
        <v>0</v>
      </c>
      <c r="D47" s="729">
        <f t="shared" si="11"/>
        <v>0</v>
      </c>
      <c r="E47" s="729">
        <f t="shared" si="11"/>
        <v>0</v>
      </c>
      <c r="F47" s="729">
        <f t="shared" si="11"/>
        <v>0</v>
      </c>
      <c r="G47" s="729">
        <f t="shared" si="11"/>
        <v>0</v>
      </c>
      <c r="H47" s="729">
        <f t="shared" si="11"/>
        <v>0</v>
      </c>
      <c r="I47" s="692"/>
      <c r="J47" s="674"/>
      <c r="K47" s="129"/>
      <c r="L47" s="502" t="str">
        <f>IF(ABS(C40-C46)&gt;1,(ROUND(C40-C46,0))&amp;" mkr diff.mellan summan kol C och Patientavgifter i flik 6 -  måste rättas!",IF(ABS(D40-D46)&gt;1,(ROUND(D40-D46,0))&amp;" mkr diff.mellan summan kol D och Försäljning av verksamhet i flik 6 -  måste rättas!",IF(ABS(E40-E46)&gt;1,(ROUND(E40-E46,2))&amp;" mkr diff.mellan summan kol E och Försäljning av tjänster i flik 6 -  måste rättas!",IF(ABS(F40-F46)&gt;1,(ROUND(F40-F46,2))&amp;" mkr diff.mellan summan kol F och Försäljning av material och varor i flik 6 -  måste rättas!",IF(ABS(G40-G46)&gt;1,(ROUND(G40-G46,2))&amp;" mkr diff.mellan summan kol G och Erhållna bidrag i flik 6 -  måste rättas!",IF(ABS(H40-H46)&gt;1,(ROUND(H40-H46,2))&amp;" mkr diff.mellan summan kol H och Övriga intäkter i flik 6 -  måste rättas!",""))))))</f>
        <v/>
      </c>
      <c r="M47" s="130"/>
      <c r="N47" s="129"/>
      <c r="O47" s="129"/>
    </row>
    <row r="48" spans="1:18" s="261" customFormat="1" ht="21" customHeight="1" x14ac:dyDescent="0.25">
      <c r="A48" s="508"/>
      <c r="B48" s="756"/>
      <c r="C48" s="755"/>
      <c r="D48" s="755"/>
      <c r="E48" s="754"/>
      <c r="F48" s="730"/>
      <c r="G48" s="731"/>
      <c r="H48" s="730"/>
      <c r="I48" s="673"/>
      <c r="J48" s="674"/>
      <c r="K48" s="129"/>
      <c r="L48" s="502"/>
      <c r="M48" s="129"/>
      <c r="N48" s="129"/>
      <c r="O48" s="129"/>
    </row>
    <row r="49" spans="1:15" s="166" customFormat="1" ht="18" customHeight="1" x14ac:dyDescent="0.3">
      <c r="A49" s="508" t="s">
        <v>325</v>
      </c>
      <c r="B49" s="967" t="s">
        <v>585</v>
      </c>
      <c r="C49" s="965"/>
      <c r="D49" s="754"/>
      <c r="E49" s="754"/>
      <c r="F49" s="388"/>
      <c r="G49" s="673"/>
      <c r="H49" s="935"/>
      <c r="I49" s="881" t="s">
        <v>553</v>
      </c>
      <c r="J49" s="875"/>
      <c r="K49" s="131"/>
      <c r="L49" s="502"/>
      <c r="M49" s="129"/>
      <c r="N49" s="129"/>
      <c r="O49" s="129"/>
    </row>
    <row r="50" spans="1:15" ht="15" customHeight="1" thickBot="1" x14ac:dyDescent="0.3">
      <c r="A50" s="683" t="s">
        <v>326</v>
      </c>
      <c r="B50" s="968" t="s">
        <v>422</v>
      </c>
      <c r="C50" s="966">
        <f>J39-C49</f>
        <v>0</v>
      </c>
      <c r="D50" s="992"/>
      <c r="E50" s="993"/>
      <c r="F50" s="993"/>
      <c r="G50" s="682"/>
      <c r="H50" s="682"/>
      <c r="I50" s="882" t="s">
        <v>422</v>
      </c>
      <c r="J50" s="883">
        <f>J42-J49</f>
        <v>0</v>
      </c>
      <c r="K50" s="131"/>
      <c r="L50" s="502" t="str">
        <f>IF(ABS(J42-J49)&gt;5.99,(ROUND(J42-J49,0))&amp;" mkr diff.mellan Verksamhetens intäkter här och Verksamhetens intäkter enl. Steg 1 - måste rättas!","")</f>
        <v/>
      </c>
      <c r="M50" s="129"/>
    </row>
    <row r="51" spans="1:15" ht="15" customHeight="1" x14ac:dyDescent="0.25">
      <c r="C51" s="502" t="str">
        <f>IF(ABS(J39-C49)&gt;5.99,(ROUND(J39-C49,0))&amp;" mkr diff.mellan Jämförelsestörande intäkter här och Jämförelsestörande intäkter enl. Steg 1 - måste rättas!","")</f>
        <v/>
      </c>
      <c r="D51" s="502"/>
      <c r="E51" s="502"/>
      <c r="F51" s="502"/>
      <c r="G51" s="502"/>
      <c r="H51" s="502"/>
      <c r="I51" s="502"/>
      <c r="J51" s="502"/>
      <c r="M51" s="129"/>
    </row>
    <row r="52" spans="1:15" ht="15" hidden="1" customHeight="1" x14ac:dyDescent="0.25">
      <c r="M52" s="129"/>
    </row>
    <row r="53" spans="1:15" ht="15" hidden="1" customHeight="1" x14ac:dyDescent="0.25">
      <c r="B53" s="130"/>
      <c r="M53" s="129"/>
    </row>
    <row r="54" spans="1:15" ht="15" hidden="1" customHeight="1" x14ac:dyDescent="0.25">
      <c r="B54" s="130"/>
      <c r="M54" s="129"/>
    </row>
    <row r="55" spans="1:15" ht="15" hidden="1" customHeight="1" x14ac:dyDescent="0.25">
      <c r="B55" s="130"/>
      <c r="M55" s="129"/>
    </row>
    <row r="56" spans="1:15" ht="15" hidden="1" customHeight="1" x14ac:dyDescent="0.25">
      <c r="B56" s="130"/>
      <c r="M56" s="129"/>
    </row>
    <row r="57" spans="1:15" ht="15" hidden="1" customHeight="1" x14ac:dyDescent="0.25">
      <c r="B57" s="130"/>
      <c r="M57" s="129"/>
    </row>
    <row r="58" spans="1:15" ht="15" hidden="1" customHeight="1" x14ac:dyDescent="0.25">
      <c r="B58" s="130"/>
      <c r="M58" s="129"/>
    </row>
    <row r="59" spans="1:15" ht="15" hidden="1" customHeight="1" x14ac:dyDescent="0.25">
      <c r="B59" s="130"/>
      <c r="M59" s="129"/>
    </row>
    <row r="60" spans="1:15" ht="15" hidden="1" customHeight="1" x14ac:dyDescent="0.25">
      <c r="B60" s="130"/>
      <c r="M60" s="129"/>
    </row>
    <row r="61" spans="1:15" ht="15" hidden="1" customHeight="1" x14ac:dyDescent="0.25">
      <c r="B61" s="130"/>
      <c r="M61" s="129"/>
    </row>
    <row r="62" spans="1:15" ht="15" hidden="1" customHeight="1" x14ac:dyDescent="0.25">
      <c r="B62" s="130"/>
      <c r="M62" s="129"/>
    </row>
    <row r="63" spans="1:15" ht="15" hidden="1" customHeight="1" x14ac:dyDescent="0.25">
      <c r="B63" s="130"/>
      <c r="M63" s="129"/>
    </row>
    <row r="64" spans="1:15" ht="15" hidden="1" customHeight="1" x14ac:dyDescent="0.25">
      <c r="B64" s="130"/>
      <c r="M64" s="129"/>
    </row>
    <row r="65" spans="2:13" ht="15" hidden="1" customHeight="1" x14ac:dyDescent="0.25">
      <c r="B65" s="130"/>
      <c r="M65" s="129"/>
    </row>
    <row r="66" spans="2:13" ht="15" hidden="1" customHeight="1" x14ac:dyDescent="0.25">
      <c r="B66" s="130"/>
      <c r="M66" s="129"/>
    </row>
    <row r="67" spans="2:13" ht="15" hidden="1" customHeight="1" x14ac:dyDescent="0.25">
      <c r="B67" s="130"/>
      <c r="M67" s="129"/>
    </row>
    <row r="68" spans="2:13" ht="15" hidden="1" customHeight="1" x14ac:dyDescent="0.25">
      <c r="B68" s="130"/>
      <c r="M68" s="129"/>
    </row>
    <row r="69" spans="2:13" ht="15" hidden="1" customHeight="1" x14ac:dyDescent="0.25">
      <c r="B69" s="130"/>
      <c r="M69" s="129"/>
    </row>
    <row r="70" spans="2:13" ht="15" hidden="1" customHeight="1" x14ac:dyDescent="0.25">
      <c r="B70" s="130"/>
      <c r="M70" s="129"/>
    </row>
    <row r="71" spans="2:13" ht="15" hidden="1" customHeight="1" x14ac:dyDescent="0.25">
      <c r="B71" s="130"/>
      <c r="M71" s="129"/>
    </row>
    <row r="72" spans="2:13" ht="15" hidden="1" customHeight="1" x14ac:dyDescent="0.25">
      <c r="B72" s="130"/>
      <c r="M72" s="129"/>
    </row>
    <row r="73" spans="2:13" ht="15" hidden="1" customHeight="1" x14ac:dyDescent="0.25">
      <c r="B73" s="130"/>
      <c r="M73" s="129"/>
    </row>
    <row r="74" spans="2:13" ht="15" hidden="1" customHeight="1" x14ac:dyDescent="0.25">
      <c r="B74" s="130"/>
      <c r="M74" s="129"/>
    </row>
    <row r="75" spans="2:13" ht="15" hidden="1" customHeight="1" x14ac:dyDescent="0.25">
      <c r="B75" s="130"/>
      <c r="M75" s="129"/>
    </row>
    <row r="76" spans="2:13" ht="15" hidden="1" customHeight="1" x14ac:dyDescent="0.25">
      <c r="B76" s="130"/>
      <c r="M76" s="129"/>
    </row>
    <row r="77" spans="2:13" ht="15" hidden="1" customHeight="1" x14ac:dyDescent="0.25">
      <c r="B77" s="130"/>
      <c r="M77" s="129"/>
    </row>
    <row r="78" spans="2:13" ht="15" hidden="1" customHeight="1" x14ac:dyDescent="0.25">
      <c r="B78" s="130"/>
      <c r="M78" s="129"/>
    </row>
    <row r="79" spans="2:13" ht="15" hidden="1" customHeight="1" x14ac:dyDescent="0.25">
      <c r="B79" s="130"/>
      <c r="M79" s="129"/>
    </row>
    <row r="80" spans="2:13" ht="15" hidden="1" customHeight="1" x14ac:dyDescent="0.25">
      <c r="B80" s="130"/>
      <c r="M80" s="129"/>
    </row>
    <row r="81" spans="2:13" ht="15" hidden="1" customHeight="1" x14ac:dyDescent="0.25">
      <c r="B81" s="130"/>
      <c r="M81" s="129"/>
    </row>
    <row r="82" spans="2:13" ht="15" hidden="1" customHeight="1" x14ac:dyDescent="0.25">
      <c r="B82" s="130"/>
      <c r="M82" s="129"/>
    </row>
    <row r="83" spans="2:13" ht="15" hidden="1" customHeight="1" x14ac:dyDescent="0.25">
      <c r="B83" s="130"/>
      <c r="M83" s="129"/>
    </row>
    <row r="84" spans="2:13" ht="15" hidden="1" customHeight="1" x14ac:dyDescent="0.25">
      <c r="B84" s="130"/>
      <c r="M84" s="129"/>
    </row>
    <row r="85" spans="2:13" ht="15" hidden="1" customHeight="1" x14ac:dyDescent="0.25">
      <c r="B85" s="130"/>
      <c r="M85" s="129"/>
    </row>
    <row r="86" spans="2:13" ht="15" hidden="1" customHeight="1" x14ac:dyDescent="0.25">
      <c r="B86" s="130"/>
      <c r="M86" s="129"/>
    </row>
    <row r="87" spans="2:13" ht="15" customHeight="1" x14ac:dyDescent="0.25"/>
  </sheetData>
  <mergeCells count="7">
    <mergeCell ref="D50:F50"/>
    <mergeCell ref="A6:A9"/>
    <mergeCell ref="L6:N6"/>
    <mergeCell ref="O12:O17"/>
    <mergeCell ref="O24:O29"/>
    <mergeCell ref="O38:O39"/>
    <mergeCell ref="O7:O9"/>
  </mergeCells>
  <phoneticPr fontId="0" type="noConversion"/>
  <conditionalFormatting sqref="C47:H47 D49">
    <cfRule type="cellIs" dxfId="125" priority="69" stopIfTrue="1" operator="notBetween">
      <formula>-1</formula>
      <formula>1</formula>
    </cfRule>
  </conditionalFormatting>
  <conditionalFormatting sqref="C40:J40">
    <cfRule type="cellIs" dxfId="124" priority="70" stopIfTrue="1" operator="lessThan">
      <formula>0</formula>
    </cfRule>
  </conditionalFormatting>
  <conditionalFormatting sqref="C12:I12">
    <cfRule type="expression" dxfId="123" priority="76" stopIfTrue="1">
      <formula>IF(AND(C$12&gt;C$11),SUM(C$11-C$12)&lt;-0.1)</formula>
    </cfRule>
  </conditionalFormatting>
  <conditionalFormatting sqref="C14:I14">
    <cfRule type="expression" dxfId="122" priority="80" stopIfTrue="1">
      <formula>IF(AND(C$14&gt;C$13),SUM(C$13-C$14)&lt;-0.1)</formula>
    </cfRule>
  </conditionalFormatting>
  <conditionalFormatting sqref="C16:I16">
    <cfRule type="expression" dxfId="121" priority="82" stopIfTrue="1">
      <formula>IF(AND(C$16&gt;C$15),SUM(C$15-C$16)&lt;-0.1)</formula>
    </cfRule>
  </conditionalFormatting>
  <conditionalFormatting sqref="C11:I22 C36:I39 C24:I34">
    <cfRule type="cellIs" dxfId="120" priority="87" stopIfTrue="1" operator="lessThan">
      <formula>-1</formula>
    </cfRule>
  </conditionalFormatting>
  <conditionalFormatting sqref="C25:I27">
    <cfRule type="expression" dxfId="119" priority="89" stopIfTrue="1">
      <formula>IF(AND(SUM(C$25:C$27)&gt;C$24),SUM(C$24-C$25-C$26-C$27)&lt;-0.1)</formula>
    </cfRule>
  </conditionalFormatting>
  <conditionalFormatting sqref="C30:I30">
    <cfRule type="expression" dxfId="118" priority="91" stopIfTrue="1">
      <formula>IF(AND(C$30&gt;C$29),SUM(C$29-C$30)&lt;-0.1)</formula>
    </cfRule>
  </conditionalFormatting>
  <conditionalFormatting sqref="C19:I21">
    <cfRule type="expression" dxfId="117" priority="135" stopIfTrue="1">
      <formula>IF(AND(SUM(C$19:C$21)&gt;C$18),SUM(C$18-C$19-C$20-C$21)&lt;-0.1)</formula>
    </cfRule>
  </conditionalFormatting>
  <conditionalFormatting sqref="P10:P42">
    <cfRule type="cellIs" dxfId="116" priority="21" stopIfTrue="1" operator="equal">
      <formula>"Förändring"</formula>
    </cfRule>
    <cfRule type="cellIs" dxfId="115" priority="31" stopIfTrue="1" operator="notEqual">
      <formula>"Förändring"</formula>
    </cfRule>
  </conditionalFormatting>
  <conditionalFormatting sqref="L49">
    <cfRule type="expression" dxfId="114" priority="25" stopIfTrue="1">
      <formula>ABS(J49)&lt;1</formula>
    </cfRule>
  </conditionalFormatting>
  <conditionalFormatting sqref="N10:N40">
    <cfRule type="expression" dxfId="113" priority="19" stopIfTrue="1">
      <formula>P10="Kommentera"</formula>
    </cfRule>
  </conditionalFormatting>
  <conditionalFormatting sqref="C33:I33">
    <cfRule type="expression" dxfId="112" priority="15" stopIfTrue="1">
      <formula>IF(AND(C$33&gt;C$32),SUM(C$32-C$33)&lt;-0.1)</formula>
    </cfRule>
  </conditionalFormatting>
  <conditionalFormatting sqref="C31:I31">
    <cfRule type="expression" dxfId="111" priority="13">
      <formula>IF(AND(C$31&gt;C$30),SUM(C$30-C$31)&lt;-0.1)</formula>
    </cfRule>
  </conditionalFormatting>
  <conditionalFormatting sqref="J49:J50">
    <cfRule type="expression" dxfId="110" priority="8">
      <formula>ABS(J49-J42)&gt;1</formula>
    </cfRule>
  </conditionalFormatting>
  <conditionalFormatting sqref="I50">
    <cfRule type="expression" dxfId="109" priority="7">
      <formula>ABS(J49-J42)&gt;1</formula>
    </cfRule>
  </conditionalFormatting>
  <conditionalFormatting sqref="B47">
    <cfRule type="expression" dxfId="108" priority="1">
      <formula>ABS(H47)&gt;1</formula>
    </cfRule>
    <cfRule type="expression" dxfId="107" priority="2">
      <formula>ABS(G47)&gt;1</formula>
    </cfRule>
    <cfRule type="expression" dxfId="106" priority="3">
      <formula>ABS(F47)&gt;1</formula>
    </cfRule>
    <cfRule type="expression" dxfId="105" priority="4">
      <formula>ABS(E47)&gt;1</formula>
    </cfRule>
    <cfRule type="expression" dxfId="104" priority="5">
      <formula>ABS(D47)&gt;1</formula>
    </cfRule>
    <cfRule type="expression" dxfId="103" priority="6">
      <formula>ABS(C47)&gt;1</formula>
    </cfRule>
  </conditionalFormatting>
  <dataValidations count="1">
    <dataValidation type="decimal" allowBlank="1" showErrorMessage="1" error="Endast tal får anges!" sqref="J41:K45 C10:L40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  <rowBreaks count="1" manualBreakCount="1">
    <brk id="51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IV60"/>
  <sheetViews>
    <sheetView zoomScaleNormal="100" zoomScalePageLayoutView="80" workbookViewId="0"/>
  </sheetViews>
  <sheetFormatPr defaultColWidth="0" defaultRowHeight="15" customHeight="1" zeroHeight="1" x14ac:dyDescent="0.25"/>
  <cols>
    <col min="1" max="1" width="10.54296875" style="129" customWidth="1"/>
    <col min="2" max="2" width="49.453125" style="129" bestFit="1" customWidth="1"/>
    <col min="3" max="3" width="11.54296875" style="129" customWidth="1"/>
    <col min="4" max="4" width="11.453125" style="129" customWidth="1"/>
    <col min="5" max="5" width="11.54296875" style="129" customWidth="1"/>
    <col min="6" max="6" width="10" style="129" customWidth="1"/>
    <col min="7" max="7" width="12.54296875" style="129" customWidth="1"/>
    <col min="8" max="8" width="10.453125" style="129" customWidth="1"/>
    <col min="9" max="9" width="18.453125" style="129" bestFit="1" customWidth="1"/>
    <col min="10" max="10" width="10.54296875" style="129" customWidth="1"/>
    <col min="11" max="11" width="12.453125" style="129" customWidth="1"/>
    <col min="12" max="12" width="10.54296875" style="129" customWidth="1"/>
    <col min="13" max="13" width="4.54296875" style="129" customWidth="1"/>
    <col min="14" max="14" width="18.453125" style="132" customWidth="1"/>
    <col min="15" max="15" width="9.54296875" style="129" customWidth="1"/>
    <col min="16" max="16" width="9.54296875" style="133" customWidth="1"/>
    <col min="17" max="17" width="3.453125" style="133" customWidth="1"/>
    <col min="18" max="18" width="15.453125" style="133" customWidth="1"/>
    <col min="19" max="19" width="10.54296875" style="129" customWidth="1"/>
    <col min="20" max="20" width="10.54296875" style="140" customWidth="1"/>
    <col min="21" max="21" width="10.453125" style="129" customWidth="1"/>
    <col min="22" max="22" width="35.453125" style="129" customWidth="1"/>
    <col min="23" max="23" width="43.54296875" style="129" customWidth="1"/>
    <col min="24" max="24" width="13.54296875" style="129" customWidth="1"/>
    <col min="25" max="25" width="8.54296875" style="129" hidden="1" customWidth="1"/>
    <col min="26" max="254" width="9.453125" style="129" hidden="1" customWidth="1"/>
    <col min="255" max="255" width="2.453125" style="129" hidden="1" customWidth="1"/>
    <col min="256" max="256" width="0" style="129" hidden="1" customWidth="1"/>
    <col min="257" max="16384" width="4" style="129" hidden="1"/>
  </cols>
  <sheetData>
    <row r="1" spans="1:256" ht="24" customHeight="1" x14ac:dyDescent="0.4">
      <c r="A1" s="2" t="s">
        <v>350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4" customHeight="1" x14ac:dyDescent="0.25">
      <c r="A2" s="551"/>
      <c r="B2" s="141"/>
      <c r="C2" s="861"/>
      <c r="D2" s="129" t="s">
        <v>473</v>
      </c>
      <c r="E2" s="802"/>
      <c r="F2" s="129" t="s">
        <v>514</v>
      </c>
      <c r="H2" s="142"/>
      <c r="I2" s="798" t="s">
        <v>516</v>
      </c>
      <c r="J2" s="141"/>
      <c r="K2" s="141"/>
      <c r="L2" s="141"/>
      <c r="M2" s="141"/>
      <c r="N2" s="141"/>
      <c r="T2" s="129"/>
    </row>
    <row r="3" spans="1:256" ht="13.4" customHeight="1" x14ac:dyDescent="0.25">
      <c r="A3" s="142"/>
      <c r="B3" s="142"/>
      <c r="C3" s="803"/>
      <c r="D3" s="705" t="s">
        <v>461</v>
      </c>
      <c r="E3" s="799"/>
      <c r="F3" s="142" t="s">
        <v>515</v>
      </c>
      <c r="G3" s="142"/>
      <c r="I3" s="142"/>
      <c r="J3" s="142"/>
      <c r="K3" s="142"/>
      <c r="L3" s="142"/>
      <c r="M3" s="142"/>
      <c r="N3" s="141"/>
      <c r="T3" s="129"/>
    </row>
    <row r="4" spans="1:256" ht="18.75" customHeight="1" x14ac:dyDescent="0.4">
      <c r="A4" s="147"/>
      <c r="C4" s="923"/>
      <c r="T4" s="129"/>
    </row>
    <row r="5" spans="1:256" s="508" customFormat="1" ht="15.75" customHeight="1" thickBot="1" x14ac:dyDescent="0.3">
      <c r="A5" s="509" t="s">
        <v>228</v>
      </c>
      <c r="B5" s="509" t="s">
        <v>248</v>
      </c>
      <c r="C5" s="509" t="s">
        <v>238</v>
      </c>
      <c r="D5" s="509" t="s">
        <v>239</v>
      </c>
      <c r="E5" s="509" t="s">
        <v>240</v>
      </c>
      <c r="F5" s="509" t="s">
        <v>249</v>
      </c>
      <c r="G5" s="509" t="s">
        <v>250</v>
      </c>
      <c r="H5" s="509" t="s">
        <v>251</v>
      </c>
      <c r="I5" s="509" t="s">
        <v>252</v>
      </c>
      <c r="J5" s="509" t="s">
        <v>253</v>
      </c>
      <c r="K5" s="509" t="s">
        <v>254</v>
      </c>
      <c r="L5" s="509" t="s">
        <v>255</v>
      </c>
      <c r="M5" s="509"/>
      <c r="N5" s="510"/>
      <c r="O5" s="509"/>
      <c r="P5" s="511" t="s">
        <v>273</v>
      </c>
      <c r="Q5" s="511"/>
      <c r="R5" s="511" t="s">
        <v>337</v>
      </c>
      <c r="S5" s="509" t="s">
        <v>256</v>
      </c>
      <c r="V5" s="502" t="str">
        <f>IF(COUNTIF(C11:K40, "&lt;0")&gt;0, "Minusbelopp förekommer, var vänlig kommentera!", "")</f>
        <v/>
      </c>
      <c r="X5" s="753"/>
    </row>
    <row r="6" spans="1:256" s="130" customFormat="1" ht="15" customHeight="1" thickTop="1" x14ac:dyDescent="0.3">
      <c r="A6" s="994" t="s">
        <v>289</v>
      </c>
      <c r="B6" s="42" t="s">
        <v>32</v>
      </c>
      <c r="C6" s="909" t="s">
        <v>454</v>
      </c>
      <c r="D6" s="909" t="s">
        <v>415</v>
      </c>
      <c r="E6" s="44" t="s">
        <v>28</v>
      </c>
      <c r="F6" s="44" t="s">
        <v>29</v>
      </c>
      <c r="G6" s="44" t="s">
        <v>136</v>
      </c>
      <c r="H6" s="44" t="s">
        <v>126</v>
      </c>
      <c r="I6" s="44" t="s">
        <v>503</v>
      </c>
      <c r="J6" s="44" t="s">
        <v>129</v>
      </c>
      <c r="K6" s="44" t="s">
        <v>307</v>
      </c>
      <c r="L6" s="56" t="s">
        <v>313</v>
      </c>
      <c r="N6" s="62" t="s">
        <v>175</v>
      </c>
      <c r="O6" s="63" t="s">
        <v>175</v>
      </c>
      <c r="P6" s="1004" t="s">
        <v>311</v>
      </c>
      <c r="Q6" s="148"/>
      <c r="R6" s="649" t="s">
        <v>394</v>
      </c>
      <c r="S6" s="1007" t="s">
        <v>392</v>
      </c>
      <c r="T6" s="998"/>
      <c r="U6" s="999"/>
      <c r="V6" s="44" t="s">
        <v>589</v>
      </c>
      <c r="W6" s="940" t="s">
        <v>398</v>
      </c>
      <c r="X6" s="750" t="s">
        <v>480</v>
      </c>
    </row>
    <row r="7" spans="1:256" s="130" customFormat="1" ht="16.5" customHeight="1" x14ac:dyDescent="0.25">
      <c r="A7" s="995"/>
      <c r="B7" s="11"/>
      <c r="C7" s="910" t="s">
        <v>527</v>
      </c>
      <c r="D7" s="910" t="s">
        <v>26</v>
      </c>
      <c r="E7" s="6" t="s">
        <v>455</v>
      </c>
      <c r="F7" s="6" t="s">
        <v>22</v>
      </c>
      <c r="G7" s="6"/>
      <c r="H7" s="6"/>
      <c r="I7" s="6" t="s">
        <v>505</v>
      </c>
      <c r="J7" s="6" t="s">
        <v>128</v>
      </c>
      <c r="K7" s="6" t="s">
        <v>309</v>
      </c>
      <c r="L7" s="57" t="s">
        <v>315</v>
      </c>
      <c r="N7" s="64" t="s">
        <v>176</v>
      </c>
      <c r="O7" s="22" t="s">
        <v>176</v>
      </c>
      <c r="P7" s="1005"/>
      <c r="Q7" s="149"/>
      <c r="R7" s="650" t="s">
        <v>393</v>
      </c>
      <c r="S7" s="648">
        <f>År</f>
        <v>2024</v>
      </c>
      <c r="T7" s="103">
        <f>År-1</f>
        <v>2023</v>
      </c>
      <c r="U7" s="22" t="s">
        <v>276</v>
      </c>
      <c r="V7" s="1008"/>
      <c r="W7" s="749"/>
      <c r="X7" s="750" t="s">
        <v>176</v>
      </c>
    </row>
    <row r="8" spans="1:256" s="130" customFormat="1" ht="14.25" customHeight="1" x14ac:dyDescent="0.25">
      <c r="A8" s="995"/>
      <c r="B8" s="11"/>
      <c r="C8" s="911" t="s">
        <v>397</v>
      </c>
      <c r="D8" s="910" t="s">
        <v>530</v>
      </c>
      <c r="E8" s="6"/>
      <c r="F8" s="6"/>
      <c r="G8" s="6"/>
      <c r="H8" s="6" t="s">
        <v>388</v>
      </c>
      <c r="I8" s="6" t="s">
        <v>504</v>
      </c>
      <c r="J8" s="6" t="s">
        <v>41</v>
      </c>
      <c r="K8" s="6" t="s">
        <v>308</v>
      </c>
      <c r="L8" s="57"/>
      <c r="N8" s="64" t="s">
        <v>278</v>
      </c>
      <c r="O8" s="22" t="s">
        <v>280</v>
      </c>
      <c r="P8" s="1005"/>
      <c r="Q8" s="149"/>
      <c r="R8" s="64"/>
      <c r="S8" s="22"/>
      <c r="T8" s="6"/>
      <c r="U8" s="22" t="s">
        <v>277</v>
      </c>
      <c r="V8" s="1009"/>
      <c r="W8" s="340"/>
      <c r="X8" s="1002"/>
    </row>
    <row r="9" spans="1:256" s="130" customFormat="1" ht="17.25" customHeight="1" x14ac:dyDescent="0.25">
      <c r="A9" s="995"/>
      <c r="B9" s="11"/>
      <c r="C9" s="556" t="s">
        <v>528</v>
      </c>
      <c r="D9" s="556" t="s">
        <v>531</v>
      </c>
      <c r="E9" s="36" t="s">
        <v>384</v>
      </c>
      <c r="F9" s="647" t="s">
        <v>385</v>
      </c>
      <c r="G9" s="36" t="s">
        <v>386</v>
      </c>
      <c r="H9" s="36" t="s">
        <v>127</v>
      </c>
      <c r="I9" s="6" t="s">
        <v>405</v>
      </c>
      <c r="J9" s="6" t="s">
        <v>414</v>
      </c>
      <c r="K9" s="6" t="s">
        <v>319</v>
      </c>
      <c r="L9" s="57"/>
      <c r="N9" s="64" t="s">
        <v>279</v>
      </c>
      <c r="O9" s="22"/>
      <c r="P9" s="1005"/>
      <c r="Q9" s="149"/>
      <c r="R9" s="64"/>
      <c r="S9" s="22"/>
      <c r="T9" s="6"/>
      <c r="U9" s="22"/>
      <c r="V9" s="1009"/>
      <c r="W9" s="340"/>
      <c r="X9" s="1003"/>
    </row>
    <row r="10" spans="1:256" s="130" customFormat="1" ht="20.25" customHeight="1" x14ac:dyDescent="0.25">
      <c r="A10" s="996"/>
      <c r="B10" s="10"/>
      <c r="C10" s="121" t="s">
        <v>529</v>
      </c>
      <c r="D10" s="121" t="s">
        <v>532</v>
      </c>
      <c r="E10" s="121"/>
      <c r="F10" s="121"/>
      <c r="G10" s="121" t="s">
        <v>387</v>
      </c>
      <c r="H10" s="121" t="s">
        <v>389</v>
      </c>
      <c r="I10" s="36" t="s">
        <v>502</v>
      </c>
      <c r="J10" s="89" t="s">
        <v>166</v>
      </c>
      <c r="K10" s="89" t="s">
        <v>318</v>
      </c>
      <c r="L10" s="58"/>
      <c r="N10" s="65"/>
      <c r="O10" s="5"/>
      <c r="P10" s="1006"/>
      <c r="Q10" s="149"/>
      <c r="R10" s="65"/>
      <c r="S10" s="5"/>
      <c r="T10" s="4"/>
      <c r="U10" s="5"/>
      <c r="V10" s="1010"/>
      <c r="W10" s="588"/>
      <c r="X10" s="564"/>
    </row>
    <row r="11" spans="1:256" ht="15" customHeight="1" x14ac:dyDescent="0.25">
      <c r="A11" s="778" t="s">
        <v>233</v>
      </c>
      <c r="B11" s="38" t="s">
        <v>382</v>
      </c>
      <c r="C11" s="607">
        <f>SUM(C12,C14,C16,C18,C19,C23)</f>
        <v>0</v>
      </c>
      <c r="D11" s="607">
        <f t="shared" ref="D11:K11" si="0">SUM(D12,D14,D16,D18,D19,D23)</f>
        <v>0</v>
      </c>
      <c r="E11" s="607">
        <f t="shared" si="0"/>
        <v>0</v>
      </c>
      <c r="F11" s="607">
        <f t="shared" si="0"/>
        <v>0</v>
      </c>
      <c r="G11" s="607">
        <f t="shared" si="0"/>
        <v>0</v>
      </c>
      <c r="H11" s="607">
        <f t="shared" si="0"/>
        <v>0</v>
      </c>
      <c r="I11" s="607">
        <f t="shared" si="0"/>
        <v>0</v>
      </c>
      <c r="J11" s="607">
        <f t="shared" si="0"/>
        <v>0</v>
      </c>
      <c r="K11" s="591">
        <f t="shared" si="0"/>
        <v>0</v>
      </c>
      <c r="L11" s="592">
        <f>SUM(C11:K11)</f>
        <v>0</v>
      </c>
      <c r="M11" s="137"/>
      <c r="N11" s="601">
        <f>SUM(N12,N14,N16,N18,N19,N23)</f>
        <v>0</v>
      </c>
      <c r="O11" s="614">
        <f>SUM(O12,O14,O16,O18,O19,O23)</f>
        <v>0</v>
      </c>
      <c r="P11" s="299">
        <f t="shared" ref="P11:P41" si="1">N11-O11</f>
        <v>0</v>
      </c>
      <c r="R11" s="615">
        <f>R12+R14+R16+R18+R19+R23</f>
        <v>0</v>
      </c>
      <c r="S11" s="616">
        <f>SUM(S12,S14,S16,S18,S19,S23)</f>
        <v>0</v>
      </c>
      <c r="T11" s="70"/>
      <c r="U11" s="721" t="str">
        <f>IF(T11=0,"0%",(S11-T11)/T11)</f>
        <v>0%</v>
      </c>
      <c r="V11" s="159"/>
      <c r="W11" s="975" t="str">
        <f>IF(OR(MAX(P11:P41)&gt;5,MIN(P11:P41)&lt;-5),
            "Det finns differenser i kolumn P, som måste åtgärdas","")</f>
        <v/>
      </c>
      <c r="X11" s="751">
        <f>L11-E11-F11-'2. Drift.  intäkter'!I10</f>
        <v>0</v>
      </c>
      <c r="Y11" s="131">
        <f>IF(ABS(U11)&gt;8%,S11-T11,1)</f>
        <v>1</v>
      </c>
    </row>
    <row r="12" spans="1:256" ht="15" customHeight="1" x14ac:dyDescent="0.25">
      <c r="A12" s="46" t="s">
        <v>179</v>
      </c>
      <c r="B12" s="18" t="s">
        <v>40</v>
      </c>
      <c r="C12" s="71"/>
      <c r="D12" s="72"/>
      <c r="E12" s="72"/>
      <c r="F12" s="72"/>
      <c r="G12" s="72"/>
      <c r="H12" s="72"/>
      <c r="I12" s="72"/>
      <c r="J12" s="72"/>
      <c r="K12" s="341"/>
      <c r="L12" s="593">
        <f>SUM(C12:K12)</f>
        <v>0</v>
      </c>
      <c r="M12" s="131"/>
      <c r="N12" s="602">
        <f>L12-'2. Drift.  intäkter'!J11</f>
        <v>0</v>
      </c>
      <c r="O12" s="392">
        <f>'1. Nettokostnader'!C11</f>
        <v>0</v>
      </c>
      <c r="P12" s="299">
        <f t="shared" si="1"/>
        <v>0</v>
      </c>
      <c r="R12" s="617">
        <f>L12-'2. Drift.  intäkter'!I11-'8. Motp förs.'!D10-'8. Motp förs.'!F10-'8. Motp förs.'!G10</f>
        <v>0</v>
      </c>
      <c r="S12" s="618">
        <f>L12-J12-K12</f>
        <v>0</v>
      </c>
      <c r="T12" s="21"/>
      <c r="U12" s="722" t="str">
        <f t="shared" ref="U12:U41" si="2">IF(T12=0,"0%",(S12-T12)/T12)</f>
        <v>0%</v>
      </c>
      <c r="V12" s="159" t="s">
        <v>294</v>
      </c>
      <c r="W12" s="975" t="str">
        <f>IF(AND(2000000&lt;'1. Nettokostnader'!$P$6,ABS(Y12)&gt;100),"Förändring",(IF(AND(1000000&lt;'1. Nettokostnader'!$P$6,'1. Nettokostnader'!$P$6&lt;2000000,ABS(Y12)&gt;70),"Förändring",(IF(AND(330000&lt;'1. Nettokostnader'!$P$6,'1. Nettokostnader'!$P$6&lt;1000000,ABS(Y12)&gt;50),"Förändring",(IF(AND(200000&lt;'1. Nettokostnader'!$P$6,'1. Nettokostnader'!$P$6&lt;330000,ABS(Y12)&gt;30),"Förändring",(IF(AND('1. Nettokostnader'!$P$6&lt;200000,ABS(Y12)&gt;10),"Förändring",(IF(S12=0,"",IF(T12=0,"",(S12-T12)/T12))))))))))))</f>
        <v/>
      </c>
      <c r="X12" s="751">
        <f>L12-E12-F12-'2. Drift.  intäkter'!I11</f>
        <v>0</v>
      </c>
      <c r="Y12" s="131">
        <f t="shared" ref="Y12:Y41" si="3">IF(ABS(U12)&gt;8%,S12-T12,1)</f>
        <v>1</v>
      </c>
    </row>
    <row r="13" spans="1:256" ht="15" customHeight="1" x14ac:dyDescent="0.25">
      <c r="A13" s="46" t="s">
        <v>141</v>
      </c>
      <c r="B13" s="18" t="s">
        <v>123</v>
      </c>
      <c r="C13" s="35"/>
      <c r="D13" s="35"/>
      <c r="E13" s="35"/>
      <c r="F13" s="35"/>
      <c r="G13" s="35"/>
      <c r="H13" s="35"/>
      <c r="I13" s="35"/>
      <c r="J13" s="72"/>
      <c r="K13" s="341"/>
      <c r="L13" s="593">
        <f t="shared" ref="L13:L23" si="4">SUM(C13:K13)</f>
        <v>0</v>
      </c>
      <c r="M13" s="131"/>
      <c r="N13" s="602">
        <f>L13-'2. Drift.  intäkter'!J12</f>
        <v>0</v>
      </c>
      <c r="O13" s="392">
        <f>'1. Nettokostnader'!C18</f>
        <v>0</v>
      </c>
      <c r="P13" s="299">
        <f t="shared" si="1"/>
        <v>0</v>
      </c>
      <c r="R13" s="617">
        <f>L13-'2. Drift.  intäkter'!I12-'8. Motp förs.'!D17-'8. Motp förs.'!F17-'8. Motp förs.'!G17</f>
        <v>0</v>
      </c>
      <c r="S13" s="618">
        <f t="shared" ref="S13:S40" si="5">L13-J13-K13</f>
        <v>0</v>
      </c>
      <c r="T13" s="21"/>
      <c r="U13" s="722" t="str">
        <f t="shared" si="2"/>
        <v>0%</v>
      </c>
      <c r="V13" s="989"/>
      <c r="W13" s="975" t="str">
        <f>IF(AND(2000000&lt;'1. Nettokostnader'!$P$6,ABS(Y13)&gt;100),"Förändring",(IF(AND(1000000&lt;'1. Nettokostnader'!$P$6,'1. Nettokostnader'!$P$6&lt;2000000,ABS(Y13)&gt;70),"Förändring",(IF(AND(330000&lt;'1. Nettokostnader'!$P$6,'1. Nettokostnader'!$P$6&lt;1000000,ABS(Y13)&gt;50),"Förändring",(IF(AND(200000&lt;'1. Nettokostnader'!$P$6,'1. Nettokostnader'!$P$6&lt;330000,ABS(Y13)&gt;30),"Förändring",(IF(AND('1. Nettokostnader'!$P$6&lt;200000,ABS(Y13)&gt;10),"Förändring",(IF(S13=0,"",IF(T13=0,"",(S13-T13)/T13))))))))))))</f>
        <v/>
      </c>
      <c r="X13" s="751">
        <f>L13-E13-F13-'2. Drift.  intäkter'!I12</f>
        <v>0</v>
      </c>
      <c r="Y13" s="131">
        <f t="shared" si="3"/>
        <v>1</v>
      </c>
    </row>
    <row r="14" spans="1:256" ht="15" customHeight="1" x14ac:dyDescent="0.25">
      <c r="A14" s="46" t="s">
        <v>180</v>
      </c>
      <c r="B14" s="18" t="s">
        <v>2</v>
      </c>
      <c r="C14" s="35"/>
      <c r="D14" s="74"/>
      <c r="E14" s="74"/>
      <c r="F14" s="74"/>
      <c r="G14" s="74"/>
      <c r="H14" s="74"/>
      <c r="I14" s="74"/>
      <c r="J14" s="72"/>
      <c r="K14" s="341"/>
      <c r="L14" s="593">
        <f t="shared" si="4"/>
        <v>0</v>
      </c>
      <c r="M14" s="131"/>
      <c r="N14" s="602">
        <f>L14-'2. Drift.  intäkter'!J13</f>
        <v>0</v>
      </c>
      <c r="O14" s="392">
        <f>'1. Nettokostnader'!C22</f>
        <v>0</v>
      </c>
      <c r="P14" s="299">
        <f t="shared" si="1"/>
        <v>0</v>
      </c>
      <c r="R14" s="617">
        <f>L14-'2. Drift.  intäkter'!I13-'8. Motp förs.'!D19-'8. Motp förs.'!F19-'8. Motp förs.'!G19</f>
        <v>0</v>
      </c>
      <c r="S14" s="618">
        <f>L14-J14-K14</f>
        <v>0</v>
      </c>
      <c r="T14" s="21"/>
      <c r="U14" s="722" t="str">
        <f t="shared" si="2"/>
        <v>0%</v>
      </c>
      <c r="V14" s="990"/>
      <c r="W14" s="975" t="str">
        <f>IF(AND(2000000&lt;'1. Nettokostnader'!$P$6,ABS(Y14)&gt;100),"Förändring",(IF(AND(1000000&lt;'1. Nettokostnader'!$P$6,'1. Nettokostnader'!$P$6&lt;2000000,ABS(Y14)&gt;70),"Förändring",(IF(AND(330000&lt;'1. Nettokostnader'!$P$6,'1. Nettokostnader'!$P$6&lt;1000000,ABS(Y14)&gt;50),"Förändring",(IF(AND(200000&lt;'1. Nettokostnader'!$P$6,'1. Nettokostnader'!$P$6&lt;330000,ABS(Y14)&gt;30),"Förändring",(IF(AND('1. Nettokostnader'!$P$6&lt;200000,ABS(Y14)&gt;10),"Förändring",(IF(S14=0,"",IF(T14=0,"",(S14-T14)/T14))))))))))))</f>
        <v/>
      </c>
      <c r="X14" s="751">
        <f>L14-E14-F14-'2. Drift.  intäkter'!I13</f>
        <v>0</v>
      </c>
      <c r="Y14" s="131">
        <f t="shared" si="3"/>
        <v>1</v>
      </c>
    </row>
    <row r="15" spans="1:256" ht="15" customHeight="1" x14ac:dyDescent="0.25">
      <c r="A15" s="46" t="s">
        <v>187</v>
      </c>
      <c r="B15" s="18" t="s">
        <v>124</v>
      </c>
      <c r="C15" s="35"/>
      <c r="D15" s="35"/>
      <c r="E15" s="35"/>
      <c r="F15" s="35"/>
      <c r="G15" s="35"/>
      <c r="H15" s="35"/>
      <c r="I15" s="35"/>
      <c r="J15" s="35"/>
      <c r="K15" s="341"/>
      <c r="L15" s="593">
        <f t="shared" si="4"/>
        <v>0</v>
      </c>
      <c r="M15" s="131"/>
      <c r="N15" s="602">
        <f>L15-'2. Drift.  intäkter'!J14</f>
        <v>0</v>
      </c>
      <c r="O15" s="392">
        <f>'1. Nettokostnader'!C26</f>
        <v>0</v>
      </c>
      <c r="P15" s="299">
        <f t="shared" si="1"/>
        <v>0</v>
      </c>
      <c r="R15" s="617">
        <f>L15-'2. Drift.  intäkter'!I14-'8. Motp förs.'!D23-'8. Motp förs.'!F23-'8. Motp förs.'!G23</f>
        <v>0</v>
      </c>
      <c r="S15" s="618">
        <f t="shared" si="5"/>
        <v>0</v>
      </c>
      <c r="T15" s="21"/>
      <c r="U15" s="722" t="str">
        <f t="shared" si="2"/>
        <v>0%</v>
      </c>
      <c r="V15" s="990"/>
      <c r="W15" s="975" t="str">
        <f>IF(AND(2000000&lt;'1. Nettokostnader'!$P$6,ABS(Y15)&gt;100),"Förändring",(IF(AND(1000000&lt;'1. Nettokostnader'!$P$6,'1. Nettokostnader'!$P$6&lt;2000000,ABS(Y15)&gt;70),"Förändring",(IF(AND(330000&lt;'1. Nettokostnader'!$P$6,'1. Nettokostnader'!$P$6&lt;1000000,ABS(Y15)&gt;50),"Förändring",(IF(AND(200000&lt;'1. Nettokostnader'!$P$6,'1. Nettokostnader'!$P$6&lt;330000,ABS(Y15)&gt;30),"Förändring",(IF(AND('1. Nettokostnader'!$P$6&lt;200000,ABS(Y15)&gt;10),"Förändring",(IF(S15=0,"",IF(T15=0,"",(S15-T15)/T15))))))))))))</f>
        <v/>
      </c>
      <c r="X15" s="751">
        <f>L15-E15-F15-'2. Drift.  intäkter'!I14</f>
        <v>0</v>
      </c>
      <c r="Y15" s="131">
        <f t="shared" si="3"/>
        <v>1</v>
      </c>
    </row>
    <row r="16" spans="1:256" ht="15" customHeight="1" x14ac:dyDescent="0.25">
      <c r="A16" s="46" t="s">
        <v>181</v>
      </c>
      <c r="B16" s="18" t="s">
        <v>3</v>
      </c>
      <c r="C16" s="35"/>
      <c r="D16" s="74"/>
      <c r="E16" s="74"/>
      <c r="F16" s="74"/>
      <c r="G16" s="74"/>
      <c r="H16" s="74"/>
      <c r="I16" s="74"/>
      <c r="J16" s="72"/>
      <c r="K16" s="341"/>
      <c r="L16" s="593">
        <f t="shared" si="4"/>
        <v>0</v>
      </c>
      <c r="M16" s="131"/>
      <c r="N16" s="602">
        <f>L16-'2. Drift.  intäkter'!J15</f>
        <v>0</v>
      </c>
      <c r="O16" s="392">
        <f>'1. Nettokostnader'!C27</f>
        <v>0</v>
      </c>
      <c r="P16" s="299">
        <f t="shared" si="1"/>
        <v>0</v>
      </c>
      <c r="R16" s="617">
        <f>L16-'2. Drift.  intäkter'!I15-'8. Motp förs.'!D24-'8. Motp förs.'!F24</f>
        <v>0</v>
      </c>
      <c r="S16" s="618">
        <f t="shared" si="5"/>
        <v>0</v>
      </c>
      <c r="T16" s="21"/>
      <c r="U16" s="722" t="str">
        <f t="shared" si="2"/>
        <v>0%</v>
      </c>
      <c r="V16" s="990"/>
      <c r="W16" s="975" t="str">
        <f>IF(AND(2000000&lt;'1. Nettokostnader'!$P$6,ABS(Y16)&gt;100),"Förändring",(IF(AND(1000000&lt;'1. Nettokostnader'!$P$6,'1. Nettokostnader'!$P$6&lt;2000000,ABS(Y16)&gt;70),"Förändring",(IF(AND(330000&lt;'1. Nettokostnader'!$P$6,'1. Nettokostnader'!$P$6&lt;1000000,ABS(Y16)&gt;50),"Förändring",(IF(AND(200000&lt;'1. Nettokostnader'!$P$6,'1. Nettokostnader'!$P$6&lt;330000,ABS(Y16)&gt;30),"Förändring",(IF(AND('1. Nettokostnader'!$P$6&lt;200000,ABS(Y16)&gt;10),"Förändring",(IF(S16=0,"",IF(T16=0,"",(S16-T16)/T16))))))))))))</f>
        <v/>
      </c>
      <c r="X16" s="751">
        <f>L16-E16-F16-'2. Drift.  intäkter'!I15</f>
        <v>0</v>
      </c>
      <c r="Y16" s="131">
        <f t="shared" si="3"/>
        <v>1</v>
      </c>
    </row>
    <row r="17" spans="1:25" ht="15" customHeight="1" x14ac:dyDescent="0.25">
      <c r="A17" s="46" t="s">
        <v>191</v>
      </c>
      <c r="B17" s="18" t="s">
        <v>125</v>
      </c>
      <c r="C17" s="35"/>
      <c r="D17" s="35"/>
      <c r="E17" s="35"/>
      <c r="F17" s="35"/>
      <c r="G17" s="35"/>
      <c r="H17" s="35"/>
      <c r="I17" s="35"/>
      <c r="J17" s="72"/>
      <c r="K17" s="341"/>
      <c r="L17" s="593">
        <f t="shared" si="4"/>
        <v>0</v>
      </c>
      <c r="M17" s="131"/>
      <c r="N17" s="602">
        <f>L17-'2. Drift.  intäkter'!J16</f>
        <v>0</v>
      </c>
      <c r="O17" s="392">
        <f>'1. Nettokostnader'!C31</f>
        <v>0</v>
      </c>
      <c r="P17" s="299">
        <f t="shared" si="1"/>
        <v>0</v>
      </c>
      <c r="R17" s="617">
        <f>L17-'2. Drift.  intäkter'!I16-'8. Motp förs.'!D28-'8. Motp förs.'!F28-'8. Motp förs.'!G28</f>
        <v>0</v>
      </c>
      <c r="S17" s="618">
        <f t="shared" si="5"/>
        <v>0</v>
      </c>
      <c r="T17" s="21"/>
      <c r="U17" s="722" t="str">
        <f t="shared" si="2"/>
        <v>0%</v>
      </c>
      <c r="V17" s="990"/>
      <c r="W17" s="975" t="str">
        <f>IF(AND(2000000&lt;'1. Nettokostnader'!$P$6,ABS(Y17)&gt;100),"Förändring",(IF(AND(1000000&lt;'1. Nettokostnader'!$P$6,'1. Nettokostnader'!$P$6&lt;2000000,ABS(Y17)&gt;70),"Förändring",(IF(AND(330000&lt;'1. Nettokostnader'!$P$6,'1. Nettokostnader'!$P$6&lt;1000000,ABS(Y17)&gt;50),"Förändring",(IF(AND(200000&lt;'1. Nettokostnader'!$P$6,'1. Nettokostnader'!$P$6&lt;330000,ABS(Y17)&gt;30),"Förändring",(IF(AND('1. Nettokostnader'!$P$6&lt;200000,ABS(Y17)&gt;10),"Förändring",(IF(S17=0,"",IF(T17=0,"",(S17-T17)/T17))))))))))))</f>
        <v/>
      </c>
      <c r="X17" s="751">
        <f>L17-E17-F17-'2. Drift.  intäkter'!I16</f>
        <v>0</v>
      </c>
      <c r="Y17" s="131">
        <f t="shared" si="3"/>
        <v>1</v>
      </c>
    </row>
    <row r="18" spans="1:25" ht="15" customHeight="1" x14ac:dyDescent="0.25">
      <c r="A18" s="46" t="s">
        <v>182</v>
      </c>
      <c r="B18" s="18" t="s">
        <v>416</v>
      </c>
      <c r="C18" s="35"/>
      <c r="D18" s="74"/>
      <c r="E18" s="74"/>
      <c r="F18" s="74"/>
      <c r="G18" s="74"/>
      <c r="H18" s="74"/>
      <c r="I18" s="74"/>
      <c r="J18" s="72"/>
      <c r="K18" s="341"/>
      <c r="L18" s="593">
        <f t="shared" si="4"/>
        <v>0</v>
      </c>
      <c r="M18" s="131"/>
      <c r="N18" s="602">
        <f>L18-'2. Drift.  intäkter'!J17</f>
        <v>0</v>
      </c>
      <c r="O18" s="392">
        <f>'1. Nettokostnader'!C32</f>
        <v>0</v>
      </c>
      <c r="P18" s="299">
        <f t="shared" si="1"/>
        <v>0</v>
      </c>
      <c r="R18" s="617">
        <f>L18-'2. Drift.  intäkter'!I17-'8. Motp förs.'!D29-'8. Motp förs.'!F29-'8. Motp förs.'!G29</f>
        <v>0</v>
      </c>
      <c r="S18" s="618">
        <f t="shared" si="5"/>
        <v>0</v>
      </c>
      <c r="T18" s="21"/>
      <c r="U18" s="722" t="str">
        <f t="shared" si="2"/>
        <v>0%</v>
      </c>
      <c r="V18" s="991"/>
      <c r="W18" s="975" t="str">
        <f>IF(AND(2000000&lt;'1. Nettokostnader'!$P$6,ABS(Y18)&gt;100),"Förändring",(IF(AND(1000000&lt;'1. Nettokostnader'!$P$6,'1. Nettokostnader'!$P$6&lt;2000000,ABS(Y18)&gt;70),"Förändring",(IF(AND(330000&lt;'1. Nettokostnader'!$P$6,'1. Nettokostnader'!$P$6&lt;1000000,ABS(Y18)&gt;50),"Förändring",(IF(AND(200000&lt;'1. Nettokostnader'!$P$6,'1. Nettokostnader'!$P$6&lt;330000,ABS(Y18)&gt;30),"Förändring",(IF(AND('1. Nettokostnader'!$P$6&lt;200000,ABS(Y18)&gt;10),"Förändring",(IF(S18=0,"",IF(T18=0,"",(S18-T18)/T18))))))))))))</f>
        <v/>
      </c>
      <c r="X18" s="751">
        <f>L18-E18-F18-'2. Drift.  intäkter'!I17</f>
        <v>0</v>
      </c>
      <c r="Y18" s="131">
        <f t="shared" si="3"/>
        <v>1</v>
      </c>
    </row>
    <row r="19" spans="1:25" ht="15" customHeight="1" x14ac:dyDescent="0.25">
      <c r="A19" s="46" t="s">
        <v>183</v>
      </c>
      <c r="B19" s="18" t="s">
        <v>35</v>
      </c>
      <c r="C19" s="35"/>
      <c r="D19" s="74"/>
      <c r="E19" s="74"/>
      <c r="F19" s="74"/>
      <c r="G19" s="74"/>
      <c r="H19" s="74"/>
      <c r="I19" s="74"/>
      <c r="J19" s="72"/>
      <c r="K19" s="341"/>
      <c r="L19" s="593">
        <f t="shared" si="4"/>
        <v>0</v>
      </c>
      <c r="M19" s="131"/>
      <c r="N19" s="602">
        <f>L19-'2. Drift.  intäkter'!J18</f>
        <v>0</v>
      </c>
      <c r="O19" s="392">
        <f>'1. Nettokostnader'!C37</f>
        <v>0</v>
      </c>
      <c r="P19" s="299">
        <f t="shared" si="1"/>
        <v>0</v>
      </c>
      <c r="R19" s="617">
        <f>L19-'2. Drift.  intäkter'!I18-'8. Motp förs.'!D34-'8. Motp förs.'!F34-'8. Motp förs.'!G34</f>
        <v>0</v>
      </c>
      <c r="S19" s="618">
        <f t="shared" si="5"/>
        <v>0</v>
      </c>
      <c r="T19" s="21"/>
      <c r="U19" s="722" t="str">
        <f t="shared" si="2"/>
        <v>0%</v>
      </c>
      <c r="V19" s="159"/>
      <c r="W19" s="975" t="str">
        <f>IF(AND(2000000&lt;'1. Nettokostnader'!$P$6,ABS(Y19)&gt;100),"Förändring",(IF(AND(1000000&lt;'1. Nettokostnader'!$P$6,'1. Nettokostnader'!$P$6&lt;2000000,ABS(Y19)&gt;70),"Förändring",(IF(AND(330000&lt;'1. Nettokostnader'!$P$6,'1. Nettokostnader'!$P$6&lt;1000000,ABS(Y19)&gt;50),"Förändring",(IF(AND(200000&lt;'1. Nettokostnader'!$P$6,'1. Nettokostnader'!$P$6&lt;330000,ABS(Y19)&gt;30),"Förändring",(IF(AND('1. Nettokostnader'!$P$6&lt;200000,ABS(Y19)&gt;10),"Förändring",(IF(S19=0,"",IF(T19=0,"",(S19-T19)/T19))))))))))))</f>
        <v/>
      </c>
      <c r="X19" s="751">
        <f>L19-E19-F19-'2. Drift.  intäkter'!I18</f>
        <v>0</v>
      </c>
      <c r="Y19" s="131">
        <f t="shared" si="3"/>
        <v>1</v>
      </c>
    </row>
    <row r="20" spans="1:25" ht="15" customHeight="1" x14ac:dyDescent="0.25">
      <c r="A20" s="46" t="s">
        <v>198</v>
      </c>
      <c r="B20" s="18" t="s">
        <v>487</v>
      </c>
      <c r="C20" s="35"/>
      <c r="D20" s="35"/>
      <c r="E20" s="35"/>
      <c r="F20" s="35"/>
      <c r="G20" s="35"/>
      <c r="H20" s="35"/>
      <c r="I20" s="35"/>
      <c r="J20" s="72"/>
      <c r="K20" s="341"/>
      <c r="L20" s="593">
        <f t="shared" si="4"/>
        <v>0</v>
      </c>
      <c r="M20" s="131"/>
      <c r="N20" s="602">
        <f>L20-'2. Drift.  intäkter'!J19</f>
        <v>0</v>
      </c>
      <c r="O20" s="392">
        <f>'1. Nettokostnader'!C40</f>
        <v>0</v>
      </c>
      <c r="P20" s="299">
        <f t="shared" si="1"/>
        <v>0</v>
      </c>
      <c r="R20" s="617">
        <f>L20-'2. Drift.  intäkter'!I19-'8. Motp förs.'!D37-'8. Motp förs.'!F37-'8. Motp förs.'!G37</f>
        <v>0</v>
      </c>
      <c r="S20" s="618">
        <f t="shared" si="5"/>
        <v>0</v>
      </c>
      <c r="T20" s="21"/>
      <c r="U20" s="722" t="str">
        <f t="shared" si="2"/>
        <v>0%</v>
      </c>
      <c r="V20" s="159"/>
      <c r="W20" s="975" t="str">
        <f>IF(AND(2000000&lt;'1. Nettokostnader'!$P$6,ABS(Y20)&gt;100),"Förändring",(IF(AND(1000000&lt;'1. Nettokostnader'!$P$6,'1. Nettokostnader'!$P$6&lt;2000000,ABS(Y20)&gt;70),"Förändring",(IF(AND(330000&lt;'1. Nettokostnader'!$P$6,'1. Nettokostnader'!$P$6&lt;1000000,ABS(Y20)&gt;50),"Förändring",(IF(AND(200000&lt;'1. Nettokostnader'!$P$6,'1. Nettokostnader'!$P$6&lt;330000,ABS(Y20)&gt;30),"Förändring",(IF(AND('1. Nettokostnader'!$P$6&lt;200000,ABS(Y20)&gt;10),"Förändring",(IF(S20=0,"",IF(T20=0,"",(S20-T20)/T20))))))))))))</f>
        <v/>
      </c>
      <c r="X20" s="751">
        <f>L20-E20-F20-'2. Drift.  intäkter'!I19</f>
        <v>0</v>
      </c>
      <c r="Y20" s="131">
        <f t="shared" si="3"/>
        <v>1</v>
      </c>
    </row>
    <row r="21" spans="1:25" ht="15" customHeight="1" x14ac:dyDescent="0.25">
      <c r="A21" s="46" t="s">
        <v>199</v>
      </c>
      <c r="B21" s="18" t="s">
        <v>42</v>
      </c>
      <c r="C21" s="35"/>
      <c r="D21" s="35"/>
      <c r="E21" s="35"/>
      <c r="F21" s="35"/>
      <c r="G21" s="35"/>
      <c r="H21" s="35"/>
      <c r="I21" s="35"/>
      <c r="J21" s="72"/>
      <c r="K21" s="341"/>
      <c r="L21" s="593">
        <f t="shared" si="4"/>
        <v>0</v>
      </c>
      <c r="M21" s="131"/>
      <c r="N21" s="602">
        <f>L21-'2. Drift.  intäkter'!J20</f>
        <v>0</v>
      </c>
      <c r="O21" s="392">
        <f>'1. Nettokostnader'!C41</f>
        <v>0</v>
      </c>
      <c r="P21" s="299">
        <f t="shared" si="1"/>
        <v>0</v>
      </c>
      <c r="R21" s="617">
        <f>L21-'2. Drift.  intäkter'!I20-'8. Motp förs.'!D38-'8. Motp förs.'!F38-'8. Motp förs.'!G38</f>
        <v>0</v>
      </c>
      <c r="S21" s="618">
        <f t="shared" si="5"/>
        <v>0</v>
      </c>
      <c r="T21" s="21"/>
      <c r="U21" s="722" t="str">
        <f t="shared" si="2"/>
        <v>0%</v>
      </c>
      <c r="V21" s="159"/>
      <c r="W21" s="976" t="str">
        <f>IF(AND(2000000&lt;'1. Nettokostnader'!$P$6,ABS(Y21)&gt;100),"Förändring",(IF(AND(1000000&lt;'1. Nettokostnader'!$P$6,'1. Nettokostnader'!$P$6&lt;2000000,ABS(Y21)&gt;70),"Förändring",(IF(AND(330000&lt;'1. Nettokostnader'!$P$6,'1. Nettokostnader'!$P$6&lt;1000000,ABS(Y21)&gt;50),"Förändring",(IF(AND(200000&lt;'1. Nettokostnader'!$P$6,'1. Nettokostnader'!$P$6&lt;330000,ABS(Y21)&gt;30),"Förändring",(IF(AND('1. Nettokostnader'!$P$6&lt;200000,ABS(Y21)&gt;10),"Förändring",(IF(S21=0,"",IF(T21=0,"",(S21-T21)/T21))))))))))))</f>
        <v/>
      </c>
      <c r="X21" s="751">
        <f>L21-E21-F21-'2. Drift.  intäkter'!I20</f>
        <v>0</v>
      </c>
      <c r="Y21" s="131">
        <f t="shared" si="3"/>
        <v>1</v>
      </c>
    </row>
    <row r="22" spans="1:25" ht="15" customHeight="1" x14ac:dyDescent="0.25">
      <c r="A22" s="46" t="s">
        <v>201</v>
      </c>
      <c r="B22" s="18" t="s">
        <v>160</v>
      </c>
      <c r="C22" s="35"/>
      <c r="D22" s="35"/>
      <c r="E22" s="35"/>
      <c r="F22" s="35"/>
      <c r="G22" s="35"/>
      <c r="H22" s="35"/>
      <c r="I22" s="35"/>
      <c r="J22" s="72"/>
      <c r="K22" s="341"/>
      <c r="L22" s="593">
        <f t="shared" si="4"/>
        <v>0</v>
      </c>
      <c r="M22" s="131"/>
      <c r="N22" s="602">
        <f>L22-'2. Drift.  intäkter'!J21</f>
        <v>0</v>
      </c>
      <c r="O22" s="392">
        <f>'1. Nettokostnader'!C43</f>
        <v>0</v>
      </c>
      <c r="P22" s="299">
        <f t="shared" si="1"/>
        <v>0</v>
      </c>
      <c r="R22" s="617">
        <f>L22-'2. Drift.  intäkter'!I21-'8. Motp förs.'!D40-'8. Motp förs.'!F40-'8. Motp förs.'!G40</f>
        <v>0</v>
      </c>
      <c r="S22" s="618">
        <f t="shared" si="5"/>
        <v>0</v>
      </c>
      <c r="T22" s="21"/>
      <c r="U22" s="722" t="str">
        <f t="shared" si="2"/>
        <v>0%</v>
      </c>
      <c r="V22" s="159"/>
      <c r="W22" s="975" t="str">
        <f>IF(AND(2000000&lt;'1. Nettokostnader'!$P$6,ABS(Y22)&gt;100),"Förändring",(IF(AND(1000000&lt;'1. Nettokostnader'!$P$6,'1. Nettokostnader'!$P$6&lt;2000000,ABS(Y22)&gt;70),"Förändring",(IF(AND(330000&lt;'1. Nettokostnader'!$P$6,'1. Nettokostnader'!$P$6&lt;1000000,ABS(Y22)&gt;50),"Förändring",(IF(AND(200000&lt;'1. Nettokostnader'!$P$6,'1. Nettokostnader'!$P$6&lt;330000,ABS(Y22)&gt;30),"Förändring",(IF(AND('1. Nettokostnader'!$P$6&lt;200000,ABS(Y22)&gt;10),"Förändring",(IF(S22=0,"",IF(T22=0,"",(S22-T22)/T22))))))))))))</f>
        <v/>
      </c>
      <c r="X22" s="751">
        <f>L22-E22-F22-'2. Drift.  intäkter'!I21</f>
        <v>0</v>
      </c>
      <c r="Y22" s="131">
        <f t="shared" si="3"/>
        <v>1</v>
      </c>
    </row>
    <row r="23" spans="1:25" ht="16.5" customHeight="1" x14ac:dyDescent="0.25">
      <c r="A23" s="46" t="s">
        <v>204</v>
      </c>
      <c r="B23" s="671" t="s">
        <v>121</v>
      </c>
      <c r="C23" s="35"/>
      <c r="D23" s="74"/>
      <c r="E23" s="74"/>
      <c r="F23" s="74"/>
      <c r="G23" s="74"/>
      <c r="H23" s="74"/>
      <c r="I23" s="74"/>
      <c r="J23" s="72"/>
      <c r="K23" s="341"/>
      <c r="L23" s="593">
        <f t="shared" si="4"/>
        <v>0</v>
      </c>
      <c r="M23" s="131"/>
      <c r="N23" s="602">
        <f>L23-'2. Drift.  intäkter'!J22</f>
        <v>0</v>
      </c>
      <c r="O23" s="392">
        <f>'1. Nettokostnader'!C49</f>
        <v>0</v>
      </c>
      <c r="P23" s="299">
        <f t="shared" si="1"/>
        <v>0</v>
      </c>
      <c r="R23" s="617">
        <f>L23-'2. Drift.  intäkter'!I22-'8. Motp förs.'!D42-'8. Motp förs.'!F42-'8. Motp förs.'!G42</f>
        <v>0</v>
      </c>
      <c r="S23" s="618">
        <f t="shared" si="5"/>
        <v>0</v>
      </c>
      <c r="T23" s="21"/>
      <c r="U23" s="722" t="str">
        <f t="shared" si="2"/>
        <v>0%</v>
      </c>
      <c r="V23" s="159"/>
      <c r="W23" s="975" t="str">
        <f>IF(AND(2000000&lt;'1. Nettokostnader'!$P$6,ABS(Y23)&gt;100),"Förändring",(IF(AND(1000000&lt;'1. Nettokostnader'!$P$6,'1. Nettokostnader'!$P$6&lt;2000000,ABS(Y23)&gt;70),"Förändring",(IF(AND(330000&lt;'1. Nettokostnader'!$P$6,'1. Nettokostnader'!$P$6&lt;1000000,ABS(Y23)&gt;50),"Förändring",(IF(AND(200000&lt;'1. Nettokostnader'!$P$6,'1. Nettokostnader'!$P$6&lt;330000,ABS(Y23)&gt;30),"Förändring",(IF(AND('1. Nettokostnader'!$P$6&lt;200000,ABS(Y23)&gt;10),"Förändring",(IF(S23=0,"",IF(T23=0,"",(S23-T23)/T23))))))))))))</f>
        <v/>
      </c>
      <c r="X23" s="751">
        <f>L23-E23-F23-'2. Drift.  intäkter'!I22</f>
        <v>0</v>
      </c>
      <c r="Y23" s="131">
        <f t="shared" si="3"/>
        <v>1</v>
      </c>
    </row>
    <row r="24" spans="1:25" ht="15" customHeight="1" x14ac:dyDescent="0.25">
      <c r="A24" s="100" t="s">
        <v>234</v>
      </c>
      <c r="B24" s="39" t="s">
        <v>135</v>
      </c>
      <c r="C24" s="590">
        <f t="shared" ref="C24:K24" si="6">SUM(C25,C29,C30,C33,C35)</f>
        <v>0</v>
      </c>
      <c r="D24" s="590">
        <f t="shared" si="6"/>
        <v>0</v>
      </c>
      <c r="E24" s="590">
        <f t="shared" si="6"/>
        <v>0</v>
      </c>
      <c r="F24" s="590">
        <f t="shared" si="6"/>
        <v>0</v>
      </c>
      <c r="G24" s="590">
        <f t="shared" si="6"/>
        <v>0</v>
      </c>
      <c r="H24" s="590">
        <f t="shared" si="6"/>
        <v>0</v>
      </c>
      <c r="I24" s="590">
        <f t="shared" si="6"/>
        <v>0</v>
      </c>
      <c r="J24" s="590">
        <f t="shared" si="6"/>
        <v>0</v>
      </c>
      <c r="K24" s="610">
        <f t="shared" si="6"/>
        <v>0</v>
      </c>
      <c r="L24" s="592">
        <f>SUM(C24:K24)</f>
        <v>0</v>
      </c>
      <c r="M24" s="137"/>
      <c r="N24" s="796">
        <f>SUM(N25,N29,N30,N33,N35)</f>
        <v>0</v>
      </c>
      <c r="O24" s="797">
        <f>SUM(O25,O29,O30,O33,O35)</f>
        <v>0</v>
      </c>
      <c r="P24" s="299">
        <f t="shared" si="1"/>
        <v>0</v>
      </c>
      <c r="R24" s="615">
        <f>R25+R29+R30+R33+R35</f>
        <v>0</v>
      </c>
      <c r="S24" s="616">
        <f>SUM(S25,S29,S30,S33,S35)</f>
        <v>0</v>
      </c>
      <c r="T24" s="70"/>
      <c r="U24" s="721" t="str">
        <f t="shared" si="2"/>
        <v>0%</v>
      </c>
      <c r="V24" s="159" t="s">
        <v>295</v>
      </c>
      <c r="W24" s="340"/>
      <c r="X24" s="751">
        <f>L24-E24-F24-'2. Drift.  intäkter'!I23</f>
        <v>0</v>
      </c>
      <c r="Y24" s="131">
        <f t="shared" si="3"/>
        <v>1</v>
      </c>
    </row>
    <row r="25" spans="1:25" ht="15" customHeight="1" x14ac:dyDescent="0.25">
      <c r="A25" s="46" t="s">
        <v>72</v>
      </c>
      <c r="B25" s="18" t="s">
        <v>33</v>
      </c>
      <c r="C25" s="71"/>
      <c r="D25" s="72"/>
      <c r="E25" s="72"/>
      <c r="F25" s="72"/>
      <c r="G25" s="72"/>
      <c r="H25" s="72"/>
      <c r="I25" s="72"/>
      <c r="J25" s="72"/>
      <c r="K25" s="341"/>
      <c r="L25" s="593">
        <f>SUM(C25:K25)</f>
        <v>0</v>
      </c>
      <c r="M25" s="131"/>
      <c r="N25" s="611">
        <f>L25-'2. Drift.  intäkter'!J24</f>
        <v>0</v>
      </c>
      <c r="O25" s="393">
        <f>'1. Nettokostnader'!C51</f>
        <v>0</v>
      </c>
      <c r="P25" s="299">
        <f t="shared" si="1"/>
        <v>0</v>
      </c>
      <c r="R25" s="617">
        <f>L25-'2. Drift.  intäkter'!I24-'8. Motp förs.'!D43-'8. Motp förs.'!F43-'8. Motp förs.'!G43</f>
        <v>0</v>
      </c>
      <c r="S25" s="618">
        <f t="shared" si="5"/>
        <v>0</v>
      </c>
      <c r="T25" s="76"/>
      <c r="U25" s="722" t="str">
        <f t="shared" si="2"/>
        <v>0%</v>
      </c>
      <c r="V25" s="989"/>
      <c r="W25" s="975" t="str">
        <f>IF(AND(2000000&lt;'1. Nettokostnader'!$P$6,ABS(Y25)&gt;100),"Förändring",(IF(AND(1000000&lt;'1. Nettokostnader'!$P$6,'1. Nettokostnader'!$P$6&lt;2000000,ABS(Y25)&gt;70),"Förändring",(IF(AND(330000&lt;'1. Nettokostnader'!$P$6,'1. Nettokostnader'!$P$6&lt;1000000,ABS(Y25)&gt;50),"Förändring",(IF(AND(200000&lt;'1. Nettokostnader'!$P$6,'1. Nettokostnader'!$P$6&lt;330000,ABS(Y25)&gt;30),"Förändring",(IF(AND('1. Nettokostnader'!$P$6&lt;200000,ABS(Y25)&gt;10),"Förändring",(IF(S25=0,"",IF(T25=0,"",(S25-T25)/T25))))))))))))</f>
        <v/>
      </c>
      <c r="X25" s="751">
        <f>L25-E25-F25-'2. Drift.  intäkter'!I24</f>
        <v>0</v>
      </c>
      <c r="Y25" s="131">
        <f t="shared" si="3"/>
        <v>1</v>
      </c>
    </row>
    <row r="26" spans="1:25" ht="15" customHeight="1" x14ac:dyDescent="0.25">
      <c r="A26" s="46" t="s">
        <v>205</v>
      </c>
      <c r="B26" s="18" t="s">
        <v>131</v>
      </c>
      <c r="C26" s="35"/>
      <c r="D26" s="35"/>
      <c r="E26" s="35"/>
      <c r="F26" s="35"/>
      <c r="G26" s="35"/>
      <c r="H26" s="35"/>
      <c r="I26" s="35"/>
      <c r="J26" s="35"/>
      <c r="K26" s="341"/>
      <c r="L26" s="593">
        <f t="shared" ref="L26:L39" si="7">SUM(C26:K26)</f>
        <v>0</v>
      </c>
      <c r="M26" s="131"/>
      <c r="N26" s="611">
        <f>L26-'2. Drift.  intäkter'!J25</f>
        <v>0</v>
      </c>
      <c r="O26" s="393">
        <f>'1. Nettokostnader'!C52</f>
        <v>0</v>
      </c>
      <c r="P26" s="299">
        <f t="shared" si="1"/>
        <v>0</v>
      </c>
      <c r="R26" s="69"/>
      <c r="S26" s="618">
        <f t="shared" si="5"/>
        <v>0</v>
      </c>
      <c r="T26" s="76"/>
      <c r="U26" s="722" t="str">
        <f t="shared" si="2"/>
        <v>0%</v>
      </c>
      <c r="V26" s="990"/>
      <c r="W26" s="975" t="str">
        <f>IF(AND(2000000&lt;'1. Nettokostnader'!$P$6,ABS(Y26)&gt;100),"Förändring",(IF(AND(1000000&lt;'1. Nettokostnader'!$P$6,'1. Nettokostnader'!$P$6&lt;2000000,ABS(Y26)&gt;70),"Förändring",(IF(AND(330000&lt;'1. Nettokostnader'!$P$6,'1. Nettokostnader'!$P$6&lt;1000000,ABS(Y26)&gt;50),"Förändring",(IF(AND(200000&lt;'1. Nettokostnader'!$P$6,'1. Nettokostnader'!$P$6&lt;330000,ABS(Y26)&gt;30),"Förändring",(IF(AND('1. Nettokostnader'!$P$6&lt;200000,ABS(Y26)&gt;10),"Förändring",(IF(S26=0,"",IF(T26=0,"",(S26-T26)/T26))))))))))))</f>
        <v/>
      </c>
      <c r="X26" s="751">
        <f>L26-E26-F26-'2. Drift.  intäkter'!I25</f>
        <v>0</v>
      </c>
      <c r="Y26" s="131">
        <f t="shared" si="3"/>
        <v>1</v>
      </c>
    </row>
    <row r="27" spans="1:25" ht="15" customHeight="1" x14ac:dyDescent="0.25">
      <c r="A27" s="46" t="s">
        <v>206</v>
      </c>
      <c r="B27" s="18" t="s">
        <v>133</v>
      </c>
      <c r="C27" s="35"/>
      <c r="D27" s="35"/>
      <c r="E27" s="35"/>
      <c r="F27" s="35"/>
      <c r="G27" s="35"/>
      <c r="H27" s="35"/>
      <c r="I27" s="35"/>
      <c r="J27" s="35"/>
      <c r="K27" s="341"/>
      <c r="L27" s="593">
        <f t="shared" si="7"/>
        <v>0</v>
      </c>
      <c r="M27" s="131"/>
      <c r="N27" s="611">
        <f>L27-'2. Drift.  intäkter'!J26</f>
        <v>0</v>
      </c>
      <c r="O27" s="393">
        <f>'1. Nettokostnader'!C53</f>
        <v>0</v>
      </c>
      <c r="P27" s="299">
        <f t="shared" si="1"/>
        <v>0</v>
      </c>
      <c r="R27" s="69"/>
      <c r="S27" s="618">
        <f t="shared" si="5"/>
        <v>0</v>
      </c>
      <c r="T27" s="76"/>
      <c r="U27" s="722" t="str">
        <f t="shared" si="2"/>
        <v>0%</v>
      </c>
      <c r="V27" s="990"/>
      <c r="W27" s="975" t="str">
        <f>IF(AND(2000000&lt;'1. Nettokostnader'!$P$6,ABS(Y27)&gt;100),"Förändring",(IF(AND(1000000&lt;'1. Nettokostnader'!$P$6,'1. Nettokostnader'!$P$6&lt;2000000,ABS(Y27)&gt;70),"Förändring",(IF(AND(330000&lt;'1. Nettokostnader'!$P$6,'1. Nettokostnader'!$P$6&lt;1000000,ABS(Y27)&gt;50),"Förändring",(IF(AND(200000&lt;'1. Nettokostnader'!$P$6,'1. Nettokostnader'!$P$6&lt;330000,ABS(Y27)&gt;30),"Förändring",(IF(AND('1. Nettokostnader'!$P$6&lt;200000,ABS(Y27)&gt;10),"Förändring",(IF(S27=0,"",IF(T27=0,"",(S27-T27)/T27))))))))))))</f>
        <v/>
      </c>
      <c r="X27" s="751">
        <f>L27-E27-F27-'2. Drift.  intäkter'!I26</f>
        <v>0</v>
      </c>
      <c r="Y27" s="131">
        <f t="shared" si="3"/>
        <v>1</v>
      </c>
    </row>
    <row r="28" spans="1:25" ht="15" customHeight="1" x14ac:dyDescent="0.25">
      <c r="A28" s="46" t="s">
        <v>207</v>
      </c>
      <c r="B28" s="18" t="s">
        <v>132</v>
      </c>
      <c r="C28" s="35"/>
      <c r="D28" s="35"/>
      <c r="E28" s="35"/>
      <c r="F28" s="35"/>
      <c r="G28" s="35"/>
      <c r="H28" s="35"/>
      <c r="I28" s="35"/>
      <c r="J28" s="35"/>
      <c r="K28" s="341"/>
      <c r="L28" s="593">
        <f t="shared" si="7"/>
        <v>0</v>
      </c>
      <c r="M28" s="131"/>
      <c r="N28" s="611">
        <f>L28-'2. Drift.  intäkter'!J27</f>
        <v>0</v>
      </c>
      <c r="O28" s="393">
        <f>'1. Nettokostnader'!C54</f>
        <v>0</v>
      </c>
      <c r="P28" s="299">
        <f t="shared" si="1"/>
        <v>0</v>
      </c>
      <c r="R28" s="69"/>
      <c r="S28" s="618">
        <f t="shared" si="5"/>
        <v>0</v>
      </c>
      <c r="T28" s="76"/>
      <c r="U28" s="722" t="str">
        <f t="shared" si="2"/>
        <v>0%</v>
      </c>
      <c r="V28" s="990"/>
      <c r="W28" s="975" t="str">
        <f>IF(AND(2000000&lt;'1. Nettokostnader'!$P$6,ABS(Y28)&gt;100),"Förändring",(IF(AND(1000000&lt;'1. Nettokostnader'!$P$6,'1. Nettokostnader'!$P$6&lt;2000000,ABS(Y28)&gt;70),"Förändring",(IF(AND(330000&lt;'1. Nettokostnader'!$P$6,'1. Nettokostnader'!$P$6&lt;1000000,ABS(Y28)&gt;50),"Förändring",(IF(AND(200000&lt;'1. Nettokostnader'!$P$6,'1. Nettokostnader'!$P$6&lt;330000,ABS(Y28)&gt;30),"Förändring",(IF(AND('1. Nettokostnader'!$P$6&lt;200000,ABS(Y28)&gt;10),"Förändring",(IF(S28=0,"",IF(T28=0,"",(S28-T28)/T28))))))))))))</f>
        <v/>
      </c>
      <c r="X28" s="751">
        <f>L28-E28-F28-'2. Drift.  intäkter'!I27</f>
        <v>0</v>
      </c>
      <c r="Y28" s="131">
        <f t="shared" si="3"/>
        <v>1</v>
      </c>
    </row>
    <row r="29" spans="1:25" ht="15" customHeight="1" x14ac:dyDescent="0.25">
      <c r="A29" s="46" t="s">
        <v>151</v>
      </c>
      <c r="B29" s="18" t="s">
        <v>11</v>
      </c>
      <c r="C29" s="35"/>
      <c r="D29" s="74"/>
      <c r="E29" s="74"/>
      <c r="F29" s="74"/>
      <c r="G29" s="74"/>
      <c r="H29" s="74"/>
      <c r="I29" s="74"/>
      <c r="J29" s="74"/>
      <c r="K29" s="341"/>
      <c r="L29" s="593">
        <f t="shared" si="7"/>
        <v>0</v>
      </c>
      <c r="M29" s="131"/>
      <c r="N29" s="611">
        <f>L29-'2. Drift.  intäkter'!J28</f>
        <v>0</v>
      </c>
      <c r="O29" s="393">
        <f>'1. Nettokostnader'!C58</f>
        <v>0</v>
      </c>
      <c r="P29" s="299">
        <f t="shared" si="1"/>
        <v>0</v>
      </c>
      <c r="R29" s="617">
        <f>L29-'2. Drift.  intäkter'!I28-'8. Motp förs.'!D44-'8. Motp förs.'!F44-'8. Motp förs.'!G44</f>
        <v>0</v>
      </c>
      <c r="S29" s="618">
        <f t="shared" si="5"/>
        <v>0</v>
      </c>
      <c r="T29" s="76"/>
      <c r="U29" s="722" t="str">
        <f t="shared" si="2"/>
        <v>0%</v>
      </c>
      <c r="V29" s="990"/>
      <c r="W29" s="975" t="str">
        <f>IF(AND(2000000&lt;'1. Nettokostnader'!$P$6,ABS(Y29)&gt;100),"Förändring",(IF(AND(1000000&lt;'1. Nettokostnader'!$P$6,'1. Nettokostnader'!$P$6&lt;2000000,ABS(Y29)&gt;70),"Förändring",(IF(AND(330000&lt;'1. Nettokostnader'!$P$6,'1. Nettokostnader'!$P$6&lt;1000000,ABS(Y29)&gt;50),"Förändring",(IF(AND(200000&lt;'1. Nettokostnader'!$P$6,'1. Nettokostnader'!$P$6&lt;330000,ABS(Y29)&gt;30),"Förändring",(IF(AND('1. Nettokostnader'!$P$6&lt;200000,ABS(Y29)&gt;10),"Förändring",(IF(S29=0,"",IF(T29=0,"",(S29-T29)/T29))))))))))))</f>
        <v/>
      </c>
      <c r="X29" s="751">
        <f>L29-E29-F29-'2. Drift.  intäkter'!I28</f>
        <v>0</v>
      </c>
      <c r="Y29" s="131">
        <f t="shared" si="3"/>
        <v>1</v>
      </c>
    </row>
    <row r="30" spans="1:25" ht="15" customHeight="1" x14ac:dyDescent="0.25">
      <c r="A30" s="46" t="s">
        <v>152</v>
      </c>
      <c r="B30" s="18" t="s">
        <v>13</v>
      </c>
      <c r="C30" s="35"/>
      <c r="D30" s="74"/>
      <c r="E30" s="74"/>
      <c r="F30" s="74"/>
      <c r="G30" s="74"/>
      <c r="H30" s="74"/>
      <c r="I30" s="74"/>
      <c r="J30" s="74"/>
      <c r="K30" s="341"/>
      <c r="L30" s="593">
        <f t="shared" si="7"/>
        <v>0</v>
      </c>
      <c r="M30" s="131"/>
      <c r="N30" s="611">
        <f>L30-'2. Drift.  intäkter'!J29</f>
        <v>0</v>
      </c>
      <c r="O30" s="393">
        <f>'1. Nettokostnader'!C64</f>
        <v>0</v>
      </c>
      <c r="P30" s="299">
        <f t="shared" si="1"/>
        <v>0</v>
      </c>
      <c r="R30" s="617">
        <f>L30-'2. Drift.  intäkter'!I29-'8. Motp förs.'!D45-'8. Motp förs.'!F45-'8. Motp förs.'!G45</f>
        <v>0</v>
      </c>
      <c r="S30" s="618">
        <f t="shared" si="5"/>
        <v>0</v>
      </c>
      <c r="T30" s="76"/>
      <c r="U30" s="722" t="str">
        <f t="shared" si="2"/>
        <v>0%</v>
      </c>
      <c r="V30" s="991"/>
      <c r="W30" s="975" t="str">
        <f>IF(AND(2000000&lt;'1. Nettokostnader'!$P$6,ABS(Y30)&gt;100),"Förändring",(IF(AND(1000000&lt;'1. Nettokostnader'!$P$6,'1. Nettokostnader'!$P$6&lt;2000000,ABS(Y30)&gt;70),"Förändring",(IF(AND(330000&lt;'1. Nettokostnader'!$P$6,'1. Nettokostnader'!$P$6&lt;1000000,ABS(Y30)&gt;50),"Förändring",(IF(AND(200000&lt;'1. Nettokostnader'!$P$6,'1. Nettokostnader'!$P$6&lt;330000,ABS(Y30)&gt;30),"Förändring",(IF(AND('1. Nettokostnader'!$P$6&lt;200000,ABS(Y30)&gt;10),"Förändring",(IF(S30=0,"",IF(T30=0,"",(S30-T30)/T30))))))))))))</f>
        <v/>
      </c>
      <c r="X30" s="751">
        <f>L30-E30-F30-'2. Drift.  intäkter'!I29</f>
        <v>0</v>
      </c>
      <c r="Y30" s="131">
        <f t="shared" si="3"/>
        <v>1</v>
      </c>
    </row>
    <row r="31" spans="1:25" ht="15" customHeight="1" x14ac:dyDescent="0.25">
      <c r="A31" s="46" t="s">
        <v>212</v>
      </c>
      <c r="B31" s="18" t="s">
        <v>43</v>
      </c>
      <c r="C31" s="35"/>
      <c r="D31" s="35"/>
      <c r="E31" s="35"/>
      <c r="F31" s="35"/>
      <c r="G31" s="35"/>
      <c r="H31" s="35"/>
      <c r="I31" s="35"/>
      <c r="J31" s="35"/>
      <c r="K31" s="341"/>
      <c r="L31" s="593">
        <f t="shared" si="7"/>
        <v>0</v>
      </c>
      <c r="M31" s="131"/>
      <c r="N31" s="611">
        <f>L31-'2. Drift.  intäkter'!J30</f>
        <v>0</v>
      </c>
      <c r="O31" s="393">
        <f>'1. Nettokostnader'!C65</f>
        <v>0</v>
      </c>
      <c r="P31" s="299">
        <f t="shared" si="1"/>
        <v>0</v>
      </c>
      <c r="R31" s="69"/>
      <c r="S31" s="618">
        <f t="shared" si="5"/>
        <v>0</v>
      </c>
      <c r="T31" s="76"/>
      <c r="U31" s="722" t="str">
        <f t="shared" si="2"/>
        <v>0%</v>
      </c>
      <c r="V31" s="159"/>
      <c r="W31" s="975" t="str">
        <f>IF(AND(2000000&lt;'1. Nettokostnader'!$P$6,ABS(Y31)&gt;100),"Förändring",(IF(AND(1000000&lt;'1. Nettokostnader'!$P$6,'1. Nettokostnader'!$P$6&lt;2000000,ABS(Y31)&gt;70),"Förändring",(IF(AND(330000&lt;'1. Nettokostnader'!$P$6,'1. Nettokostnader'!$P$6&lt;1000000,ABS(Y31)&gt;50),"Förändring",(IF(AND(200000&lt;'1. Nettokostnader'!$P$6,'1. Nettokostnader'!$P$6&lt;330000,ABS(Y31)&gt;30),"Förändring",(IF(AND('1. Nettokostnader'!$P$6&lt;200000,ABS(Y31)&gt;10),"Förändring",(IF(S31=0,"",IF(T31=0,"",(S31-T31)/T31))))))))))))</f>
        <v/>
      </c>
      <c r="X31" s="751">
        <f>L31-E31-F31-'2. Drift.  intäkter'!I30</f>
        <v>0</v>
      </c>
      <c r="Y31" s="131">
        <f t="shared" si="3"/>
        <v>1</v>
      </c>
    </row>
    <row r="32" spans="1:25" ht="15" customHeight="1" x14ac:dyDescent="0.25">
      <c r="A32" s="774" t="s">
        <v>462</v>
      </c>
      <c r="B32" s="18" t="s">
        <v>463</v>
      </c>
      <c r="C32" s="35"/>
      <c r="D32" s="35"/>
      <c r="E32" s="35"/>
      <c r="F32" s="35"/>
      <c r="G32" s="35"/>
      <c r="H32" s="35"/>
      <c r="I32" s="35"/>
      <c r="J32" s="35"/>
      <c r="K32" s="341"/>
      <c r="L32" s="593">
        <f t="shared" si="7"/>
        <v>0</v>
      </c>
      <c r="M32" s="131"/>
      <c r="N32" s="611">
        <f>L32-'2. Drift.  intäkter'!J31</f>
        <v>0</v>
      </c>
      <c r="O32" s="393">
        <f>'1. Nettokostnader'!C66</f>
        <v>0</v>
      </c>
      <c r="P32" s="299">
        <f t="shared" si="1"/>
        <v>0</v>
      </c>
      <c r="R32" s="69"/>
      <c r="S32" s="618">
        <f t="shared" si="5"/>
        <v>0</v>
      </c>
      <c r="T32" s="76"/>
      <c r="U32" s="722" t="str">
        <f t="shared" si="2"/>
        <v>0%</v>
      </c>
      <c r="V32" s="159"/>
      <c r="W32" s="975" t="str">
        <f>IF(AND(2000000&lt;'1. Nettokostnader'!$P$6,ABS(Y32)&gt;100),"Förändring",(IF(AND(1000000&lt;'1. Nettokostnader'!$P$6,'1. Nettokostnader'!$P$6&lt;2000000,ABS(Y32)&gt;70),"Förändring",(IF(AND(330000&lt;'1. Nettokostnader'!$P$6,'1. Nettokostnader'!$P$6&lt;1000000,ABS(Y32)&gt;50),"Förändring",(IF(AND(200000&lt;'1. Nettokostnader'!$P$6,'1. Nettokostnader'!$P$6&lt;330000,ABS(Y32)&gt;30),"Förändring",(IF(AND('1. Nettokostnader'!$P$6&lt;200000,ABS(Y32)&gt;10),"Förändring",(IF(S32=0,"",IF(T32=0,"",(S32-T32)/T32))))))))))))</f>
        <v/>
      </c>
      <c r="X32" s="751">
        <f>L32-E32-F32-'2. Drift.  intäkter'!I31</f>
        <v>0</v>
      </c>
      <c r="Y32" s="131">
        <f t="shared" si="3"/>
        <v>1</v>
      </c>
    </row>
    <row r="33" spans="1:25" ht="15" customHeight="1" x14ac:dyDescent="0.25">
      <c r="A33" s="46" t="s">
        <v>153</v>
      </c>
      <c r="B33" s="18" t="s">
        <v>16</v>
      </c>
      <c r="C33" s="35"/>
      <c r="D33" s="74"/>
      <c r="E33" s="74"/>
      <c r="F33" s="74"/>
      <c r="G33" s="74"/>
      <c r="H33" s="74"/>
      <c r="I33" s="74"/>
      <c r="J33" s="74"/>
      <c r="K33" s="341"/>
      <c r="L33" s="593">
        <f t="shared" si="7"/>
        <v>0</v>
      </c>
      <c r="M33" s="131"/>
      <c r="N33" s="611">
        <f>L33-'2. Drift.  intäkter'!J32</f>
        <v>0</v>
      </c>
      <c r="O33" s="393">
        <f>'1. Nettokostnader'!C68</f>
        <v>0</v>
      </c>
      <c r="P33" s="299">
        <f t="shared" si="1"/>
        <v>0</v>
      </c>
      <c r="R33" s="617">
        <f>L33-'2. Drift.  intäkter'!I32-'8. Motp förs.'!D46-'8. Motp förs.'!F46-'8. Motp förs.'!G46</f>
        <v>0</v>
      </c>
      <c r="S33" s="618">
        <f t="shared" si="5"/>
        <v>0</v>
      </c>
      <c r="T33" s="76"/>
      <c r="U33" s="722" t="str">
        <f t="shared" si="2"/>
        <v>0%</v>
      </c>
      <c r="V33" s="159"/>
      <c r="W33" s="975" t="str">
        <f>IF(AND(2000000&lt;'1. Nettokostnader'!$P$6,ABS(Y33)&gt;100),"Förändring",(IF(AND(1000000&lt;'1. Nettokostnader'!$P$6,'1. Nettokostnader'!$P$6&lt;2000000,ABS(Y33)&gt;70),"Förändring",(IF(AND(330000&lt;'1. Nettokostnader'!$P$6,'1. Nettokostnader'!$P$6&lt;1000000,ABS(Y33)&gt;50),"Förändring",(IF(AND(200000&lt;'1. Nettokostnader'!$P$6,'1. Nettokostnader'!$P$6&lt;330000,ABS(Y33)&gt;30),"Förändring",(IF(AND('1. Nettokostnader'!$P$6&lt;200000,ABS(Y33)&gt;10),"Förändring",(IF(S33=0,"",IF(T33=0,"",(S33-T33)/T33))))))))))))</f>
        <v/>
      </c>
      <c r="X33" s="751">
        <f>L33-E33-F33-'2. Drift.  intäkter'!I32</f>
        <v>0</v>
      </c>
      <c r="Y33" s="131">
        <f t="shared" si="3"/>
        <v>1</v>
      </c>
    </row>
    <row r="34" spans="1:25" ht="15" customHeight="1" x14ac:dyDescent="0.25">
      <c r="A34" s="46" t="s">
        <v>217</v>
      </c>
      <c r="B34" s="18" t="s">
        <v>159</v>
      </c>
      <c r="C34" s="35"/>
      <c r="D34" s="74"/>
      <c r="E34" s="74"/>
      <c r="F34" s="74"/>
      <c r="G34" s="74"/>
      <c r="H34" s="74"/>
      <c r="I34" s="74"/>
      <c r="J34" s="74"/>
      <c r="K34" s="341"/>
      <c r="L34" s="593">
        <f t="shared" si="7"/>
        <v>0</v>
      </c>
      <c r="M34" s="131"/>
      <c r="N34" s="611">
        <f>L34-'2. Drift.  intäkter'!J33</f>
        <v>0</v>
      </c>
      <c r="O34" s="393">
        <f>'1. Nettokostnader'!C72</f>
        <v>0</v>
      </c>
      <c r="P34" s="299">
        <f t="shared" si="1"/>
        <v>0</v>
      </c>
      <c r="R34" s="69"/>
      <c r="S34" s="618">
        <f t="shared" si="5"/>
        <v>0</v>
      </c>
      <c r="T34" s="76"/>
      <c r="U34" s="722" t="str">
        <f t="shared" si="2"/>
        <v>0%</v>
      </c>
      <c r="V34" s="159"/>
      <c r="W34" s="975" t="str">
        <f>IF(AND(2000000&lt;'1. Nettokostnader'!$P$6,ABS(Y34)&gt;100),"Förändring",(IF(AND(1000000&lt;'1. Nettokostnader'!$P$6,'1. Nettokostnader'!$P$6&lt;2000000,ABS(Y34)&gt;70),"Förändring",(IF(AND(330000&lt;'1. Nettokostnader'!$P$6,'1. Nettokostnader'!$P$6&lt;1000000,ABS(Y34)&gt;50),"Förändring",(IF(AND(200000&lt;'1. Nettokostnader'!$P$6,'1. Nettokostnader'!$P$6&lt;330000,ABS(Y34)&gt;30),"Förändring",(IF(AND('1. Nettokostnader'!$P$6&lt;200000,ABS(Y34)&gt;10),"Förändring",(IF(S34=0,"",IF(T34=0,"",(S34-T34)/T34))))))))))))</f>
        <v/>
      </c>
      <c r="X34" s="751">
        <f>L34-E34-F34-'2. Drift.  intäkter'!I33</f>
        <v>0</v>
      </c>
      <c r="Y34" s="131">
        <f t="shared" si="3"/>
        <v>1</v>
      </c>
    </row>
    <row r="35" spans="1:25" ht="16.5" customHeight="1" x14ac:dyDescent="0.25">
      <c r="A35" s="46" t="s">
        <v>219</v>
      </c>
      <c r="B35" s="671" t="s">
        <v>114</v>
      </c>
      <c r="C35" s="35"/>
      <c r="D35" s="74"/>
      <c r="E35" s="74"/>
      <c r="F35" s="74"/>
      <c r="G35" s="74"/>
      <c r="H35" s="74"/>
      <c r="I35" s="74"/>
      <c r="J35" s="74"/>
      <c r="K35" s="341"/>
      <c r="L35" s="593">
        <f t="shared" si="7"/>
        <v>0</v>
      </c>
      <c r="M35" s="131"/>
      <c r="N35" s="611">
        <f>L35-'2. Drift.  intäkter'!J34</f>
        <v>0</v>
      </c>
      <c r="O35" s="393">
        <f>'1. Nettokostnader'!C76</f>
        <v>0</v>
      </c>
      <c r="P35" s="299">
        <f t="shared" si="1"/>
        <v>0</v>
      </c>
      <c r="R35" s="617">
        <f>L35-'2. Drift.  intäkter'!I34-'8. Motp förs.'!D47-'8. Motp förs.'!F47-'8. Motp förs.'!G47</f>
        <v>0</v>
      </c>
      <c r="S35" s="618">
        <f t="shared" si="5"/>
        <v>0</v>
      </c>
      <c r="T35" s="128"/>
      <c r="U35" s="722" t="str">
        <f t="shared" si="2"/>
        <v>0%</v>
      </c>
      <c r="V35" s="159"/>
      <c r="W35" s="975" t="str">
        <f>IF(AND(2000000&lt;'1. Nettokostnader'!$P$6,ABS(Y35)&gt;100),"Förändring",(IF(AND(1000000&lt;'1. Nettokostnader'!$P$6,'1. Nettokostnader'!$P$6&lt;2000000,ABS(Y35)&gt;70),"Förändring",(IF(AND(330000&lt;'1. Nettokostnader'!$P$6,'1. Nettokostnader'!$P$6&lt;1000000,ABS(Y35)&gt;50),"Förändring",(IF(AND(200000&lt;'1. Nettokostnader'!$P$6,'1. Nettokostnader'!$P$6&lt;330000,ABS(Y35)&gt;30),"Förändring",(IF(AND('1. Nettokostnader'!$P$6&lt;200000,ABS(Y35)&gt;10),"Förändring",(IF(S35=0,"",IF(T35=0,"",(S35-T35)/T35))))))))))))</f>
        <v/>
      </c>
      <c r="X35" s="751">
        <f>L35-E35-F35-'2. Drift.  intäkter'!I34</f>
        <v>0</v>
      </c>
      <c r="Y35" s="131">
        <f t="shared" si="3"/>
        <v>1</v>
      </c>
    </row>
    <row r="36" spans="1:25" ht="15" customHeight="1" x14ac:dyDescent="0.25">
      <c r="A36" s="99" t="s">
        <v>170</v>
      </c>
      <c r="B36" s="17" t="s">
        <v>399</v>
      </c>
      <c r="C36" s="590">
        <f>SUM(C37:C39)</f>
        <v>0</v>
      </c>
      <c r="D36" s="590">
        <f t="shared" ref="D36:J36" si="8">SUM(D37:D39)</f>
        <v>0</v>
      </c>
      <c r="E36" s="590">
        <f t="shared" si="8"/>
        <v>0</v>
      </c>
      <c r="F36" s="590">
        <f t="shared" si="8"/>
        <v>0</v>
      </c>
      <c r="G36" s="590">
        <f t="shared" si="8"/>
        <v>0</v>
      </c>
      <c r="H36" s="590">
        <f t="shared" si="8"/>
        <v>0</v>
      </c>
      <c r="I36" s="590">
        <f t="shared" si="8"/>
        <v>0</v>
      </c>
      <c r="J36" s="590">
        <f t="shared" si="8"/>
        <v>0</v>
      </c>
      <c r="K36" s="590">
        <f>SUM(K37:K39)</f>
        <v>0</v>
      </c>
      <c r="L36" s="594">
        <f t="shared" si="7"/>
        <v>0</v>
      </c>
      <c r="M36" s="131"/>
      <c r="N36" s="611">
        <f>L36-'2. Drift.  intäkter'!J35</f>
        <v>0</v>
      </c>
      <c r="O36" s="368"/>
      <c r="P36" s="299"/>
      <c r="R36" s="615">
        <f>L36-'2. Drift.  intäkter'!I35-'8. Motp förs.'!D48-'8. Motp förs.'!F48-'8. Motp förs.'!G48</f>
        <v>0</v>
      </c>
      <c r="S36" s="616">
        <f>SUM(S37:S39)</f>
        <v>0</v>
      </c>
      <c r="T36" s="128"/>
      <c r="U36" s="721" t="str">
        <f t="shared" si="2"/>
        <v>0%</v>
      </c>
      <c r="V36" s="159"/>
      <c r="W36" s="340"/>
      <c r="X36" s="751">
        <f>L36-E36-F36-'2. Drift.  intäkter'!I35</f>
        <v>0</v>
      </c>
      <c r="Y36" s="131">
        <f t="shared" si="3"/>
        <v>1</v>
      </c>
    </row>
    <row r="37" spans="1:25" ht="15" customHeight="1" x14ac:dyDescent="0.25">
      <c r="A37" s="46" t="s">
        <v>220</v>
      </c>
      <c r="B37" s="18" t="s">
        <v>119</v>
      </c>
      <c r="C37" s="71"/>
      <c r="D37" s="72"/>
      <c r="E37" s="72"/>
      <c r="F37" s="72"/>
      <c r="G37" s="72"/>
      <c r="H37" s="72"/>
      <c r="I37" s="72"/>
      <c r="J37" s="72"/>
      <c r="K37" s="370"/>
      <c r="L37" s="593">
        <f t="shared" si="7"/>
        <v>0</v>
      </c>
      <c r="M37" s="131"/>
      <c r="N37" s="611">
        <f>L37-'2. Drift.  intäkter'!J36</f>
        <v>0</v>
      </c>
      <c r="O37" s="368"/>
      <c r="P37" s="299"/>
      <c r="R37" s="69"/>
      <c r="S37" s="618">
        <f t="shared" si="5"/>
        <v>0</v>
      </c>
      <c r="T37" s="128"/>
      <c r="U37" s="722" t="str">
        <f t="shared" si="2"/>
        <v>0%</v>
      </c>
      <c r="V37" s="159"/>
      <c r="W37" s="975" t="str">
        <f>IF(AND(2000000&lt;'1. Nettokostnader'!$P$6,ABS(Y37)&gt;100),"Förändring",(IF(AND(1000000&lt;'1. Nettokostnader'!$P$6,'1. Nettokostnader'!$P$6&lt;2000000,ABS(Y37)&gt;70),"Förändring",(IF(AND(330000&lt;'1. Nettokostnader'!$P$6,'1. Nettokostnader'!$P$6&lt;1000000,ABS(Y37)&gt;50),"Förändring",(IF(AND(200000&lt;'1. Nettokostnader'!$P$6,'1. Nettokostnader'!$P$6&lt;330000,ABS(Y37)&gt;30),"Förändring",(IF(AND('1. Nettokostnader'!$P$6&lt;200000,ABS(Y37)&gt;10),"Förändring",(IF(S37=0,"",IF(T37=0,"",(S37-T37)/T37))))))))))))</f>
        <v/>
      </c>
      <c r="X37" s="751">
        <f>L37-E37-F37-'2. Drift.  intäkter'!I36</f>
        <v>0</v>
      </c>
      <c r="Y37" s="131">
        <f t="shared" si="3"/>
        <v>1</v>
      </c>
    </row>
    <row r="38" spans="1:25" ht="15" customHeight="1" x14ac:dyDescent="0.25">
      <c r="A38" s="46" t="s">
        <v>221</v>
      </c>
      <c r="B38" s="18" t="s">
        <v>36</v>
      </c>
      <c r="C38" s="71"/>
      <c r="D38" s="72"/>
      <c r="E38" s="72"/>
      <c r="F38" s="72"/>
      <c r="G38" s="72"/>
      <c r="H38" s="72"/>
      <c r="I38" s="72"/>
      <c r="J38" s="72"/>
      <c r="K38" s="370"/>
      <c r="L38" s="593">
        <f t="shared" si="7"/>
        <v>0</v>
      </c>
      <c r="M38" s="131"/>
      <c r="N38" s="611">
        <f>L38-'2. Drift.  intäkter'!J37</f>
        <v>0</v>
      </c>
      <c r="O38" s="368"/>
      <c r="P38" s="299"/>
      <c r="R38" s="69"/>
      <c r="S38" s="618">
        <f t="shared" si="5"/>
        <v>0</v>
      </c>
      <c r="T38" s="128"/>
      <c r="U38" s="722" t="str">
        <f t="shared" si="2"/>
        <v>0%</v>
      </c>
      <c r="V38" s="367" t="s">
        <v>317</v>
      </c>
      <c r="W38" s="975" t="str">
        <f>IF(AND(2000000&lt;'1. Nettokostnader'!$P$6,ABS(Y38)&gt;100),"Förändring",(IF(AND(1000000&lt;'1. Nettokostnader'!$P$6,'1. Nettokostnader'!$P$6&lt;2000000,ABS(Y38)&gt;70),"Förändring",(IF(AND(330000&lt;'1. Nettokostnader'!$P$6,'1. Nettokostnader'!$P$6&lt;1000000,ABS(Y38)&gt;50),"Förändring",(IF(AND(200000&lt;'1. Nettokostnader'!$P$6,'1. Nettokostnader'!$P$6&lt;330000,ABS(Y38)&gt;30),"Förändring",(IF(AND('1. Nettokostnader'!$P$6&lt;200000,ABS(Y38)&gt;10),"Förändring",(IF(S38=0,"",IF(T38=0,"",(S38-T38)/T38))))))))))))</f>
        <v/>
      </c>
      <c r="X38" s="751">
        <f>L38-E38-F38-'2. Drift.  intäkter'!I37</f>
        <v>0</v>
      </c>
      <c r="Y38" s="131">
        <f t="shared" si="3"/>
        <v>1</v>
      </c>
    </row>
    <row r="39" spans="1:25" ht="15" customHeight="1" x14ac:dyDescent="0.25">
      <c r="A39" s="46" t="s">
        <v>222</v>
      </c>
      <c r="B39" s="18" t="s">
        <v>37</v>
      </c>
      <c r="C39" s="35"/>
      <c r="D39" s="74"/>
      <c r="E39" s="74"/>
      <c r="F39" s="74"/>
      <c r="G39" s="74"/>
      <c r="H39" s="74"/>
      <c r="I39" s="74"/>
      <c r="J39" s="74"/>
      <c r="K39" s="341"/>
      <c r="L39" s="593">
        <f t="shared" si="7"/>
        <v>0</v>
      </c>
      <c r="M39" s="131"/>
      <c r="N39" s="611">
        <f>L39-'2. Drift.  intäkter'!J38</f>
        <v>0</v>
      </c>
      <c r="O39" s="368"/>
      <c r="P39" s="299"/>
      <c r="R39" s="69"/>
      <c r="S39" s="618">
        <f t="shared" si="5"/>
        <v>0</v>
      </c>
      <c r="T39" s="128"/>
      <c r="U39" s="722" t="str">
        <f t="shared" si="2"/>
        <v>0%</v>
      </c>
      <c r="V39" s="987"/>
      <c r="W39" s="975" t="str">
        <f>IF(AND(2000000&lt;'1. Nettokostnader'!$P$6,ABS(Y39)&gt;100),"Förändring",(IF(AND(1000000&lt;'1. Nettokostnader'!$P$6,'1. Nettokostnader'!$P$6&lt;2000000,ABS(Y39)&gt;70),"Förändring",(IF(AND(330000&lt;'1. Nettokostnader'!$P$6,'1. Nettokostnader'!$P$6&lt;1000000,ABS(Y39)&gt;50),"Förändring",(IF(AND(200000&lt;'1. Nettokostnader'!$P$6,'1. Nettokostnader'!$P$6&lt;330000,ABS(Y39)&gt;30),"Förändring",(IF(AND('1. Nettokostnader'!$P$6&lt;200000,ABS(Y39)&gt;10),"Förändring",(IF(S39=0,"",IF(T39=0,"",(S39-T39)/T39))))))))))))</f>
        <v/>
      </c>
      <c r="X39" s="751">
        <f>L39-E39-F39-'2. Drift.  intäkter'!I38</f>
        <v>0</v>
      </c>
      <c r="Y39" s="131">
        <f t="shared" si="3"/>
        <v>1</v>
      </c>
    </row>
    <row r="40" spans="1:25" ht="15" customHeight="1" x14ac:dyDescent="0.25">
      <c r="A40" s="779" t="s">
        <v>321</v>
      </c>
      <c r="B40" s="773" t="s">
        <v>312</v>
      </c>
      <c r="C40" s="775"/>
      <c r="D40" s="775"/>
      <c r="E40" s="775"/>
      <c r="F40" s="775"/>
      <c r="G40" s="775"/>
      <c r="H40" s="775"/>
      <c r="I40" s="775"/>
      <c r="J40" s="775"/>
      <c r="K40" s="776"/>
      <c r="L40" s="630">
        <f>SUM(C40:K40)</f>
        <v>0</v>
      </c>
      <c r="M40" s="131"/>
      <c r="N40" s="612">
        <f>L40-'2. Drift.  intäkter'!J39</f>
        <v>0</v>
      </c>
      <c r="O40" s="408">
        <f>'1. Nettokostnader'!C78</f>
        <v>0</v>
      </c>
      <c r="P40" s="299">
        <f t="shared" si="1"/>
        <v>0</v>
      </c>
      <c r="R40" s="69"/>
      <c r="S40" s="616">
        <f t="shared" si="5"/>
        <v>0</v>
      </c>
      <c r="T40" s="128"/>
      <c r="U40" s="721" t="str">
        <f t="shared" si="2"/>
        <v>0%</v>
      </c>
      <c r="V40" s="1000"/>
      <c r="W40" s="975" t="str">
        <f>IF(AND(2000000&lt;'1. Nettokostnader'!$P$6,ABS(Y40)&gt;100),"Förändring",(IF(AND(1000000&lt;'1. Nettokostnader'!$P$6,'1. Nettokostnader'!$P$6&lt;2000000,ABS(Y40)&gt;70),"Förändring",(IF(AND(330000&lt;'1. Nettokostnader'!$P$6,'1. Nettokostnader'!$P$6&lt;1000000,ABS(Y40)&gt;50),"Förändring",(IF(AND(200000&lt;'1. Nettokostnader'!$P$6,'1. Nettokostnader'!$P$6&lt;330000,ABS(Y40)&gt;30),"Förändring",(IF(AND('1. Nettokostnader'!$P$6&lt;200000,ABS(Y40)&gt;10),"Förändring",(IF(S40=0,"",IF(T40=0,"",(S40-T40)/T40))))))))))))</f>
        <v/>
      </c>
      <c r="X40" s="751">
        <f>L40-E40-F40-'2. Drift.  intäkter'!I39</f>
        <v>0</v>
      </c>
      <c r="Y40" s="131">
        <f t="shared" si="3"/>
        <v>1</v>
      </c>
    </row>
    <row r="41" spans="1:25" s="130" customFormat="1" ht="15" customHeight="1" thickBot="1" x14ac:dyDescent="0.3">
      <c r="A41" s="777" t="s">
        <v>120</v>
      </c>
      <c r="B41" s="48" t="s">
        <v>143</v>
      </c>
      <c r="C41" s="608">
        <f>SUM(C11,C24,C36,C40)</f>
        <v>0</v>
      </c>
      <c r="D41" s="608">
        <f t="shared" ref="D41:L41" si="9">SUM(D11,D24,D36,D40)</f>
        <v>0</v>
      </c>
      <c r="E41" s="608">
        <f t="shared" si="9"/>
        <v>0</v>
      </c>
      <c r="F41" s="608">
        <f t="shared" si="9"/>
        <v>0</v>
      </c>
      <c r="G41" s="608">
        <f t="shared" si="9"/>
        <v>0</v>
      </c>
      <c r="H41" s="608">
        <f t="shared" si="9"/>
        <v>0</v>
      </c>
      <c r="I41" s="608">
        <f t="shared" si="9"/>
        <v>0</v>
      </c>
      <c r="J41" s="608">
        <f t="shared" si="9"/>
        <v>0</v>
      </c>
      <c r="K41" s="609">
        <f t="shared" si="9"/>
        <v>0</v>
      </c>
      <c r="L41" s="599">
        <f t="shared" si="9"/>
        <v>0</v>
      </c>
      <c r="M41" s="137"/>
      <c r="N41" s="613">
        <f>L41-'2. Drift.  intäkter'!J40</f>
        <v>0</v>
      </c>
      <c r="O41" s="394">
        <f>'1. Nettokostnader'!C80</f>
        <v>0</v>
      </c>
      <c r="P41" s="355">
        <f t="shared" si="1"/>
        <v>0</v>
      </c>
      <c r="Q41" s="329"/>
      <c r="R41" s="620">
        <f>R11+R24+R36</f>
        <v>0</v>
      </c>
      <c r="S41" s="686">
        <f>L41-J41</f>
        <v>0</v>
      </c>
      <c r="T41" s="330">
        <f>T11+T24+T36+T40</f>
        <v>0</v>
      </c>
      <c r="U41" s="723" t="str">
        <f t="shared" si="2"/>
        <v>0%</v>
      </c>
      <c r="V41" s="331"/>
      <c r="W41" s="365"/>
      <c r="X41" s="752">
        <f>L41-E41-F41-'2. Drift.  intäkter'!I40</f>
        <v>0</v>
      </c>
      <c r="Y41" s="131">
        <f t="shared" si="3"/>
        <v>1</v>
      </c>
    </row>
    <row r="42" spans="1:25" ht="20.25" customHeight="1" x14ac:dyDescent="0.25">
      <c r="A42" s="507" t="s">
        <v>245</v>
      </c>
      <c r="B42" s="156" t="s">
        <v>149</v>
      </c>
      <c r="C42" s="41"/>
      <c r="D42" s="41"/>
      <c r="E42" s="41"/>
      <c r="F42" s="41"/>
      <c r="G42" s="41"/>
      <c r="H42" s="41"/>
      <c r="I42" s="41"/>
      <c r="J42" s="41"/>
      <c r="K42" s="351"/>
      <c r="L42" s="350">
        <f>J41</f>
        <v>0</v>
      </c>
      <c r="M42" s="131"/>
      <c r="N42" s="64"/>
      <c r="O42" s="6"/>
      <c r="P42" s="73"/>
      <c r="R42" s="68"/>
      <c r="S42" s="55"/>
      <c r="T42" s="77"/>
      <c r="U42" s="22"/>
      <c r="V42" s="159"/>
      <c r="W42" s="67"/>
    </row>
    <row r="43" spans="1:25" ht="24" customHeight="1" x14ac:dyDescent="0.25">
      <c r="A43" s="507" t="s">
        <v>310</v>
      </c>
      <c r="B43" s="736" t="s">
        <v>323</v>
      </c>
      <c r="C43" s="41"/>
      <c r="D43" s="41"/>
      <c r="E43" s="41"/>
      <c r="F43" s="41"/>
      <c r="G43" s="41"/>
      <c r="H43" s="41"/>
      <c r="I43" s="41"/>
      <c r="J43" s="41"/>
      <c r="K43" s="351"/>
      <c r="L43" s="350">
        <f>K41</f>
        <v>0</v>
      </c>
      <c r="M43" s="131"/>
      <c r="N43" s="64"/>
      <c r="O43" s="6"/>
      <c r="P43" s="73"/>
      <c r="R43" s="68"/>
      <c r="S43" s="55"/>
      <c r="T43" s="77"/>
      <c r="U43" s="22"/>
      <c r="V43" s="159"/>
      <c r="W43" s="67"/>
    </row>
    <row r="44" spans="1:25" ht="35.25" customHeight="1" x14ac:dyDescent="0.25">
      <c r="A44" s="507" t="s">
        <v>241</v>
      </c>
      <c r="B44" s="827" t="s">
        <v>163</v>
      </c>
      <c r="C44" s="41"/>
      <c r="D44" s="41"/>
      <c r="E44" s="41"/>
      <c r="F44" s="41"/>
      <c r="G44" s="41"/>
      <c r="H44" s="41"/>
      <c r="I44" s="41"/>
      <c r="J44" s="41"/>
      <c r="K44" s="351"/>
      <c r="L44" s="350">
        <f>'1. Nettokostnader'!C83</f>
        <v>0</v>
      </c>
      <c r="M44" s="131"/>
      <c r="N44" s="64"/>
      <c r="O44" s="6"/>
      <c r="P44" s="73"/>
      <c r="R44" s="68"/>
      <c r="S44" s="55"/>
      <c r="T44" s="77"/>
      <c r="U44" s="22"/>
      <c r="V44" s="159"/>
      <c r="W44" s="67"/>
    </row>
    <row r="45" spans="1:25" s="130" customFormat="1" ht="22.5" customHeight="1" thickBot="1" x14ac:dyDescent="0.3">
      <c r="A45" s="512" t="s">
        <v>246</v>
      </c>
      <c r="B45" s="737" t="s">
        <v>408</v>
      </c>
      <c r="C45" s="59"/>
      <c r="D45" s="59"/>
      <c r="E45" s="59"/>
      <c r="F45" s="59"/>
      <c r="G45" s="59"/>
      <c r="H45" s="59"/>
      <c r="I45" s="59"/>
      <c r="J45" s="59"/>
      <c r="K45" s="336"/>
      <c r="L45" s="619">
        <f>L41-L42-L43+L44</f>
        <v>0</v>
      </c>
      <c r="M45" s="137"/>
      <c r="N45" s="332"/>
      <c r="O45" s="48"/>
      <c r="P45" s="328"/>
      <c r="Q45" s="329"/>
      <c r="R45" s="333"/>
      <c r="S45" s="334"/>
      <c r="T45" s="335"/>
      <c r="U45" s="336"/>
      <c r="V45" s="164"/>
      <c r="W45" s="96"/>
    </row>
    <row r="46" spans="1:25" ht="15" customHeight="1" x14ac:dyDescent="0.25">
      <c r="L46" s="130"/>
      <c r="M46" s="131"/>
      <c r="T46" s="134"/>
    </row>
    <row r="47" spans="1:25" ht="15" customHeight="1" x14ac:dyDescent="0.25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S47" s="137"/>
      <c r="T47" s="137"/>
      <c r="U47" s="135"/>
    </row>
    <row r="48" spans="1:25" ht="15" customHeight="1" thickBot="1" x14ac:dyDescent="0.4">
      <c r="A48" s="136"/>
      <c r="B48" s="138" t="s">
        <v>467</v>
      </c>
      <c r="M48" s="137"/>
      <c r="N48" s="137"/>
      <c r="O48" s="137"/>
      <c r="S48" s="137"/>
      <c r="T48" s="137"/>
      <c r="U48" s="135"/>
    </row>
    <row r="49" spans="1:21" ht="15" customHeight="1" x14ac:dyDescent="0.3">
      <c r="A49" s="513" t="s">
        <v>523</v>
      </c>
      <c r="B49" s="676" t="s">
        <v>390</v>
      </c>
      <c r="C49" s="677">
        <f>'7. Spec kostnader'!C9</f>
        <v>0</v>
      </c>
      <c r="D49" s="677">
        <f>'7. Spec kostnader'!C11+'7. Spec kostnader'!C15+'7. Spec kostnader'!C16-'3. Drift. kostnader'!L44</f>
        <v>0</v>
      </c>
      <c r="E49" s="677">
        <f>'7. Spec kostnader'!C19</f>
        <v>0</v>
      </c>
      <c r="F49" s="677">
        <f>'7. Spec kostnader'!C33</f>
        <v>0</v>
      </c>
      <c r="G49" s="678"/>
      <c r="H49" s="677">
        <f>'7. Spec kostnader'!C18-'7. Spec kostnader'!C19-'7. Spec kostnader'!C33+'7. Spec kostnader'!C37-'7. Spec kostnader'!C48-'7. Spec kostnader'!C49-'7. Spec kostnader'!C50-'7. Spec kostnader'!C51</f>
        <v>0</v>
      </c>
      <c r="I49" s="677">
        <f>'7. Spec kostnader'!C48+'7. Spec kostnader'!C49+'7. Spec kostnader'!C50+'7. Spec kostnader'!C51</f>
        <v>0</v>
      </c>
      <c r="J49" s="679"/>
      <c r="K49" s="679"/>
      <c r="L49" s="680">
        <f>S41-'7. Spec kostnader'!C53</f>
        <v>0</v>
      </c>
      <c r="M49" s="137"/>
      <c r="N49" s="896" t="str">
        <f>IF(ABS(L44-(-1*L49))&gt;5.99,"Beloppen i L49 och L44 ska vara lika med motsatta förtecken","")</f>
        <v/>
      </c>
      <c r="O49" s="137"/>
      <c r="S49" s="137"/>
      <c r="T49" s="137"/>
      <c r="U49" s="135"/>
    </row>
    <row r="50" spans="1:21" ht="14.25" customHeight="1" x14ac:dyDescent="0.25">
      <c r="A50" s="508" t="s">
        <v>327</v>
      </c>
      <c r="B50" s="735" t="s">
        <v>391</v>
      </c>
      <c r="C50" s="690">
        <f>C41-C49</f>
        <v>0</v>
      </c>
      <c r="D50" s="690">
        <f>D41-D49</f>
        <v>0</v>
      </c>
      <c r="E50" s="690">
        <f>E41-E49</f>
        <v>0</v>
      </c>
      <c r="F50" s="689">
        <f>F41-F49</f>
        <v>0</v>
      </c>
      <c r="G50" s="691"/>
      <c r="H50" s="690">
        <f>(G41+H41)-H49</f>
        <v>0</v>
      </c>
      <c r="I50" s="690">
        <f>I41-I49</f>
        <v>0</v>
      </c>
      <c r="J50" s="692"/>
      <c r="K50" s="673"/>
      <c r="L50" s="675"/>
      <c r="N50" s="884" t="str">
        <f>IF(AND(ABS(C41-C49)&gt;1,'7. Spec kostnader'!C17 = "",'7. Spec kostnader'!C17 = 0),(ROUND(C41-C49,0))&amp;" mkr diff.mellan summan kol C och Löner i flik 7 - måste rättas!",IF(AND(ABS(D41-D49)&gt;1,'7. Spec kostnader'!C17 = "",'7. Spec kostnader'!C17 = 0),(ROUND(D41-D49,0))&amp;" mkr diff.mellan summan kol D och Övriga kostnader personal i flik 7 - måste rättas!",IF(ABS(E41-E49)&gt;1,(ROUND(E41-E49,0))&amp;" mkr diff.mellan summan kol E och Köp av verksamhet i flik 7 - måste rättas!",IF(ABS(F41-F49)&gt;1,(ROUND(F41-F49,0))&amp;" mkr diff.mellan summan kol F och Lämnade bidrag i flik 7 - måste rättas!",IF(ABS(G41+H41-H49)&gt;1,(ROUND(G41+H41-H49,0))&amp;" mkr diff.mellan summan kol G + kol H och Tjänster i flik 7 - måste rättas!",IF(ABS(I41-I49)&gt;1,(ROUND(I41-I49,0))&amp;" mkr diff.mellan summan kol I och Avskrivningar mm. i flik 7 - måste rättas!",""))))))</f>
        <v/>
      </c>
      <c r="P50" s="129"/>
      <c r="Q50" s="129"/>
      <c r="R50" s="129"/>
      <c r="T50" s="129"/>
    </row>
    <row r="51" spans="1:21" ht="14.25" customHeight="1" x14ac:dyDescent="0.25">
      <c r="A51" s="508"/>
      <c r="B51" s="672"/>
      <c r="C51" s="673"/>
      <c r="D51" s="673"/>
      <c r="E51" s="673"/>
      <c r="F51" s="673"/>
      <c r="G51" s="681"/>
      <c r="H51" s="673"/>
      <c r="I51" s="673"/>
      <c r="J51" s="673"/>
      <c r="K51" s="673"/>
      <c r="L51" s="674"/>
      <c r="N51" s="129"/>
      <c r="P51" s="129"/>
      <c r="Q51" s="129"/>
      <c r="R51" s="129"/>
      <c r="T51" s="129"/>
    </row>
    <row r="52" spans="1:21" ht="14.25" customHeight="1" x14ac:dyDescent="0.25">
      <c r="A52" s="508"/>
      <c r="B52" s="961" t="s">
        <v>584</v>
      </c>
      <c r="C52" s="963"/>
      <c r="D52" s="673"/>
      <c r="E52" s="673"/>
      <c r="F52" s="673"/>
      <c r="G52" s="681"/>
      <c r="H52" s="673"/>
      <c r="I52" s="872"/>
      <c r="J52" s="874" t="s">
        <v>417</v>
      </c>
      <c r="K52" s="874"/>
      <c r="L52" s="875"/>
      <c r="N52" s="129"/>
      <c r="P52" s="129"/>
      <c r="Q52" s="129"/>
      <c r="R52" s="129"/>
      <c r="T52" s="129"/>
    </row>
    <row r="53" spans="1:21" ht="13.5" customHeight="1" thickBot="1" x14ac:dyDescent="0.35">
      <c r="A53" s="508" t="s">
        <v>328</v>
      </c>
      <c r="B53" s="962" t="s">
        <v>422</v>
      </c>
      <c r="C53" s="964">
        <f>L40-C52</f>
        <v>0</v>
      </c>
      <c r="D53" s="682"/>
      <c r="E53" s="682"/>
      <c r="F53" s="682"/>
      <c r="G53" s="682"/>
      <c r="H53" s="682"/>
      <c r="I53" s="876"/>
      <c r="J53" s="877" t="s">
        <v>422</v>
      </c>
      <c r="K53" s="878"/>
      <c r="L53" s="879">
        <f>L45-L52</f>
        <v>0</v>
      </c>
      <c r="N53" s="502" t="str">
        <f>IF(ABS(L45-L52)&gt;5.99,(ROUND(L45-L52,0))&amp;" mkr diff.mellan Verksamhetens kostnader här och Verksamhetens kostnader enl. Steg 1 - måste rättas!","")</f>
        <v/>
      </c>
      <c r="P53" s="129"/>
      <c r="Q53" s="129"/>
      <c r="R53" s="129"/>
      <c r="T53" s="129"/>
    </row>
    <row r="54" spans="1:21" ht="15" customHeight="1" x14ac:dyDescent="0.25">
      <c r="C54" s="502" t="str">
        <f>IF(ABS(L40-C52)&gt;5.99,(ROUND(L40-C52,0))&amp;" mkr diff.mellan jämförelsestörande kostnader här och jämförelsestörande kostnader enl. Steg 1 - måste rättas!","")</f>
        <v/>
      </c>
    </row>
    <row r="59" spans="1:21" ht="15" hidden="1" customHeight="1" x14ac:dyDescent="0.25">
      <c r="L59" s="395"/>
    </row>
    <row r="60" spans="1:21" ht="15" customHeight="1" x14ac:dyDescent="0.25"/>
  </sheetData>
  <mergeCells count="8">
    <mergeCell ref="X8:X9"/>
    <mergeCell ref="V39:V40"/>
    <mergeCell ref="V13:V18"/>
    <mergeCell ref="V25:V30"/>
    <mergeCell ref="A6:A10"/>
    <mergeCell ref="P6:P10"/>
    <mergeCell ref="S6:U6"/>
    <mergeCell ref="V7:V10"/>
  </mergeCells>
  <phoneticPr fontId="0" type="noConversion"/>
  <conditionalFormatting sqref="H50:I50 C50:F50 L50">
    <cfRule type="cellIs" dxfId="102" priority="79" stopIfTrue="1" operator="notBetween">
      <formula>-3</formula>
      <formula>3</formula>
    </cfRule>
  </conditionalFormatting>
  <conditionalFormatting sqref="B50">
    <cfRule type="expression" dxfId="101" priority="3">
      <formula>ABS(I50)&gt;1</formula>
    </cfRule>
    <cfRule type="expression" dxfId="100" priority="4">
      <formula>ABS(H50)&gt;1</formula>
    </cfRule>
    <cfRule type="expression" dxfId="99" priority="5">
      <formula>ABS(F50)&gt;1</formula>
    </cfRule>
    <cfRule type="expression" dxfId="98" priority="6">
      <formula>ABS(E50)&gt;1</formula>
    </cfRule>
    <cfRule type="expression" dxfId="97" priority="7">
      <formula>ABS(D50)&gt;1</formula>
    </cfRule>
    <cfRule type="expression" dxfId="96" priority="8" stopIfTrue="1">
      <formula>ABS(C50)&gt;1</formula>
    </cfRule>
    <cfRule type="expression" dxfId="95" priority="80" stopIfTrue="1">
      <formula>SUM($C$50:$F$50)+SUM($H$50:$I$50)&gt;10</formula>
    </cfRule>
    <cfRule type="expression" dxfId="94" priority="81" stopIfTrue="1">
      <formula>SUM($C$50:$F$50)+SUM($H$50:$I$50)&lt;-10</formula>
    </cfRule>
  </conditionalFormatting>
  <conditionalFormatting sqref="C15:K15">
    <cfRule type="expression" dxfId="93" priority="94" stopIfTrue="1">
      <formula>IF(AND(C$15&gt;C$14),SUM(C$14-C$15)&lt;-0.1)</formula>
    </cfRule>
  </conditionalFormatting>
  <conditionalFormatting sqref="C17:K17">
    <cfRule type="expression" dxfId="92" priority="96" stopIfTrue="1">
      <formula>IF(AND(C$17&gt;C$16),SUM(C$16-C$17)&lt;-0.1)</formula>
    </cfRule>
  </conditionalFormatting>
  <conditionalFormatting sqref="C20:K22">
    <cfRule type="expression" dxfId="91" priority="98" stopIfTrue="1">
      <formula>IF(AND(SUM(C$20:C$22)&gt;C$19),SUM(C$19-C$20-C$21-C$22)&lt;-0.1)</formula>
    </cfRule>
  </conditionalFormatting>
  <conditionalFormatting sqref="C26:K28">
    <cfRule type="expression" dxfId="90" priority="100" stopIfTrue="1">
      <formula>IF(AND(SUM(C$26:C$28)&gt;C$25),SUM(C$25-C$26-C$27-C$28)&lt;-0.1)</formula>
    </cfRule>
  </conditionalFormatting>
  <conditionalFormatting sqref="C32:K32">
    <cfRule type="expression" dxfId="89" priority="102" stopIfTrue="1">
      <formula>IF(AND(C32&gt;C31),"sant","falskt")</formula>
    </cfRule>
  </conditionalFormatting>
  <conditionalFormatting sqref="V44:V45">
    <cfRule type="expression" dxfId="88" priority="113" stopIfTrue="1">
      <formula>ABS(T48-U48)&lt;50</formula>
    </cfRule>
    <cfRule type="cellIs" dxfId="87" priority="114" stopIfTrue="1" operator="notBetween">
      <formula>-0.15</formula>
      <formula>0.15</formula>
    </cfRule>
  </conditionalFormatting>
  <conditionalFormatting sqref="V42:V43">
    <cfRule type="expression" dxfId="86" priority="115" stopIfTrue="1">
      <formula>ABS(T47-U47)&lt;50</formula>
    </cfRule>
    <cfRule type="cellIs" dxfId="85" priority="116" stopIfTrue="1" operator="notBetween">
      <formula>-0.15</formula>
      <formula>0.15</formula>
    </cfRule>
  </conditionalFormatting>
  <conditionalFormatting sqref="C13:K13">
    <cfRule type="expression" dxfId="84" priority="18" stopIfTrue="1">
      <formula>IF(AND(C$13&gt;C$12),SUM(C$12-C$13)&lt;-0.1)</formula>
    </cfRule>
  </conditionalFormatting>
  <conditionalFormatting sqref="U11:U41">
    <cfRule type="expression" dxfId="83" priority="16" stopIfTrue="1">
      <formula>W11="Kommentera"</formula>
    </cfRule>
  </conditionalFormatting>
  <conditionalFormatting sqref="C12:K23 C40:K40 C37:J39 C25:K35">
    <cfRule type="cellIs" dxfId="82" priority="15" stopIfTrue="1" operator="lessThan">
      <formula>-1</formula>
    </cfRule>
  </conditionalFormatting>
  <conditionalFormatting sqref="P11:P41">
    <cfRule type="cellIs" dxfId="81" priority="13" stopIfTrue="1" operator="greaterThan">
      <formula>5</formula>
    </cfRule>
    <cfRule type="cellIs" dxfId="80" priority="14" stopIfTrue="1" operator="lessThan">
      <formula>-5</formula>
    </cfRule>
  </conditionalFormatting>
  <conditionalFormatting sqref="C31:K31">
    <cfRule type="expression" dxfId="79" priority="12" stopIfTrue="1">
      <formula>IF(AND(C$31&gt;C$30),SUM(C$30-C$31)&lt;-0.1)</formula>
    </cfRule>
  </conditionalFormatting>
  <conditionalFormatting sqref="C34:K34">
    <cfRule type="expression" dxfId="78" priority="11" stopIfTrue="1">
      <formula>IF(AND(C$34&gt;C$33),SUM(C$33-C$34)&lt;-0.1)</formula>
    </cfRule>
  </conditionalFormatting>
  <conditionalFormatting sqref="L52:L53">
    <cfRule type="expression" dxfId="77" priority="10">
      <formula>ABS(L52-L45)&gt;1</formula>
    </cfRule>
  </conditionalFormatting>
  <conditionalFormatting sqref="J53">
    <cfRule type="expression" dxfId="76" priority="9">
      <formula>ABS(L53)&gt;1</formula>
    </cfRule>
  </conditionalFormatting>
  <conditionalFormatting sqref="W12:W41">
    <cfRule type="cellIs" dxfId="75" priority="1" stopIfTrue="1" operator="equal">
      <formula>"Förändring"</formula>
    </cfRule>
  </conditionalFormatting>
  <conditionalFormatting sqref="W12">
    <cfRule type="cellIs" dxfId="74" priority="2" stopIfTrue="1" operator="notEqual">
      <formula>"Förändring"</formula>
    </cfRule>
  </conditionalFormatting>
  <dataValidations count="1">
    <dataValidation type="decimal" allowBlank="1" showErrorMessage="1" error="Endast tal får anges!" sqref="P47:S49 L11:L45 C11:K41 M11:M48 C47:L47 P11:S41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O49"/>
  <sheetViews>
    <sheetView zoomScaleNormal="100" workbookViewId="0"/>
  </sheetViews>
  <sheetFormatPr defaultColWidth="0" defaultRowHeight="12.5" zeroHeight="1" x14ac:dyDescent="0.25"/>
  <cols>
    <col min="1" max="1" width="10.453125" style="152" customWidth="1"/>
    <col min="2" max="2" width="46.54296875" style="152" customWidth="1"/>
    <col min="3" max="6" width="13.54296875" style="152" customWidth="1"/>
    <col min="7" max="7" width="36.453125" style="153" customWidth="1"/>
    <col min="8" max="9" width="0" style="152" hidden="1" customWidth="1"/>
    <col min="10" max="10" width="19.453125" style="152" hidden="1" customWidth="1"/>
    <col min="11" max="16384" width="0" style="152" hidden="1"/>
  </cols>
  <sheetData>
    <row r="1" spans="1:7" ht="24.75" customHeight="1" x14ac:dyDescent="0.4">
      <c r="A1" s="2" t="s">
        <v>351</v>
      </c>
      <c r="B1" s="2"/>
      <c r="C1" s="2"/>
      <c r="D1" s="2"/>
      <c r="E1" s="2"/>
      <c r="F1" s="2"/>
      <c r="G1" s="2"/>
    </row>
    <row r="2" spans="1:7" ht="13.4" customHeight="1" x14ac:dyDescent="0.4">
      <c r="A2" s="551"/>
      <c r="B2" s="141"/>
      <c r="C2" s="801"/>
      <c r="D2" s="828" t="s">
        <v>473</v>
      </c>
      <c r="E2" s="142"/>
      <c r="F2" s="798" t="s">
        <v>516</v>
      </c>
      <c r="G2" s="167"/>
    </row>
    <row r="3" spans="1:7" ht="13.4" customHeight="1" x14ac:dyDescent="0.25">
      <c r="A3" s="142"/>
      <c r="B3" s="142"/>
      <c r="C3" s="802"/>
      <c r="D3" s="829" t="s">
        <v>514</v>
      </c>
      <c r="E3" s="142"/>
      <c r="F3" s="145"/>
      <c r="G3" s="142"/>
    </row>
    <row r="4" spans="1:7" ht="13.4" customHeight="1" x14ac:dyDescent="0.4">
      <c r="A4" s="167"/>
      <c r="B4" s="167"/>
      <c r="C4" s="799"/>
      <c r="D4" s="843" t="s">
        <v>515</v>
      </c>
      <c r="E4" s="664"/>
      <c r="F4" s="154"/>
      <c r="G4" s="167"/>
    </row>
    <row r="5" spans="1:7" s="518" customFormat="1" ht="14.25" customHeight="1" thickBot="1" x14ac:dyDescent="0.45">
      <c r="A5" s="509" t="s">
        <v>228</v>
      </c>
      <c r="B5" s="509" t="s">
        <v>237</v>
      </c>
      <c r="C5" s="509" t="s">
        <v>238</v>
      </c>
      <c r="D5" s="509" t="s">
        <v>239</v>
      </c>
      <c r="E5" s="516" t="s">
        <v>240</v>
      </c>
      <c r="F5" s="509" t="s">
        <v>249</v>
      </c>
      <c r="G5" s="517"/>
    </row>
    <row r="6" spans="1:7" s="145" customFormat="1" ht="67.5" customHeight="1" x14ac:dyDescent="0.25">
      <c r="A6" s="343" t="s">
        <v>267</v>
      </c>
      <c r="B6" s="300" t="s">
        <v>32</v>
      </c>
      <c r="C6" s="301" t="s">
        <v>177</v>
      </c>
      <c r="D6" s="302" t="s">
        <v>96</v>
      </c>
      <c r="E6" s="302" t="s">
        <v>395</v>
      </c>
      <c r="F6" s="740" t="s">
        <v>418</v>
      </c>
      <c r="G6" s="973" t="str">
        <f>IF(COUNTIF(C7:F32, "&lt;0")&gt;0, "Minusbelopp förekommer, var vänlig kommentera i kommentarsrutan längst ned!", "")</f>
        <v/>
      </c>
    </row>
    <row r="7" spans="1:7" s="145" customFormat="1" ht="15.75" customHeight="1" x14ac:dyDescent="0.25">
      <c r="A7" s="780" t="s">
        <v>247</v>
      </c>
      <c r="B7" s="38" t="s">
        <v>137</v>
      </c>
      <c r="C7" s="621">
        <f>SUM(C8,C10,C12,C14,C15,C18)</f>
        <v>0</v>
      </c>
      <c r="D7" s="622">
        <f>SUM(D8,D10,D12,D14,D15,D18)</f>
        <v>0</v>
      </c>
      <c r="E7" s="624">
        <f>SUM(E8,E10,E12,E14,E15,E18)</f>
        <v>0</v>
      </c>
      <c r="F7" s="594">
        <f>SUM(F8,F10,F12,F14,F15,F18)</f>
        <v>0</v>
      </c>
      <c r="G7" s="264"/>
    </row>
    <row r="8" spans="1:7" s="145" customFormat="1" ht="15.75" customHeight="1" x14ac:dyDescent="0.25">
      <c r="A8" s="120" t="s">
        <v>179</v>
      </c>
      <c r="B8" s="18" t="s">
        <v>40</v>
      </c>
      <c r="C8" s="456"/>
      <c r="D8" s="432"/>
      <c r="E8" s="653"/>
      <c r="F8" s="460"/>
      <c r="G8" s="265"/>
    </row>
    <row r="9" spans="1:7" s="269" customFormat="1" ht="15.75" customHeight="1" x14ac:dyDescent="0.3">
      <c r="A9" s="120" t="s">
        <v>141</v>
      </c>
      <c r="B9" s="18" t="s">
        <v>123</v>
      </c>
      <c r="C9" s="457"/>
      <c r="D9" s="458"/>
      <c r="E9" s="653"/>
      <c r="F9" s="460"/>
      <c r="G9" s="266"/>
    </row>
    <row r="10" spans="1:7" s="145" customFormat="1" ht="15.75" customHeight="1" x14ac:dyDescent="0.25">
      <c r="A10" s="120" t="s">
        <v>180</v>
      </c>
      <c r="B10" s="18" t="s">
        <v>2</v>
      </c>
      <c r="C10" s="456"/>
      <c r="D10" s="432"/>
      <c r="E10" s="653"/>
      <c r="F10" s="460"/>
      <c r="G10" s="265"/>
    </row>
    <row r="11" spans="1:7" s="269" customFormat="1" ht="15.75" customHeight="1" x14ac:dyDescent="0.3">
      <c r="A11" s="120" t="s">
        <v>187</v>
      </c>
      <c r="B11" s="18" t="s">
        <v>124</v>
      </c>
      <c r="C11" s="457"/>
      <c r="D11" s="458"/>
      <c r="E11" s="653"/>
      <c r="F11" s="460"/>
      <c r="G11" s="265"/>
    </row>
    <row r="12" spans="1:7" s="145" customFormat="1" ht="15.75" customHeight="1" x14ac:dyDescent="0.25">
      <c r="A12" s="120" t="s">
        <v>181</v>
      </c>
      <c r="B12" s="18" t="s">
        <v>3</v>
      </c>
      <c r="C12" s="456"/>
      <c r="D12" s="432"/>
      <c r="E12" s="653"/>
      <c r="F12" s="460"/>
      <c r="G12" s="265"/>
    </row>
    <row r="13" spans="1:7" s="269" customFormat="1" ht="15.75" customHeight="1" x14ac:dyDescent="0.3">
      <c r="A13" s="120" t="s">
        <v>191</v>
      </c>
      <c r="B13" s="18" t="s">
        <v>125</v>
      </c>
      <c r="C13" s="456"/>
      <c r="D13" s="432"/>
      <c r="E13" s="653"/>
      <c r="F13" s="460"/>
      <c r="G13" s="265"/>
    </row>
    <row r="14" spans="1:7" s="145" customFormat="1" ht="15.75" customHeight="1" x14ac:dyDescent="0.25">
      <c r="A14" s="120" t="s">
        <v>182</v>
      </c>
      <c r="B14" s="18" t="s">
        <v>4</v>
      </c>
      <c r="C14" s="456"/>
      <c r="D14" s="432"/>
      <c r="E14" s="653"/>
      <c r="F14" s="460"/>
      <c r="G14" s="265"/>
    </row>
    <row r="15" spans="1:7" s="145" customFormat="1" ht="15.75" customHeight="1" x14ac:dyDescent="0.25">
      <c r="A15" s="120" t="s">
        <v>183</v>
      </c>
      <c r="B15" s="18" t="s">
        <v>35</v>
      </c>
      <c r="C15" s="456"/>
      <c r="D15" s="432"/>
      <c r="E15" s="653"/>
      <c r="F15" s="460"/>
      <c r="G15" s="265"/>
    </row>
    <row r="16" spans="1:7" s="269" customFormat="1" ht="15.75" customHeight="1" x14ac:dyDescent="0.3">
      <c r="A16" s="120" t="s">
        <v>198</v>
      </c>
      <c r="B16" s="18" t="s">
        <v>475</v>
      </c>
      <c r="C16" s="457"/>
      <c r="D16" s="458"/>
      <c r="E16" s="653"/>
      <c r="F16" s="460"/>
      <c r="G16" s="265"/>
    </row>
    <row r="17" spans="1:15" s="269" customFormat="1" ht="15.75" customHeight="1" x14ac:dyDescent="0.3">
      <c r="A17" s="120" t="s">
        <v>199</v>
      </c>
      <c r="B17" s="18" t="s">
        <v>42</v>
      </c>
      <c r="C17" s="457"/>
      <c r="D17" s="458"/>
      <c r="E17" s="653"/>
      <c r="F17" s="460"/>
      <c r="G17" s="265"/>
    </row>
    <row r="18" spans="1:15" s="145" customFormat="1" ht="15.75" customHeight="1" x14ac:dyDescent="0.25">
      <c r="A18" s="321" t="s">
        <v>204</v>
      </c>
      <c r="B18" s="18" t="s">
        <v>121</v>
      </c>
      <c r="C18" s="475"/>
      <c r="D18" s="432"/>
      <c r="E18" s="653"/>
      <c r="F18" s="460"/>
      <c r="G18" s="265"/>
    </row>
    <row r="19" spans="1:15" s="145" customFormat="1" ht="15.75" customHeight="1" x14ac:dyDescent="0.25">
      <c r="A19" s="781" t="s">
        <v>234</v>
      </c>
      <c r="B19" s="39" t="s">
        <v>135</v>
      </c>
      <c r="C19" s="623">
        <f>SUM(C20,C24:C27)</f>
        <v>0</v>
      </c>
      <c r="D19" s="624">
        <f>SUM(D20,D24:D27)</f>
        <v>0</v>
      </c>
      <c r="E19" s="624">
        <f>SUM(E20,E24:E27)</f>
        <v>0</v>
      </c>
      <c r="F19" s="594">
        <f>SUM(F20,F24:F27)</f>
        <v>0</v>
      </c>
      <c r="G19" s="151"/>
    </row>
    <row r="20" spans="1:15" s="145" customFormat="1" ht="15.75" customHeight="1" x14ac:dyDescent="0.25">
      <c r="A20" s="120" t="s">
        <v>72</v>
      </c>
      <c r="B20" s="54" t="s">
        <v>33</v>
      </c>
      <c r="C20" s="456"/>
      <c r="D20" s="432"/>
      <c r="E20" s="653"/>
      <c r="F20" s="460"/>
      <c r="G20" s="265"/>
    </row>
    <row r="21" spans="1:15" s="269" customFormat="1" ht="15.75" customHeight="1" x14ac:dyDescent="0.3">
      <c r="A21" s="120" t="s">
        <v>205</v>
      </c>
      <c r="B21" s="18" t="s">
        <v>131</v>
      </c>
      <c r="C21" s="457"/>
      <c r="D21" s="458"/>
      <c r="E21" s="653"/>
      <c r="F21" s="460"/>
      <c r="G21" s="267"/>
    </row>
    <row r="22" spans="1:15" s="270" customFormat="1" ht="15.75" customHeight="1" x14ac:dyDescent="0.3">
      <c r="A22" s="120" t="s">
        <v>206</v>
      </c>
      <c r="B22" s="18" t="s">
        <v>133</v>
      </c>
      <c r="C22" s="457"/>
      <c r="D22" s="458"/>
      <c r="E22" s="653"/>
      <c r="F22" s="460"/>
      <c r="G22" s="268"/>
    </row>
    <row r="23" spans="1:15" s="269" customFormat="1" ht="15.75" customHeight="1" x14ac:dyDescent="0.3">
      <c r="A23" s="120" t="s">
        <v>207</v>
      </c>
      <c r="B23" s="18" t="s">
        <v>132</v>
      </c>
      <c r="C23" s="457"/>
      <c r="D23" s="458"/>
      <c r="E23" s="653"/>
      <c r="F23" s="460"/>
      <c r="G23" s="268"/>
    </row>
    <row r="24" spans="1:15" s="145" customFormat="1" ht="15.75" customHeight="1" x14ac:dyDescent="0.25">
      <c r="A24" s="120" t="s">
        <v>151</v>
      </c>
      <c r="B24" s="18" t="s">
        <v>11</v>
      </c>
      <c r="C24" s="456"/>
      <c r="D24" s="432"/>
      <c r="E24" s="653"/>
      <c r="F24" s="460"/>
      <c r="G24" s="265"/>
    </row>
    <row r="25" spans="1:15" s="145" customFormat="1" ht="15.75" customHeight="1" x14ac:dyDescent="0.25">
      <c r="A25" s="120" t="s">
        <v>152</v>
      </c>
      <c r="B25" s="18" t="s">
        <v>13</v>
      </c>
      <c r="C25" s="456"/>
      <c r="D25" s="432"/>
      <c r="E25" s="653"/>
      <c r="F25" s="460"/>
      <c r="G25" s="265"/>
      <c r="K25" s="129"/>
      <c r="L25" s="129"/>
      <c r="M25" s="129"/>
      <c r="N25" s="129"/>
      <c r="O25" s="129"/>
    </row>
    <row r="26" spans="1:15" s="145" customFormat="1" ht="15.75" customHeight="1" x14ac:dyDescent="0.25">
      <c r="A26" s="120" t="s">
        <v>153</v>
      </c>
      <c r="B26" s="18" t="s">
        <v>122</v>
      </c>
      <c r="C26" s="456"/>
      <c r="D26" s="432"/>
      <c r="E26" s="653"/>
      <c r="F26" s="460"/>
      <c r="G26" s="265"/>
      <c r="K26" s="129"/>
      <c r="L26" s="129"/>
      <c r="M26" s="129"/>
      <c r="N26" s="129"/>
      <c r="O26" s="129"/>
    </row>
    <row r="27" spans="1:15" s="145" customFormat="1" ht="15.75" customHeight="1" x14ac:dyDescent="0.25">
      <c r="A27" s="120" t="s">
        <v>219</v>
      </c>
      <c r="B27" s="18" t="s">
        <v>114</v>
      </c>
      <c r="C27" s="456"/>
      <c r="D27" s="432"/>
      <c r="E27" s="653"/>
      <c r="F27" s="460"/>
      <c r="G27" s="265"/>
      <c r="K27" s="129"/>
      <c r="L27" s="129"/>
      <c r="M27" s="129"/>
      <c r="N27" s="129"/>
      <c r="O27" s="129"/>
    </row>
    <row r="28" spans="1:15" s="145" customFormat="1" ht="15.75" customHeight="1" x14ac:dyDescent="0.25">
      <c r="A28" s="99" t="s">
        <v>170</v>
      </c>
      <c r="B28" s="17" t="s">
        <v>375</v>
      </c>
      <c r="C28" s="625">
        <f>SUM(C29:C31)</f>
        <v>0</v>
      </c>
      <c r="D28" s="626">
        <f>SUM(D29:D31)</f>
        <v>0</v>
      </c>
      <c r="E28" s="651">
        <f>SUM(E29:E31)</f>
        <v>0</v>
      </c>
      <c r="F28" s="741">
        <f>SUM(F29:F31)</f>
        <v>0</v>
      </c>
      <c r="G28" s="265"/>
      <c r="K28" s="129"/>
      <c r="L28" s="129"/>
      <c r="M28" s="129"/>
      <c r="N28" s="129"/>
      <c r="O28" s="129"/>
    </row>
    <row r="29" spans="1:15" s="145" customFormat="1" ht="15.75" customHeight="1" x14ac:dyDescent="0.25">
      <c r="A29" s="46" t="s">
        <v>220</v>
      </c>
      <c r="B29" s="18" t="s">
        <v>119</v>
      </c>
      <c r="C29" s="456"/>
      <c r="D29" s="432"/>
      <c r="E29" s="653"/>
      <c r="F29" s="460"/>
      <c r="G29" s="265"/>
      <c r="K29" s="129"/>
      <c r="L29" s="129"/>
      <c r="M29" s="129"/>
      <c r="N29" s="129"/>
      <c r="O29" s="129"/>
    </row>
    <row r="30" spans="1:15" s="145" customFormat="1" ht="15.75" customHeight="1" x14ac:dyDescent="0.25">
      <c r="A30" s="118" t="s">
        <v>221</v>
      </c>
      <c r="B30" s="19" t="s">
        <v>36</v>
      </c>
      <c r="C30" s="461"/>
      <c r="D30" s="435"/>
      <c r="E30" s="654"/>
      <c r="F30" s="742"/>
      <c r="G30" s="265"/>
      <c r="K30" s="129"/>
      <c r="L30" s="129"/>
      <c r="M30" s="129"/>
      <c r="N30" s="129"/>
      <c r="O30" s="129"/>
    </row>
    <row r="31" spans="1:15" s="145" customFormat="1" ht="15.75" customHeight="1" x14ac:dyDescent="0.25">
      <c r="A31" s="118" t="s">
        <v>222</v>
      </c>
      <c r="B31" s="19" t="s">
        <v>37</v>
      </c>
      <c r="C31" s="457"/>
      <c r="D31" s="458"/>
      <c r="E31" s="685"/>
      <c r="F31" s="743"/>
      <c r="G31" s="969"/>
      <c r="K31" s="129"/>
      <c r="L31" s="129"/>
      <c r="M31" s="129"/>
      <c r="N31" s="129"/>
      <c r="O31" s="129"/>
    </row>
    <row r="32" spans="1:15" s="145" customFormat="1" ht="15.75" customHeight="1" x14ac:dyDescent="0.25">
      <c r="A32" s="99" t="s">
        <v>321</v>
      </c>
      <c r="B32" s="17" t="s">
        <v>312</v>
      </c>
      <c r="C32" s="782"/>
      <c r="D32" s="434"/>
      <c r="E32" s="783"/>
      <c r="F32" s="784"/>
      <c r="G32" s="265"/>
      <c r="K32" s="129"/>
      <c r="L32" s="129"/>
      <c r="M32" s="129"/>
      <c r="N32" s="129"/>
      <c r="O32" s="129"/>
    </row>
    <row r="33" spans="1:8" s="145" customFormat="1" ht="15.75" customHeight="1" thickBot="1" x14ac:dyDescent="0.3">
      <c r="A33" s="777" t="s">
        <v>120</v>
      </c>
      <c r="B33" s="48" t="s">
        <v>142</v>
      </c>
      <c r="C33" s="627">
        <f>SUM(C7,C19,C28,C32)</f>
        <v>0</v>
      </c>
      <c r="D33" s="627">
        <f>SUM(D7,D19,D28,D32)</f>
        <v>0</v>
      </c>
      <c r="E33" s="652">
        <f>SUM(E7,E19,E28,E32)</f>
        <v>0</v>
      </c>
      <c r="F33" s="744">
        <f>SUM(F7,F19,F28,F32)</f>
        <v>0</v>
      </c>
      <c r="G33" s="151"/>
    </row>
    <row r="34" spans="1:8" s="145" customFormat="1" ht="11.5" x14ac:dyDescent="0.25">
      <c r="B34" s="150"/>
      <c r="C34" s="146"/>
      <c r="D34" s="146"/>
      <c r="E34" s="166"/>
      <c r="F34" s="166"/>
      <c r="G34" s="151"/>
    </row>
    <row r="35" spans="1:8" s="145" customFormat="1" ht="16" thickBot="1" x14ac:dyDescent="0.4">
      <c r="A35" s="514"/>
      <c r="B35" s="138" t="s">
        <v>517</v>
      </c>
      <c r="C35" s="153"/>
      <c r="D35" s="153"/>
      <c r="E35" s="153"/>
      <c r="F35" s="153"/>
      <c r="G35" s="151"/>
    </row>
    <row r="36" spans="1:8" s="145" customFormat="1" ht="11.5" x14ac:dyDescent="0.25">
      <c r="A36" s="514" t="s">
        <v>329</v>
      </c>
      <c r="B36" s="913" t="str">
        <f>"HÄLSO- OCH SJUKVÅRD, "&amp;År-1&amp;""</f>
        <v>HÄLSO- OCH SJUKVÅRD, 2023</v>
      </c>
      <c r="C36" s="455"/>
      <c r="D36" s="687"/>
      <c r="E36" s="455"/>
      <c r="F36" s="688"/>
      <c r="G36" s="151"/>
    </row>
    <row r="37" spans="1:8" s="145" customFormat="1" ht="11.5" x14ac:dyDescent="0.25">
      <c r="A37" s="514" t="s">
        <v>330</v>
      </c>
      <c r="B37" s="914" t="str">
        <f>"REGIONAL UTVECKLING, "&amp;År-1&amp;""</f>
        <v>REGIONAL UTVECKLING, 2023</v>
      </c>
      <c r="C37" s="7"/>
      <c r="D37" s="21"/>
      <c r="E37" s="52"/>
      <c r="F37" s="655"/>
    </row>
    <row r="38" spans="1:8" s="145" customFormat="1" ht="11.5" x14ac:dyDescent="0.25">
      <c r="A38" s="514"/>
      <c r="B38" s="738"/>
      <c r="C38" s="116"/>
      <c r="D38" s="115"/>
      <c r="E38" s="115"/>
      <c r="F38" s="656"/>
      <c r="G38" s="151"/>
    </row>
    <row r="39" spans="1:8" s="145" customFormat="1" ht="11.5" x14ac:dyDescent="0.25">
      <c r="A39" s="514" t="s">
        <v>332</v>
      </c>
      <c r="B39" s="738" t="s">
        <v>419</v>
      </c>
      <c r="C39" s="75">
        <f>C7-C36</f>
        <v>0</v>
      </c>
      <c r="D39" s="76">
        <f>D7-D36</f>
        <v>0</v>
      </c>
      <c r="E39" s="75">
        <f>E7-E36</f>
        <v>0</v>
      </c>
      <c r="F39" s="684">
        <f>F7-F36</f>
        <v>0</v>
      </c>
      <c r="G39" s="151"/>
      <c r="H39" s="391"/>
    </row>
    <row r="40" spans="1:8" s="145" customFormat="1" ht="12" thickBot="1" x14ac:dyDescent="0.3">
      <c r="A40" s="514" t="s">
        <v>331</v>
      </c>
      <c r="B40" s="739" t="s">
        <v>420</v>
      </c>
      <c r="C40" s="476">
        <f>C19-C37</f>
        <v>0</v>
      </c>
      <c r="D40" s="477">
        <f>D19-D37</f>
        <v>0</v>
      </c>
      <c r="E40" s="161">
        <f>E19-E37</f>
        <v>0</v>
      </c>
      <c r="F40" s="657">
        <f>F19-F37</f>
        <v>0</v>
      </c>
      <c r="G40" s="151"/>
      <c r="H40" s="391"/>
    </row>
    <row r="41" spans="1:8" x14ac:dyDescent="0.25">
      <c r="B41" s="129"/>
      <c r="C41" s="129"/>
      <c r="D41" s="129"/>
      <c r="E41" s="129"/>
    </row>
    <row r="42" spans="1:8" x14ac:dyDescent="0.25">
      <c r="B42" s="271" t="s">
        <v>396</v>
      </c>
      <c r="C42" s="129"/>
      <c r="D42" s="129"/>
      <c r="E42" s="129"/>
    </row>
    <row r="43" spans="1:8" x14ac:dyDescent="0.25">
      <c r="B43" s="1011"/>
      <c r="C43" s="1012"/>
      <c r="D43" s="1012"/>
      <c r="E43" s="1013"/>
    </row>
    <row r="44" spans="1:8" x14ac:dyDescent="0.25">
      <c r="B44" s="1014"/>
      <c r="C44" s="1015"/>
      <c r="D44" s="1015"/>
      <c r="E44" s="1016"/>
    </row>
    <row r="45" spans="1:8" x14ac:dyDescent="0.25">
      <c r="B45" s="1014"/>
      <c r="C45" s="1015"/>
      <c r="D45" s="1015"/>
      <c r="E45" s="1016"/>
    </row>
    <row r="46" spans="1:8" x14ac:dyDescent="0.25">
      <c r="B46" s="1014"/>
      <c r="C46" s="1015"/>
      <c r="D46" s="1015"/>
      <c r="E46" s="1016"/>
    </row>
    <row r="47" spans="1:8" x14ac:dyDescent="0.25">
      <c r="B47" s="1017"/>
      <c r="C47" s="1018"/>
      <c r="D47" s="1018"/>
      <c r="E47" s="1019"/>
    </row>
    <row r="48" spans="1:8" x14ac:dyDescent="0.25"/>
    <row r="49" x14ac:dyDescent="0.25"/>
  </sheetData>
  <mergeCells count="1">
    <mergeCell ref="B43:E47"/>
  </mergeCells>
  <phoneticPr fontId="0" type="noConversion"/>
  <conditionalFormatting sqref="C36:E37 F38">
    <cfRule type="cellIs" dxfId="73" priority="16" stopIfTrue="1" operator="equal">
      <formula>0</formula>
    </cfRule>
  </conditionalFormatting>
  <conditionalFormatting sqref="C8:F18 C20:F27 C29:F32">
    <cfRule type="cellIs" dxfId="72" priority="21" stopIfTrue="1" operator="lessThan">
      <formula>-1</formula>
    </cfRule>
  </conditionalFormatting>
  <conditionalFormatting sqref="C9:F9">
    <cfRule type="expression" dxfId="71" priority="22" stopIfTrue="1">
      <formula>IF(AND(C$9&gt;C$8),SUM(C$8-C$9)&lt;-0.1)</formula>
    </cfRule>
  </conditionalFormatting>
  <conditionalFormatting sqref="C11:F11">
    <cfRule type="expression" dxfId="70" priority="24" stopIfTrue="1">
      <formula>IF(AND(C$11&gt;C$10),SUM(C$10-C$11)&lt;-0.1)</formula>
    </cfRule>
  </conditionalFormatting>
  <conditionalFormatting sqref="C13:F13">
    <cfRule type="expression" dxfId="69" priority="26" stopIfTrue="1">
      <formula>IF(AND(C$13&gt;C$12),SUM(C$12-C$13)&lt;-0.1)</formula>
    </cfRule>
  </conditionalFormatting>
  <conditionalFormatting sqref="C16:F17">
    <cfRule type="expression" dxfId="68" priority="28" stopIfTrue="1">
      <formula>IF(AND(SUM(C$16:C$17)&gt;C$15),SUM(C$15-C$16-C$17)&lt;-0.1)</formula>
    </cfRule>
  </conditionalFormatting>
  <conditionalFormatting sqref="C21:F23">
    <cfRule type="expression" dxfId="67" priority="30" stopIfTrue="1">
      <formula>IF(AND(SUM(C$21:C$23)&gt;C$20),SUM(C$20-C$21-C$22-C$23)&lt;-0.1)</formula>
    </cfRule>
  </conditionalFormatting>
  <conditionalFormatting sqref="C39:F40">
    <cfRule type="cellIs" dxfId="66" priority="1" stopIfTrue="1" operator="notBetween">
      <formula>-10</formula>
      <formula>10</formula>
    </cfRule>
  </conditionalFormatting>
  <dataValidations count="1">
    <dataValidation type="decimal" allowBlank="1" showErrorMessage="1" error="Endast tal får anges!" sqref="C7:F33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XFC54"/>
  <sheetViews>
    <sheetView zoomScaleNormal="100" workbookViewId="0"/>
  </sheetViews>
  <sheetFormatPr defaultColWidth="0" defaultRowHeight="12.5" zeroHeight="1" x14ac:dyDescent="0.25"/>
  <cols>
    <col min="1" max="1" width="13.54296875" style="152" customWidth="1"/>
    <col min="2" max="2" width="49.453125" style="152" customWidth="1"/>
    <col min="3" max="3" width="11.54296875" style="152" customWidth="1"/>
    <col min="4" max="5" width="12.54296875" style="152" customWidth="1"/>
    <col min="6" max="7" width="11.54296875" style="152" customWidth="1"/>
    <col min="8" max="8" width="14.54296875" style="152" customWidth="1"/>
    <col min="9" max="9" width="22.1796875" style="189" customWidth="1"/>
    <col min="10" max="11" width="11.54296875" style="152" customWidth="1"/>
    <col min="12" max="12" width="67.7265625" style="272" customWidth="1"/>
    <col min="13" max="16383" width="27" style="152" hidden="1"/>
    <col min="16384" max="16384" width="20.453125" style="152" hidden="1" customWidth="1"/>
  </cols>
  <sheetData>
    <row r="1" spans="1:13" ht="24" customHeight="1" x14ac:dyDescent="0.4">
      <c r="A1" s="2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4" customHeight="1" x14ac:dyDescent="0.25">
      <c r="A2" s="551"/>
      <c r="B2" s="141"/>
      <c r="C2" s="801"/>
      <c r="D2" s="800" t="s">
        <v>473</v>
      </c>
      <c r="E2" s="142"/>
      <c r="F2" s="798" t="s">
        <v>516</v>
      </c>
      <c r="I2" s="152"/>
      <c r="L2" s="152"/>
    </row>
    <row r="3" spans="1:13" ht="13.4" customHeight="1" x14ac:dyDescent="0.25">
      <c r="A3" s="142"/>
      <c r="C3" s="802"/>
      <c r="D3" s="129" t="s">
        <v>514</v>
      </c>
      <c r="E3" s="129"/>
      <c r="F3" s="929"/>
      <c r="G3" s="830" t="s">
        <v>546</v>
      </c>
      <c r="H3" s="843"/>
      <c r="I3" s="152"/>
      <c r="L3" s="152"/>
    </row>
    <row r="4" spans="1:13" ht="13.4" customHeight="1" x14ac:dyDescent="0.4">
      <c r="A4" s="167"/>
      <c r="B4" s="167"/>
      <c r="C4" s="799"/>
      <c r="D4" s="142" t="s">
        <v>515</v>
      </c>
      <c r="E4" s="798"/>
      <c r="F4" s="798"/>
      <c r="G4" s="798"/>
      <c r="H4" s="798"/>
      <c r="I4" s="798"/>
      <c r="J4" s="798"/>
      <c r="K4" s="798"/>
      <c r="L4" s="381"/>
    </row>
    <row r="5" spans="1:13" s="514" customFormat="1" ht="14.25" customHeight="1" thickBot="1" x14ac:dyDescent="0.3">
      <c r="A5" s="519" t="s">
        <v>228</v>
      </c>
      <c r="B5" s="519" t="s">
        <v>237</v>
      </c>
      <c r="C5" s="519" t="s">
        <v>238</v>
      </c>
      <c r="D5" s="519" t="s">
        <v>239</v>
      </c>
      <c r="E5" s="519" t="s">
        <v>240</v>
      </c>
      <c r="F5" s="519" t="s">
        <v>249</v>
      </c>
      <c r="G5" s="519" t="s">
        <v>252</v>
      </c>
      <c r="H5" s="519" t="s">
        <v>253</v>
      </c>
      <c r="I5" s="520"/>
      <c r="J5" s="519" t="s">
        <v>250</v>
      </c>
      <c r="K5" s="514" t="s">
        <v>251</v>
      </c>
    </row>
    <row r="6" spans="1:13" s="145" customFormat="1" ht="15" customHeight="1" x14ac:dyDescent="0.4">
      <c r="A6" s="994" t="s">
        <v>338</v>
      </c>
      <c r="B6" s="304" t="s">
        <v>32</v>
      </c>
      <c r="C6" s="305" t="s">
        <v>223</v>
      </c>
      <c r="D6" s="303" t="s">
        <v>459</v>
      </c>
      <c r="E6" s="306"/>
      <c r="F6" s="306"/>
      <c r="G6" s="1020" t="s">
        <v>578</v>
      </c>
      <c r="H6" s="1021"/>
      <c r="I6" s="167"/>
      <c r="J6" s="146"/>
    </row>
    <row r="7" spans="1:13" s="145" customFormat="1" ht="55.5" customHeight="1" x14ac:dyDescent="0.25">
      <c r="A7" s="996"/>
      <c r="B7" s="107"/>
      <c r="C7" s="108" t="s">
        <v>304</v>
      </c>
      <c r="D7" s="108" t="s">
        <v>274</v>
      </c>
      <c r="E7" s="109" t="s">
        <v>377</v>
      </c>
      <c r="F7" s="559" t="s">
        <v>458</v>
      </c>
      <c r="G7" s="971" t="s">
        <v>586</v>
      </c>
      <c r="H7" s="972" t="s">
        <v>587</v>
      </c>
      <c r="I7" s="974" t="str">
        <f>IF(OR(COUNTIF(C8:H31, "&lt;0")&gt;0, COUNTIF(C38:C41, "&lt;0")&gt;0), "Minusbelopp förekommer, var vänlig kommentera i kommentarsrutan längst ned!", "")</f>
        <v/>
      </c>
      <c r="J7" s="166"/>
    </row>
    <row r="8" spans="1:13" s="145" customFormat="1" ht="15" customHeight="1" x14ac:dyDescent="0.4">
      <c r="A8" s="515" t="s">
        <v>233</v>
      </c>
      <c r="B8" s="521" t="s">
        <v>137</v>
      </c>
      <c r="C8" s="628">
        <f t="shared" ref="C8:H8" si="0">SUM(C9,C11,C13,C15,C16)</f>
        <v>0</v>
      </c>
      <c r="D8" s="628">
        <f t="shared" si="0"/>
        <v>0</v>
      </c>
      <c r="E8" s="622">
        <f t="shared" si="0"/>
        <v>0</v>
      </c>
      <c r="F8" s="629">
        <f t="shared" si="0"/>
        <v>0</v>
      </c>
      <c r="G8" s="629">
        <f t="shared" si="0"/>
        <v>0</v>
      </c>
      <c r="H8" s="630">
        <f t="shared" si="0"/>
        <v>0</v>
      </c>
      <c r="I8" s="167"/>
      <c r="J8" s="166"/>
    </row>
    <row r="9" spans="1:13" s="145" customFormat="1" ht="15" customHeight="1" x14ac:dyDescent="0.4">
      <c r="A9" s="46" t="s">
        <v>179</v>
      </c>
      <c r="B9" s="527" t="s">
        <v>40</v>
      </c>
      <c r="C9" s="456"/>
      <c r="D9" s="456"/>
      <c r="E9" s="456"/>
      <c r="F9" s="432"/>
      <c r="G9" s="444"/>
      <c r="H9" s="452"/>
      <c r="I9" s="167"/>
      <c r="J9" s="166" t="str">
        <f>IF(SUM(D9:F9)&gt;C9, "därav-kolumnerna D-F större totalkolumn C", "")</f>
        <v/>
      </c>
    </row>
    <row r="10" spans="1:13" s="269" customFormat="1" ht="15" customHeight="1" x14ac:dyDescent="0.4">
      <c r="A10" s="46" t="s">
        <v>141</v>
      </c>
      <c r="B10" s="527" t="s">
        <v>123</v>
      </c>
      <c r="C10" s="456"/>
      <c r="D10" s="456"/>
      <c r="E10" s="456"/>
      <c r="F10" s="456"/>
      <c r="G10" s="456"/>
      <c r="H10" s="452"/>
      <c r="I10" s="167"/>
      <c r="J10" s="166" t="str">
        <f t="shared" ref="J10:J18" si="1">IF(SUM(D10:F10)&gt;C10,"därav-kolumnerna D-F större totalkolumn C","")</f>
        <v/>
      </c>
    </row>
    <row r="11" spans="1:13" s="145" customFormat="1" ht="15" customHeight="1" x14ac:dyDescent="0.4">
      <c r="A11" s="46" t="s">
        <v>180</v>
      </c>
      <c r="B11" s="528" t="s">
        <v>2</v>
      </c>
      <c r="C11" s="456"/>
      <c r="D11" s="456"/>
      <c r="E11" s="456"/>
      <c r="F11" s="432"/>
      <c r="G11" s="444"/>
      <c r="H11" s="452"/>
      <c r="I11" s="167"/>
      <c r="J11" s="166" t="str">
        <f t="shared" si="1"/>
        <v/>
      </c>
    </row>
    <row r="12" spans="1:13" s="269" customFormat="1" ht="15" customHeight="1" x14ac:dyDescent="0.4">
      <c r="A12" s="46" t="s">
        <v>187</v>
      </c>
      <c r="B12" s="528" t="s">
        <v>124</v>
      </c>
      <c r="C12" s="456"/>
      <c r="D12" s="456"/>
      <c r="E12" s="456"/>
      <c r="F12" s="456"/>
      <c r="G12" s="456"/>
      <c r="H12" s="452"/>
      <c r="I12" s="167"/>
      <c r="J12" s="166" t="str">
        <f t="shared" si="1"/>
        <v/>
      </c>
    </row>
    <row r="13" spans="1:13" s="145" customFormat="1" ht="15" customHeight="1" x14ac:dyDescent="0.4">
      <c r="A13" s="46" t="s">
        <v>181</v>
      </c>
      <c r="B13" s="528" t="s">
        <v>3</v>
      </c>
      <c r="C13" s="456"/>
      <c r="D13" s="456"/>
      <c r="E13" s="456"/>
      <c r="F13" s="432"/>
      <c r="G13" s="444"/>
      <c r="H13" s="452"/>
      <c r="I13" s="167"/>
      <c r="J13" s="166" t="str">
        <f t="shared" si="1"/>
        <v/>
      </c>
    </row>
    <row r="14" spans="1:13" s="269" customFormat="1" ht="15" customHeight="1" x14ac:dyDescent="0.4">
      <c r="A14" s="46" t="s">
        <v>191</v>
      </c>
      <c r="B14" s="528" t="s">
        <v>482</v>
      </c>
      <c r="C14" s="456"/>
      <c r="D14" s="456"/>
      <c r="E14" s="456"/>
      <c r="F14" s="456"/>
      <c r="G14" s="456"/>
      <c r="H14" s="456"/>
      <c r="I14" s="873"/>
      <c r="J14" s="166" t="str">
        <f t="shared" si="1"/>
        <v/>
      </c>
    </row>
    <row r="15" spans="1:13" s="145" customFormat="1" ht="15" customHeight="1" x14ac:dyDescent="0.4">
      <c r="A15" s="46" t="s">
        <v>182</v>
      </c>
      <c r="B15" s="527" t="s">
        <v>4</v>
      </c>
      <c r="C15" s="456"/>
      <c r="D15" s="456"/>
      <c r="E15" s="456"/>
      <c r="F15" s="432"/>
      <c r="G15" s="444"/>
      <c r="H15" s="452"/>
      <c r="I15" s="167"/>
      <c r="J15" s="166" t="str">
        <f t="shared" si="1"/>
        <v/>
      </c>
    </row>
    <row r="16" spans="1:13" s="145" customFormat="1" ht="15" customHeight="1" x14ac:dyDescent="0.4">
      <c r="A16" s="46" t="s">
        <v>183</v>
      </c>
      <c r="B16" s="528" t="s">
        <v>35</v>
      </c>
      <c r="C16" s="456"/>
      <c r="D16" s="456"/>
      <c r="E16" s="456"/>
      <c r="F16" s="432"/>
      <c r="G16" s="444"/>
      <c r="H16" s="452"/>
      <c r="I16" s="167"/>
      <c r="J16" s="166" t="str">
        <f t="shared" si="1"/>
        <v/>
      </c>
    </row>
    <row r="17" spans="1:12" s="269" customFormat="1" ht="15" customHeight="1" x14ac:dyDescent="0.4">
      <c r="A17" s="46" t="s">
        <v>198</v>
      </c>
      <c r="B17" s="18" t="s">
        <v>475</v>
      </c>
      <c r="C17" s="456"/>
      <c r="D17" s="456"/>
      <c r="E17" s="456"/>
      <c r="F17" s="456"/>
      <c r="G17" s="456"/>
      <c r="H17" s="452"/>
      <c r="I17" s="167"/>
      <c r="J17" s="166" t="str">
        <f t="shared" si="1"/>
        <v/>
      </c>
    </row>
    <row r="18" spans="1:12" s="269" customFormat="1" ht="15" customHeight="1" x14ac:dyDescent="0.4">
      <c r="A18" s="46" t="s">
        <v>199</v>
      </c>
      <c r="B18" s="527" t="s">
        <v>42</v>
      </c>
      <c r="C18" s="457"/>
      <c r="D18" s="457"/>
      <c r="E18" s="458"/>
      <c r="F18" s="459"/>
      <c r="G18" s="459"/>
      <c r="H18" s="460"/>
      <c r="I18" s="167"/>
      <c r="J18" s="166" t="str">
        <f t="shared" si="1"/>
        <v/>
      </c>
    </row>
    <row r="19" spans="1:12" s="145" customFormat="1" ht="15" customHeight="1" x14ac:dyDescent="0.4">
      <c r="A19" s="46" t="s">
        <v>234</v>
      </c>
      <c r="B19" s="522" t="s">
        <v>135</v>
      </c>
      <c r="C19" s="631">
        <f t="shared" ref="C19:H19" si="2">SUM(C20:C23)</f>
        <v>0</v>
      </c>
      <c r="D19" s="631">
        <f t="shared" si="2"/>
        <v>0</v>
      </c>
      <c r="E19" s="624">
        <f t="shared" si="2"/>
        <v>0</v>
      </c>
      <c r="F19" s="632">
        <f t="shared" si="2"/>
        <v>0</v>
      </c>
      <c r="G19" s="632">
        <f t="shared" si="2"/>
        <v>0</v>
      </c>
      <c r="H19" s="592">
        <f t="shared" si="2"/>
        <v>0</v>
      </c>
      <c r="I19" s="167"/>
      <c r="J19" s="166"/>
    </row>
    <row r="20" spans="1:12" s="145" customFormat="1" ht="15" customHeight="1" x14ac:dyDescent="0.4">
      <c r="A20" s="46" t="s">
        <v>72</v>
      </c>
      <c r="B20" s="528" t="s">
        <v>33</v>
      </c>
      <c r="C20" s="456"/>
      <c r="D20" s="456"/>
      <c r="E20" s="432"/>
      <c r="F20" s="444"/>
      <c r="G20" s="444"/>
      <c r="H20" s="452"/>
      <c r="I20" s="167"/>
      <c r="J20" s="166" t="str">
        <f>IF(SUM(D20:F20)&gt;C20,"därav-kolumnerna D-F större totalkolumn C","")</f>
        <v/>
      </c>
    </row>
    <row r="21" spans="1:12" s="145" customFormat="1" ht="15" customHeight="1" x14ac:dyDescent="0.4">
      <c r="A21" s="46" t="s">
        <v>151</v>
      </c>
      <c r="B21" s="527" t="s">
        <v>11</v>
      </c>
      <c r="C21" s="456"/>
      <c r="D21" s="456"/>
      <c r="E21" s="432"/>
      <c r="F21" s="444"/>
      <c r="G21" s="444"/>
      <c r="H21" s="452"/>
      <c r="I21" s="167"/>
      <c r="J21" s="166" t="str">
        <f>IF(SUM(D21:F21)&gt;C21,"därav-kolumnerna D-F större totalkolumn C","")</f>
        <v/>
      </c>
    </row>
    <row r="22" spans="1:12" s="145" customFormat="1" ht="15" customHeight="1" x14ac:dyDescent="0.4">
      <c r="A22" s="46" t="s">
        <v>152</v>
      </c>
      <c r="B22" s="528" t="s">
        <v>13</v>
      </c>
      <c r="C22" s="456"/>
      <c r="D22" s="456"/>
      <c r="E22" s="432"/>
      <c r="F22" s="444"/>
      <c r="G22" s="444"/>
      <c r="H22" s="452"/>
      <c r="I22" s="167"/>
      <c r="J22" s="166" t="str">
        <f>IF(SUM(D22:F22)&gt;C22,"därav-kolumnerna D-F större totalkolumn C","")</f>
        <v/>
      </c>
    </row>
    <row r="23" spans="1:12" s="145" customFormat="1" ht="15" customHeight="1" x14ac:dyDescent="0.4">
      <c r="A23" s="46" t="s">
        <v>153</v>
      </c>
      <c r="B23" s="527" t="s">
        <v>122</v>
      </c>
      <c r="C23" s="456"/>
      <c r="D23" s="456"/>
      <c r="E23" s="432"/>
      <c r="F23" s="444"/>
      <c r="G23" s="444"/>
      <c r="H23" s="452"/>
      <c r="I23" s="167"/>
      <c r="J23" s="166"/>
      <c r="K23" s="129"/>
    </row>
    <row r="24" spans="1:12" s="145" customFormat="1" ht="15" customHeight="1" x14ac:dyDescent="0.4">
      <c r="A24" s="46" t="s">
        <v>170</v>
      </c>
      <c r="B24" s="523" t="s">
        <v>376</v>
      </c>
      <c r="C24" s="631">
        <f>SUM(C25:C27)</f>
        <v>0</v>
      </c>
      <c r="D24" s="631">
        <f t="shared" ref="D24:H24" si="3">SUM(D25:D27)</f>
        <v>0</v>
      </c>
      <c r="E24" s="631">
        <f t="shared" si="3"/>
        <v>0</v>
      </c>
      <c r="F24" s="631">
        <f t="shared" si="3"/>
        <v>0</v>
      </c>
      <c r="G24" s="631">
        <f t="shared" si="3"/>
        <v>0</v>
      </c>
      <c r="H24" s="594">
        <f t="shared" si="3"/>
        <v>0</v>
      </c>
      <c r="I24" s="167"/>
      <c r="J24" s="166"/>
      <c r="K24" s="129"/>
    </row>
    <row r="25" spans="1:12" s="145" customFormat="1" ht="15" customHeight="1" x14ac:dyDescent="0.4">
      <c r="A25" s="46" t="s">
        <v>220</v>
      </c>
      <c r="B25" s="529" t="s">
        <v>119</v>
      </c>
      <c r="C25" s="456"/>
      <c r="D25" s="456"/>
      <c r="E25" s="432"/>
      <c r="F25" s="444"/>
      <c r="G25" s="444"/>
      <c r="H25" s="452"/>
      <c r="I25" s="167"/>
      <c r="J25" s="166" t="str">
        <f>IF(SUM(D25:F25)&gt;C25,"därav-kolumnerna D-F större totalkolumn C","")</f>
        <v/>
      </c>
      <c r="K25" s="129"/>
    </row>
    <row r="26" spans="1:12" s="145" customFormat="1" ht="15" customHeight="1" x14ac:dyDescent="0.4">
      <c r="A26" s="46" t="s">
        <v>221</v>
      </c>
      <c r="B26" s="529" t="s">
        <v>36</v>
      </c>
      <c r="C26" s="456"/>
      <c r="D26" s="456"/>
      <c r="E26" s="432"/>
      <c r="F26" s="444"/>
      <c r="G26" s="444"/>
      <c r="H26" s="452"/>
      <c r="I26" s="167"/>
      <c r="J26" s="166" t="str">
        <f>IF(SUM(D26:F26)&gt;C26,"därav-kolumnerna D-F större totalkolumn C","")</f>
        <v/>
      </c>
      <c r="K26" s="129"/>
    </row>
    <row r="27" spans="1:12" s="145" customFormat="1" ht="15" customHeight="1" x14ac:dyDescent="0.25">
      <c r="A27" s="46" t="s">
        <v>222</v>
      </c>
      <c r="B27" s="529" t="s">
        <v>37</v>
      </c>
      <c r="C27" s="461"/>
      <c r="D27" s="461"/>
      <c r="E27" s="435"/>
      <c r="F27" s="445"/>
      <c r="G27" s="445"/>
      <c r="H27" s="452"/>
      <c r="I27" s="960" t="e">
        <f>IF((C27/C28)&gt;=0.3,"Höga investeringsutgifter!","")</f>
        <v>#DIV/0!</v>
      </c>
      <c r="J27" s="166" t="str">
        <f>IF(SUM(D27:F27)&gt;C27,"därav-kolumnerna D-F större totalkolumn C","")</f>
        <v/>
      </c>
      <c r="K27" s="129"/>
    </row>
    <row r="28" spans="1:12" s="145" customFormat="1" ht="15" customHeight="1" x14ac:dyDescent="0.4">
      <c r="A28" s="507" t="s">
        <v>257</v>
      </c>
      <c r="B28" s="524" t="s">
        <v>143</v>
      </c>
      <c r="C28" s="633">
        <f t="shared" ref="C28:H28" si="4">SUM(C8,C19,C24)</f>
        <v>0</v>
      </c>
      <c r="D28" s="633">
        <f t="shared" si="4"/>
        <v>0</v>
      </c>
      <c r="E28" s="633">
        <f t="shared" si="4"/>
        <v>0</v>
      </c>
      <c r="F28" s="633">
        <f t="shared" si="4"/>
        <v>0</v>
      </c>
      <c r="G28" s="633">
        <f t="shared" si="4"/>
        <v>0</v>
      </c>
      <c r="H28" s="634">
        <f t="shared" si="4"/>
        <v>0</v>
      </c>
      <c r="I28" s="167"/>
      <c r="J28" s="166" t="str">
        <f>IF(D29 + D30 &gt; 0.5*D28,
            "Stämmer det att mer än 50% av investeringsutgifterna i byggnader och mark avser inköp av färdiga byggnader och mark?","")</f>
        <v/>
      </c>
    </row>
    <row r="29" spans="1:12" s="269" customFormat="1" ht="15" customHeight="1" x14ac:dyDescent="0.4">
      <c r="A29" s="507" t="s">
        <v>258</v>
      </c>
      <c r="B29" s="525" t="s">
        <v>378</v>
      </c>
      <c r="C29" s="462"/>
      <c r="D29" s="451"/>
      <c r="E29" s="356"/>
      <c r="F29" s="463"/>
      <c r="G29" s="464"/>
      <c r="H29" s="465"/>
      <c r="I29" s="167"/>
      <c r="J29" s="146"/>
      <c r="K29" s="145"/>
    </row>
    <row r="30" spans="1:12" s="269" customFormat="1" ht="15" customHeight="1" x14ac:dyDescent="0.4">
      <c r="A30" s="507" t="s">
        <v>259</v>
      </c>
      <c r="B30" s="526" t="s">
        <v>103</v>
      </c>
      <c r="C30" s="466"/>
      <c r="D30" s="467"/>
      <c r="E30" s="357"/>
      <c r="F30" s="468"/>
      <c r="G30" s="469"/>
      <c r="H30" s="470"/>
      <c r="I30" s="167"/>
      <c r="J30" s="146"/>
      <c r="K30" s="145"/>
    </row>
    <row r="31" spans="1:12" s="269" customFormat="1" ht="18.75" customHeight="1" thickBot="1" x14ac:dyDescent="0.45">
      <c r="A31" s="831" t="s">
        <v>322</v>
      </c>
      <c r="B31" s="558" t="s">
        <v>305</v>
      </c>
      <c r="C31" s="471"/>
      <c r="D31" s="472"/>
      <c r="E31" s="453"/>
      <c r="F31" s="453"/>
      <c r="G31" s="473"/>
      <c r="H31" s="474"/>
      <c r="I31" s="167"/>
      <c r="J31" s="146"/>
      <c r="K31" s="145"/>
    </row>
    <row r="32" spans="1:12" s="145" customFormat="1" ht="15.75" customHeight="1" x14ac:dyDescent="0.4">
      <c r="A32" s="519" t="s">
        <v>513</v>
      </c>
      <c r="B32" s="150"/>
      <c r="C32" s="146"/>
      <c r="D32" s="808" t="str">
        <f>IF((D29+D30&gt;D28),"Däravbelopp inköp större än totalsumman","")</f>
        <v/>
      </c>
      <c r="E32" s="807" t="str">
        <f>IF((E31&gt;E28),"Däravbelopp inköp större än totalsumman","")</f>
        <v/>
      </c>
      <c r="F32" s="807" t="str">
        <f>IF((F31&gt;F28),"Däravbelopp inköp större än totalsumman","")</f>
        <v/>
      </c>
      <c r="G32" s="146"/>
      <c r="H32" s="146"/>
      <c r="I32" s="167"/>
      <c r="J32" s="146"/>
      <c r="K32" s="146"/>
      <c r="L32" s="146"/>
    </row>
    <row r="33" spans="1:12" s="145" customFormat="1" ht="18.75" customHeight="1" x14ac:dyDescent="0.4">
      <c r="I33" s="167"/>
      <c r="L33" s="146"/>
    </row>
    <row r="34" spans="1:12" s="145" customFormat="1" ht="18.75" customHeight="1" thickBot="1" x14ac:dyDescent="0.45">
      <c r="B34" s="138" t="s">
        <v>467</v>
      </c>
      <c r="I34" s="167"/>
      <c r="L34" s="146"/>
    </row>
    <row r="35" spans="1:12" s="273" customFormat="1" ht="20.25" customHeight="1" x14ac:dyDescent="0.4">
      <c r="A35" s="514" t="s">
        <v>333</v>
      </c>
      <c r="B35" s="746" t="s">
        <v>400</v>
      </c>
      <c r="C35" s="747"/>
      <c r="D35" s="747"/>
      <c r="E35" s="745"/>
      <c r="F35" s="745"/>
      <c r="G35" s="747"/>
      <c r="H35" s="748"/>
      <c r="I35" s="167"/>
      <c r="J35" s="501"/>
      <c r="K35" s="274"/>
      <c r="L35" s="409"/>
    </row>
    <row r="36" spans="1:12" ht="20.5" thickBot="1" x14ac:dyDescent="0.45">
      <c r="A36" s="514" t="s">
        <v>520</v>
      </c>
      <c r="B36" s="867" t="s">
        <v>421</v>
      </c>
      <c r="C36" s="865">
        <f>C28-C35</f>
        <v>0</v>
      </c>
      <c r="D36" s="865"/>
      <c r="E36" s="865"/>
      <c r="F36" s="865"/>
      <c r="G36" s="865">
        <f>G28+H28-G35</f>
        <v>0</v>
      </c>
      <c r="H36" s="866"/>
      <c r="I36" s="167"/>
      <c r="J36" s="869" t="str">
        <f>IF(ABS(C28-C35)&gt;1,(ROUND(C28-C35,2))&amp;" mkr diff.mellan summan kol C och Steg 1 - måste rättas!",IF(ABS(G28-G35)&gt;1,(ROUND(G28-G35,2))&amp;" mkr diff.mellan summan kol G och Steg 1 - måste rättas!",""))</f>
        <v/>
      </c>
      <c r="K36" s="381"/>
      <c r="L36" s="293"/>
    </row>
    <row r="37" spans="1:12" ht="18" customHeight="1" thickBot="1" x14ac:dyDescent="0.45">
      <c r="A37" s="381"/>
      <c r="B37" s="381"/>
      <c r="C37" s="381"/>
      <c r="D37" s="381"/>
      <c r="E37" s="381"/>
      <c r="F37" s="381"/>
      <c r="G37" s="381"/>
      <c r="H37" s="381"/>
      <c r="I37" s="167"/>
      <c r="J37" s="381"/>
      <c r="K37" s="381"/>
      <c r="L37" s="293"/>
    </row>
    <row r="38" spans="1:12" ht="30" customHeight="1" x14ac:dyDescent="0.4">
      <c r="A38" s="926">
        <v>500</v>
      </c>
      <c r="B38" s="941" t="s">
        <v>551</v>
      </c>
      <c r="C38" s="901"/>
      <c r="D38" s="892" t="str">
        <f>IF(C8=0,"",IF(C38="","skriv belopp eller 0",IF(C38=0,"Bekräfta i kommentarrutan om det stämmer att regionen inte fått några investerinsinkomster (exkl.försäljning av anl.tillg.)","")))</f>
        <v/>
      </c>
      <c r="F38" s="381"/>
      <c r="G38" s="916"/>
      <c r="H38" s="381"/>
      <c r="I38" s="167"/>
      <c r="J38" s="915"/>
      <c r="K38" s="381"/>
      <c r="L38" s="293"/>
    </row>
    <row r="39" spans="1:12" ht="20" x14ac:dyDescent="0.4">
      <c r="A39" s="774">
        <v>501</v>
      </c>
      <c r="B39" s="870" t="s">
        <v>521</v>
      </c>
      <c r="C39" s="902"/>
      <c r="D39" s="892" t="str">
        <f>IF(C8=0,"",IF(C39="","skriv belopp eller 0",""))</f>
        <v/>
      </c>
      <c r="E39" s="381"/>
      <c r="F39" s="381"/>
      <c r="G39" s="381"/>
      <c r="H39" s="381"/>
      <c r="I39" s="167"/>
      <c r="J39" s="381"/>
      <c r="K39" s="381"/>
      <c r="L39" s="293"/>
    </row>
    <row r="40" spans="1:12" ht="20" x14ac:dyDescent="0.4">
      <c r="A40" s="774">
        <v>502</v>
      </c>
      <c r="B40" s="870" t="s">
        <v>522</v>
      </c>
      <c r="C40" s="902"/>
      <c r="D40" s="892" t="str">
        <f>IF(C8=0,"",IF(C40="","skriv belopp eller 0",""))</f>
        <v/>
      </c>
      <c r="E40" s="381"/>
      <c r="F40" s="381"/>
      <c r="G40" s="381"/>
      <c r="H40" s="381"/>
      <c r="I40" s="167"/>
      <c r="J40" s="381"/>
      <c r="K40" s="381"/>
      <c r="L40" s="293"/>
    </row>
    <row r="41" spans="1:12" ht="20" x14ac:dyDescent="0.4">
      <c r="A41" s="774">
        <v>503</v>
      </c>
      <c r="B41" s="933" t="s">
        <v>549</v>
      </c>
      <c r="C41" s="902"/>
      <c r="D41" s="892" t="str">
        <f>IF(C8=0,"",IF(C41="","skriv belopp eller 0",""))</f>
        <v/>
      </c>
      <c r="E41" s="381"/>
      <c r="F41" s="381"/>
      <c r="G41" s="381"/>
      <c r="H41" s="381"/>
      <c r="I41" s="167"/>
      <c r="J41" s="381"/>
      <c r="K41" s="903"/>
      <c r="L41" s="293"/>
    </row>
    <row r="42" spans="1:12" ht="20.5" thickBot="1" x14ac:dyDescent="0.45">
      <c r="A42" s="927">
        <v>504</v>
      </c>
      <c r="B42" s="934" t="s">
        <v>550</v>
      </c>
      <c r="C42" s="871">
        <f>C38-C39-C40-C41</f>
        <v>0</v>
      </c>
      <c r="D42" s="900" t="str">
        <f>IF(C38=0,"",IF(SUM(C38-C39-C40-C41&gt;1),"vem kommer de övriga  "&amp;""&amp;(ROUND(C38-C39-C40-C41,0))&amp;" mkr övr.invest inkomster ifrån",""))</f>
        <v/>
      </c>
      <c r="E42" s="381"/>
      <c r="F42" s="381"/>
      <c r="G42" s="381"/>
      <c r="H42" s="381"/>
      <c r="I42" s="167"/>
      <c r="J42" s="381"/>
      <c r="K42" s="381"/>
      <c r="L42" s="293"/>
    </row>
    <row r="43" spans="1:12" ht="20" x14ac:dyDescent="0.4">
      <c r="A43" s="381"/>
      <c r="B43" s="381"/>
      <c r="C43" s="381"/>
      <c r="D43" s="167"/>
      <c r="E43" s="381"/>
      <c r="F43" s="381"/>
      <c r="G43" s="381"/>
      <c r="H43" s="381"/>
      <c r="I43" s="167"/>
      <c r="J43" s="381"/>
      <c r="K43" s="381"/>
      <c r="L43" s="293"/>
    </row>
    <row r="44" spans="1:12" ht="20" x14ac:dyDescent="0.4">
      <c r="A44" s="381"/>
      <c r="B44" s="381"/>
      <c r="C44" s="381"/>
      <c r="D44" s="167"/>
      <c r="E44" s="381"/>
      <c r="F44" s="381"/>
      <c r="G44" s="381"/>
      <c r="H44" s="381"/>
      <c r="I44" s="167"/>
      <c r="J44" s="381"/>
      <c r="K44" s="381"/>
      <c r="L44" s="293"/>
    </row>
    <row r="45" spans="1:12" ht="20" x14ac:dyDescent="0.4">
      <c r="B45" s="271" t="s">
        <v>396</v>
      </c>
      <c r="C45" s="129"/>
      <c r="D45" s="129"/>
      <c r="E45" s="129"/>
      <c r="I45" s="167"/>
    </row>
    <row r="46" spans="1:12" x14ac:dyDescent="0.25">
      <c r="B46" s="1011"/>
      <c r="C46" s="1012"/>
      <c r="D46" s="1012"/>
      <c r="E46" s="1013"/>
    </row>
    <row r="47" spans="1:12" x14ac:dyDescent="0.25">
      <c r="B47" s="1014"/>
      <c r="C47" s="1015"/>
      <c r="D47" s="1015"/>
      <c r="E47" s="1016"/>
    </row>
    <row r="48" spans="1:12" x14ac:dyDescent="0.25">
      <c r="B48" s="1014"/>
      <c r="C48" s="1015"/>
      <c r="D48" s="1015"/>
      <c r="E48" s="1016"/>
    </row>
    <row r="49" spans="2:5" x14ac:dyDescent="0.25">
      <c r="B49" s="1014"/>
      <c r="C49" s="1015"/>
      <c r="D49" s="1015"/>
      <c r="E49" s="1016"/>
    </row>
    <row r="50" spans="2:5" x14ac:dyDescent="0.25">
      <c r="B50" s="1017"/>
      <c r="C50" s="1018"/>
      <c r="D50" s="1018"/>
      <c r="E50" s="1019"/>
    </row>
    <row r="51" spans="2:5" x14ac:dyDescent="0.25"/>
    <row r="52" spans="2:5" x14ac:dyDescent="0.25"/>
    <row r="53" spans="2:5" x14ac:dyDescent="0.25"/>
    <row r="54" spans="2:5" x14ac:dyDescent="0.25"/>
  </sheetData>
  <mergeCells count="3">
    <mergeCell ref="A6:A7"/>
    <mergeCell ref="B46:E50"/>
    <mergeCell ref="G6:H6"/>
  </mergeCells>
  <phoneticPr fontId="0" type="noConversion"/>
  <conditionalFormatting sqref="C10:H10">
    <cfRule type="expression" dxfId="65" priority="53" stopIfTrue="1">
      <formula>IF(AND(C$10&gt;C$9),SUM(C$9-C$10)&lt;-1)</formula>
    </cfRule>
  </conditionalFormatting>
  <conditionalFormatting sqref="C17:H18">
    <cfRule type="expression" dxfId="64" priority="55" stopIfTrue="1">
      <formula>IF(AND(SUM(C$17:C$18)&gt;C$16),SUM(C$16-C$17-C$18)&lt;-1)</formula>
    </cfRule>
  </conditionalFormatting>
  <conditionalFormatting sqref="D29:D30">
    <cfRule type="expression" dxfId="63" priority="57" stopIfTrue="1">
      <formula>IF(AND(SUM(D$29:D$30)&gt;D$28),SUM(D$28-D$29-D$30)&lt;-1)</formula>
    </cfRule>
  </conditionalFormatting>
  <conditionalFormatting sqref="C20:H23 C25:H27 D29:D30 E31:F31 C9:H18">
    <cfRule type="cellIs" dxfId="62" priority="51" stopIfTrue="1" operator="lessThan">
      <formula>-1</formula>
    </cfRule>
  </conditionalFormatting>
  <conditionalFormatting sqref="F10:H10">
    <cfRule type="expression" dxfId="61" priority="39" stopIfTrue="1">
      <formula>IF(AND(F$10&gt;F$9),SUM(F$9-F$10)&lt;-1)</formula>
    </cfRule>
  </conditionalFormatting>
  <conditionalFormatting sqref="F12:H12">
    <cfRule type="expression" dxfId="60" priority="37" stopIfTrue="1">
      <formula>IF(AND(F$12&gt;F$11),SUM(F$11-F$12)&lt;-1)</formula>
    </cfRule>
  </conditionalFormatting>
  <conditionalFormatting sqref="F14:H14">
    <cfRule type="expression" dxfId="59" priority="35" stopIfTrue="1">
      <formula>IF(AND(F$14&gt;F$13),SUM(F$13-F$14)&lt;-1)</formula>
    </cfRule>
  </conditionalFormatting>
  <conditionalFormatting sqref="F17:H17">
    <cfRule type="expression" dxfId="58" priority="33" stopIfTrue="1">
      <formula>IF(AND(SUM(F$17:F$18)&gt;F$16),SUM(F$16-F$17-F$18)&lt;-1)</formula>
    </cfRule>
  </conditionalFormatting>
  <conditionalFormatting sqref="F18:H18">
    <cfRule type="expression" dxfId="57" priority="31" stopIfTrue="1">
      <formula>IF(AND(SUM(F$17:F$18)&gt;F$16),SUM(F$16-F$17-F$18)&lt;-1)</formula>
    </cfRule>
  </conditionalFormatting>
  <conditionalFormatting sqref="C12:H12">
    <cfRule type="expression" dxfId="56" priority="15" stopIfTrue="1">
      <formula>IF(AND(C$12&gt;C$11),SUM(C$11-C$12)&lt;-1)</formula>
    </cfRule>
  </conditionalFormatting>
  <conditionalFormatting sqref="C14:H14">
    <cfRule type="expression" dxfId="55" priority="14" stopIfTrue="1">
      <formula>IF(AND(C$14&gt;C$13),SUM(C$13-C$14)&lt;-1)</formula>
    </cfRule>
  </conditionalFormatting>
  <conditionalFormatting sqref="B35">
    <cfRule type="expression" dxfId="54" priority="112" stopIfTrue="1">
      <formula>IF(AND(OR(ABS($C$34-$C$28)&gt;2,(ABS(C34-C28)&gt;2))),)</formula>
    </cfRule>
  </conditionalFormatting>
  <conditionalFormatting sqref="F35:H35 C35:D35 C36:H36">
    <cfRule type="expression" dxfId="53" priority="113" stopIfTrue="1">
      <formula>ABS(C28-C35)&gt;1</formula>
    </cfRule>
  </conditionalFormatting>
  <conditionalFormatting sqref="D35:E35">
    <cfRule type="expression" dxfId="52" priority="115" stopIfTrue="1">
      <formula>ABS(D28-D35)&gt;1</formula>
    </cfRule>
  </conditionalFormatting>
  <conditionalFormatting sqref="E31">
    <cfRule type="expression" dxfId="51" priority="9">
      <formula>IF(AND(SUM(E$31)&gt;E$28),SUM(E$28-E$31)&lt;-1)</formula>
    </cfRule>
  </conditionalFormatting>
  <conditionalFormatting sqref="F31">
    <cfRule type="expression" dxfId="50" priority="8">
      <formula>IF(AND(SUM(F$31)&gt;F$28),SUM(F$28-F$31)&lt;-1)</formula>
    </cfRule>
  </conditionalFormatting>
  <conditionalFormatting sqref="B36">
    <cfRule type="expression" dxfId="49" priority="2">
      <formula>ABS(H36)&gt;1</formula>
    </cfRule>
    <cfRule type="expression" dxfId="48" priority="4">
      <formula>ABS(G36)&gt;1</formula>
    </cfRule>
    <cfRule type="expression" dxfId="47" priority="5">
      <formula>ABS(D36)&gt;1</formula>
    </cfRule>
    <cfRule type="expression" dxfId="46" priority="6" stopIfTrue="1">
      <formula>ABS(C36)&gt;1</formula>
    </cfRule>
  </conditionalFormatting>
  <conditionalFormatting sqref="E38:G38">
    <cfRule type="expression" dxfId="45" priority="1" stopIfTrue="1">
      <formula>ABS(E31-E38)&gt;1</formula>
    </cfRule>
  </conditionalFormatting>
  <dataValidations count="1">
    <dataValidation type="decimal" allowBlank="1" showErrorMessage="1" error="Endast tal får anges!" sqref="C8:H31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O46"/>
  <sheetViews>
    <sheetView zoomScaleNormal="100" workbookViewId="0"/>
  </sheetViews>
  <sheetFormatPr defaultColWidth="0" defaultRowHeight="11.5" zeroHeight="1" x14ac:dyDescent="0.25"/>
  <cols>
    <col min="1" max="1" width="10.453125" style="145" customWidth="1"/>
    <col min="2" max="2" width="47.453125" style="129" customWidth="1"/>
    <col min="3" max="3" width="11.54296875" style="129" customWidth="1"/>
    <col min="4" max="4" width="3.54296875" style="129" customWidth="1"/>
    <col min="5" max="5" width="12" style="145" customWidth="1"/>
    <col min="6" max="6" width="11.54296875" style="145" customWidth="1"/>
    <col min="7" max="7" width="13.453125" style="146" customWidth="1"/>
    <col min="8" max="8" width="59.81640625" style="129" customWidth="1"/>
    <col min="9" max="9" width="26" style="129" customWidth="1"/>
    <col min="10" max="10" width="14.453125" style="129" hidden="1" customWidth="1"/>
    <col min="11" max="16384" width="9.453125" style="129" hidden="1"/>
  </cols>
  <sheetData>
    <row r="1" spans="1:15" ht="24" customHeight="1" x14ac:dyDescent="0.4">
      <c r="A1" s="2" t="s">
        <v>353</v>
      </c>
      <c r="B1" s="3"/>
      <c r="C1" s="3"/>
      <c r="D1" s="3"/>
      <c r="E1" s="3"/>
      <c r="F1" s="3"/>
      <c r="G1" s="3"/>
      <c r="H1" s="3"/>
      <c r="I1" s="3"/>
    </row>
    <row r="2" spans="1:15" s="829" customFormat="1" ht="13.4" customHeight="1" x14ac:dyDescent="0.25">
      <c r="A2" s="842"/>
      <c r="B2" s="843"/>
      <c r="C2" s="857"/>
      <c r="D2" s="844" t="s">
        <v>473</v>
      </c>
      <c r="E2" s="845"/>
      <c r="F2" s="846"/>
      <c r="G2" s="829" t="s">
        <v>514</v>
      </c>
      <c r="H2" s="845"/>
      <c r="I2" s="845"/>
    </row>
    <row r="3" spans="1:15" s="829" customFormat="1" ht="13.4" customHeight="1" x14ac:dyDescent="0.25">
      <c r="A3" s="847"/>
      <c r="B3" s="843"/>
      <c r="C3" s="858"/>
      <c r="D3" s="844" t="s">
        <v>461</v>
      </c>
      <c r="E3" s="845"/>
      <c r="F3" s="848"/>
      <c r="G3" s="843" t="s">
        <v>515</v>
      </c>
      <c r="H3" s="843"/>
    </row>
    <row r="4" spans="1:15" ht="14.25" customHeight="1" x14ac:dyDescent="0.4">
      <c r="A4" s="165"/>
      <c r="B4" s="142"/>
      <c r="C4" s="929"/>
      <c r="D4" s="830" t="s">
        <v>546</v>
      </c>
      <c r="E4" s="142"/>
      <c r="F4" s="142"/>
      <c r="G4" s="798" t="s">
        <v>516</v>
      </c>
      <c r="H4" s="142"/>
    </row>
    <row r="5" spans="1:15" s="513" customFormat="1" ht="13.5" customHeight="1" thickBot="1" x14ac:dyDescent="0.3">
      <c r="A5" s="530" t="s">
        <v>228</v>
      </c>
      <c r="B5" s="530" t="s">
        <v>248</v>
      </c>
      <c r="C5" s="530" t="s">
        <v>238</v>
      </c>
      <c r="D5" s="530"/>
      <c r="E5" s="530"/>
      <c r="F5" s="530"/>
      <c r="G5" s="530"/>
      <c r="H5" s="530"/>
      <c r="I5" s="530"/>
      <c r="J5" s="530"/>
      <c r="K5" s="530"/>
      <c r="L5" s="530"/>
      <c r="M5" s="530"/>
      <c r="N5" s="530"/>
      <c r="O5" s="530"/>
    </row>
    <row r="6" spans="1:15" s="130" customFormat="1" ht="14" x14ac:dyDescent="0.3">
      <c r="A6" s="314" t="str">
        <f>"R-BAS "&amp;År-2000&amp;""</f>
        <v>R-BAS 24</v>
      </c>
      <c r="B6" s="42" t="s">
        <v>144</v>
      </c>
      <c r="C6" s="668" t="s">
        <v>66</v>
      </c>
      <c r="E6" s="314" t="s">
        <v>66</v>
      </c>
      <c r="F6" s="703" t="s">
        <v>66</v>
      </c>
      <c r="G6" s="44" t="s">
        <v>292</v>
      </c>
      <c r="H6" s="942" t="s">
        <v>290</v>
      </c>
      <c r="I6" s="1022" t="str">
        <f>IF(COUNTIF(C8:C35, "&lt;0")&gt;0, "Minusbelopp förekommer, var vänlig kommentera i kommentarsrutan längst ned!", "")</f>
        <v/>
      </c>
    </row>
    <row r="7" spans="1:15" s="130" customFormat="1" ht="23" x14ac:dyDescent="0.25">
      <c r="A7" s="918"/>
      <c r="B7" s="10"/>
      <c r="C7" s="669">
        <f>År</f>
        <v>2024</v>
      </c>
      <c r="E7" s="315" t="s">
        <v>432</v>
      </c>
      <c r="F7" s="704">
        <f>År-1</f>
        <v>2023</v>
      </c>
      <c r="G7" s="841" t="s">
        <v>518</v>
      </c>
      <c r="H7" s="15"/>
      <c r="I7" s="1022"/>
    </row>
    <row r="8" spans="1:15" ht="27" customHeight="1" x14ac:dyDescent="0.25">
      <c r="A8" s="311" t="s">
        <v>44</v>
      </c>
      <c r="B8" s="849" t="s">
        <v>519</v>
      </c>
      <c r="C8" s="635">
        <f>C9+SUM(C13:C17)</f>
        <v>0</v>
      </c>
      <c r="D8" s="309"/>
      <c r="E8" s="316">
        <f>'2. Drift.  intäkter'!C40</f>
        <v>0</v>
      </c>
      <c r="F8" s="52"/>
      <c r="G8" s="359" t="str">
        <f>IF(F8=0,"",(C8-F8)/F8)</f>
        <v/>
      </c>
      <c r="H8" s="361" t="str">
        <f>IF(OR(SUM(C8-E8)&gt;2.99,SUM(C8-E8)&lt;-2.99),(ROUND(C8-E8,0))&amp;" mkr differens mot kontogrupp 30 i flik 2- måste rättas!","")</f>
        <v/>
      </c>
      <c r="J8" s="391"/>
    </row>
    <row r="9" spans="1:15" ht="15" customHeight="1" x14ac:dyDescent="0.25">
      <c r="A9" s="312" t="s">
        <v>224</v>
      </c>
      <c r="B9" s="850" t="s">
        <v>443</v>
      </c>
      <c r="C9" s="545"/>
      <c r="D9" s="275"/>
      <c r="E9" s="317"/>
      <c r="F9" s="52"/>
      <c r="G9" s="359" t="str">
        <f>IF(F9=0,"",(C9-F9)/F9)</f>
        <v/>
      </c>
      <c r="H9" s="361" t="str">
        <f>IF(SUM(C10:C12)&gt;C9,"summa varav-rader &gt; därav-rad",IF(AND(C9&lt;=50,F9&lt;50),"",IF(AND(G9&gt;-25%,G9&lt;25%),"","Förändring")))</f>
        <v/>
      </c>
    </row>
    <row r="10" spans="1:15" s="254" customFormat="1" ht="15" customHeight="1" x14ac:dyDescent="0.3">
      <c r="A10" s="806" t="s">
        <v>260</v>
      </c>
      <c r="B10" s="850" t="s">
        <v>65</v>
      </c>
      <c r="C10" s="545"/>
      <c r="D10" s="275"/>
      <c r="E10" s="318"/>
      <c r="F10" s="52"/>
      <c r="G10" s="359" t="str">
        <f t="shared" ref="G10:G16" si="0">IF(F10=0,"",(C10-F10)/F10)</f>
        <v/>
      </c>
      <c r="H10" s="361" t="str">
        <f t="shared" ref="H10:H17" si="1">IF(AND(C10&lt;=50,F10&lt;50),"",IF(AND(G10&gt;-25%,G10&lt;25%),"","Förändring"))</f>
        <v/>
      </c>
    </row>
    <row r="11" spans="1:15" s="254" customFormat="1" ht="15" customHeight="1" x14ac:dyDescent="0.3">
      <c r="A11" s="806" t="s">
        <v>261</v>
      </c>
      <c r="B11" s="850" t="s">
        <v>97</v>
      </c>
      <c r="C11" s="545"/>
      <c r="D11" s="275"/>
      <c r="E11" s="318"/>
      <c r="F11" s="52"/>
      <c r="G11" s="359" t="str">
        <f t="shared" si="0"/>
        <v/>
      </c>
      <c r="H11" s="361" t="str">
        <f t="shared" si="1"/>
        <v/>
      </c>
    </row>
    <row r="12" spans="1:15" s="254" customFormat="1" ht="15" customHeight="1" x14ac:dyDescent="0.3">
      <c r="A12" s="806" t="s">
        <v>262</v>
      </c>
      <c r="B12" s="850" t="s">
        <v>98</v>
      </c>
      <c r="C12" s="545"/>
      <c r="D12" s="275"/>
      <c r="E12" s="318"/>
      <c r="F12" s="52"/>
      <c r="G12" s="359" t="str">
        <f t="shared" si="0"/>
        <v/>
      </c>
      <c r="H12" s="361" t="str">
        <f t="shared" si="1"/>
        <v/>
      </c>
    </row>
    <row r="13" spans="1:15" ht="15" customHeight="1" x14ac:dyDescent="0.25">
      <c r="A13" s="312" t="s">
        <v>45</v>
      </c>
      <c r="B13" s="850" t="s">
        <v>444</v>
      </c>
      <c r="C13" s="545"/>
      <c r="D13" s="275"/>
      <c r="E13" s="318"/>
      <c r="F13" s="52"/>
      <c r="G13" s="359" t="str">
        <f t="shared" si="0"/>
        <v/>
      </c>
      <c r="H13" s="361" t="str">
        <f t="shared" si="1"/>
        <v/>
      </c>
    </row>
    <row r="14" spans="1:15" ht="15" customHeight="1" x14ac:dyDescent="0.25">
      <c r="A14" s="312" t="s">
        <v>46</v>
      </c>
      <c r="B14" s="850" t="s">
        <v>445</v>
      </c>
      <c r="C14" s="545"/>
      <c r="D14" s="275"/>
      <c r="E14" s="318"/>
      <c r="F14" s="52"/>
      <c r="G14" s="359" t="str">
        <f t="shared" si="0"/>
        <v/>
      </c>
      <c r="H14" s="361" t="str">
        <f t="shared" si="1"/>
        <v/>
      </c>
    </row>
    <row r="15" spans="1:15" ht="15" customHeight="1" x14ac:dyDescent="0.25">
      <c r="A15" s="312" t="s">
        <v>47</v>
      </c>
      <c r="B15" s="850" t="s">
        <v>446</v>
      </c>
      <c r="C15" s="545"/>
      <c r="D15" s="275"/>
      <c r="E15" s="318"/>
      <c r="F15" s="52"/>
      <c r="G15" s="359" t="str">
        <f t="shared" si="0"/>
        <v/>
      </c>
      <c r="H15" s="361" t="str">
        <f t="shared" si="1"/>
        <v/>
      </c>
    </row>
    <row r="16" spans="1:15" ht="15" customHeight="1" x14ac:dyDescent="0.25">
      <c r="A16" s="560">
        <v>307</v>
      </c>
      <c r="B16" s="851" t="s">
        <v>486</v>
      </c>
      <c r="C16" s="545"/>
      <c r="D16" s="275"/>
      <c r="E16" s="318"/>
      <c r="F16" s="52"/>
      <c r="G16" s="359" t="str">
        <f t="shared" si="0"/>
        <v/>
      </c>
      <c r="H16" s="361" t="str">
        <f>IF('2. Drift.  intäkter'!C30 - '2. Drift.  intäkter'!C31 &lt;&gt; C16,
    "Belopp på rad 307 avviker från Trafikavgifter (C30) - Färdtjänst (C31) i flik 2.",
     IF(AND(C16&lt;=50, F16&lt;50),"",
             IF(AND(G16&gt;-25%, G16&lt;25%),"","Förändring")))</f>
        <v/>
      </c>
    </row>
    <row r="17" spans="1:8" ht="15" customHeight="1" x14ac:dyDescent="0.25">
      <c r="A17" s="312" t="s">
        <v>48</v>
      </c>
      <c r="B17" s="850" t="s">
        <v>447</v>
      </c>
      <c r="C17" s="545"/>
      <c r="D17" s="275"/>
      <c r="E17" s="318"/>
      <c r="F17" s="52"/>
      <c r="G17" s="359" t="str">
        <f t="shared" ref="G17:G29" si="2">IF(F17=0,"",(C17-F17)/F17)</f>
        <v/>
      </c>
      <c r="H17" s="361" t="str">
        <f t="shared" si="1"/>
        <v/>
      </c>
    </row>
    <row r="18" spans="1:8" ht="15" customHeight="1" x14ac:dyDescent="0.25">
      <c r="A18" s="311" t="s">
        <v>167</v>
      </c>
      <c r="B18" s="852" t="s">
        <v>49</v>
      </c>
      <c r="C18" s="546"/>
      <c r="D18" s="275"/>
      <c r="E18" s="707">
        <f>'2. Drift.  intäkter'!D40</f>
        <v>0</v>
      </c>
      <c r="F18" s="52"/>
      <c r="G18" s="359" t="str">
        <f t="shared" si="2"/>
        <v/>
      </c>
      <c r="H18" s="361" t="str">
        <f>IF(C19&gt;C18,"därav-rad &gt; huvudrad",IF(OR(SUM(C18-E18)&gt;2.99,SUM(C18-E18)&lt;-2.99),(ROUND(C18-E18,0))&amp;" mkr differens mot kontogrupp 31-32 i flik 2- måste rättas!",IF(AND(C18&lt;=50,F18&lt;50),"",IF(AND(G18&gt;-25%,G18&lt;25%),"","Förändring"))))</f>
        <v/>
      </c>
    </row>
    <row r="19" spans="1:8" ht="15" customHeight="1" x14ac:dyDescent="0.25">
      <c r="A19" s="312" t="s">
        <v>50</v>
      </c>
      <c r="B19" s="850" t="s">
        <v>448</v>
      </c>
      <c r="C19" s="545"/>
      <c r="D19" s="275"/>
      <c r="E19" s="318"/>
      <c r="F19" s="52"/>
      <c r="G19" s="359" t="str">
        <f t="shared" si="2"/>
        <v/>
      </c>
      <c r="H19" s="361" t="str">
        <f>IF(AND(C19&lt;=50,F19&lt;50),"",IF(AND(G19&gt;-25%,G19&lt;25%),"","Förändring"))</f>
        <v/>
      </c>
    </row>
    <row r="20" spans="1:8" ht="15" customHeight="1" x14ac:dyDescent="0.25">
      <c r="A20" s="311" t="s">
        <v>19</v>
      </c>
      <c r="B20" s="852" t="s">
        <v>51</v>
      </c>
      <c r="C20" s="547"/>
      <c r="D20" s="275"/>
      <c r="E20" s="707">
        <f>'2. Drift.  intäkter'!E40</f>
        <v>0</v>
      </c>
      <c r="F20" s="52"/>
      <c r="G20" s="359" t="str">
        <f t="shared" si="2"/>
        <v/>
      </c>
      <c r="H20" s="361" t="str">
        <f>IF(SUM(C21:C22)&gt;C20,"summa därav-rader &gt; huvudrad",IF(OR(SUM(C20-E20)&gt;2.99,SUM(C20-E20)&lt;-2.99),(ROUND(C20-E20,0))&amp;" mkr differens mot kontogrupp 35-36 i flik 2- måste rättas!",IF(AND(C20&lt;=50,F20&lt;50),"",IF(AND(G20&gt;-25%,G20&lt;25%),"","Förändring"))))</f>
        <v/>
      </c>
    </row>
    <row r="21" spans="1:8" ht="15" customHeight="1" x14ac:dyDescent="0.25">
      <c r="A21" s="312" t="s">
        <v>52</v>
      </c>
      <c r="B21" s="850" t="s">
        <v>449</v>
      </c>
      <c r="C21" s="545"/>
      <c r="D21" s="275"/>
      <c r="E21" s="318"/>
      <c r="F21" s="52"/>
      <c r="G21" s="359" t="str">
        <f t="shared" si="2"/>
        <v/>
      </c>
      <c r="H21" s="361" t="str">
        <f>IF(AND(C21&lt;=50,F21&lt;50),"",IF(AND(G21&gt;-25%,G21&lt;25%),"","Förändring"))</f>
        <v/>
      </c>
    </row>
    <row r="22" spans="1:8" ht="15" customHeight="1" x14ac:dyDescent="0.25">
      <c r="A22" s="312" t="s">
        <v>53</v>
      </c>
      <c r="B22" s="850" t="s">
        <v>450</v>
      </c>
      <c r="C22" s="545"/>
      <c r="D22" s="275"/>
      <c r="E22" s="318"/>
      <c r="F22" s="52"/>
      <c r="G22" s="359" t="str">
        <f t="shared" si="2"/>
        <v/>
      </c>
      <c r="H22" s="361" t="str">
        <f>IF(AND(C22&lt;=50,F22&lt;50),"",IF(AND(G22&gt;-25%,G22&lt;25%),"","Förändring"))</f>
        <v/>
      </c>
    </row>
    <row r="23" spans="1:8" ht="15" customHeight="1" x14ac:dyDescent="0.25">
      <c r="A23" s="311" t="s">
        <v>55</v>
      </c>
      <c r="B23" s="852" t="s">
        <v>54</v>
      </c>
      <c r="C23" s="547"/>
      <c r="D23" s="275"/>
      <c r="E23" s="707">
        <f>'2. Drift.  intäkter'!F40</f>
        <v>0</v>
      </c>
      <c r="F23" s="52"/>
      <c r="G23" s="359" t="str">
        <f t="shared" si="2"/>
        <v/>
      </c>
      <c r="H23" s="361" t="str">
        <f>IF(OR(SUM(C23-E23)&gt;2.99,SUM(C23-E23)&lt;-2.99),(ROUND(C23-E23,0))&amp;" mkr differens mot kontogrupp 37 i flik 2- måste rättas!",IF(AND(C23&lt;=50,F23&lt;50),"",IF(AND(G23&gt;-25%,G23&lt;25%),"","Förändring")))</f>
        <v/>
      </c>
    </row>
    <row r="24" spans="1:8" ht="15" customHeight="1" x14ac:dyDescent="0.25">
      <c r="A24" s="311" t="s">
        <v>57</v>
      </c>
      <c r="B24" s="852" t="s">
        <v>56</v>
      </c>
      <c r="C24" s="636">
        <f>C25+SUM(C27:C31)</f>
        <v>0</v>
      </c>
      <c r="D24" s="310"/>
      <c r="E24" s="707">
        <f>'2. Drift.  intäkter'!G40</f>
        <v>0</v>
      </c>
      <c r="F24" s="52"/>
      <c r="G24" s="402" t="str">
        <f t="shared" si="2"/>
        <v/>
      </c>
      <c r="H24" s="361" t="str">
        <f>IF(OR(SUM(C24-E24)&gt;2.99,SUM(C24-E24)&lt;-2.99),(ROUND(C24-E24,0))&amp;" mkr differens mot kontogrupp 38 i flik 2- måste rättas!","")</f>
        <v/>
      </c>
    </row>
    <row r="25" spans="1:8" ht="15" customHeight="1" x14ac:dyDescent="0.25">
      <c r="A25" s="312" t="s">
        <v>58</v>
      </c>
      <c r="B25" s="958" t="s">
        <v>564</v>
      </c>
      <c r="C25" s="545"/>
      <c r="D25" s="275"/>
      <c r="E25" s="319"/>
      <c r="F25" s="52"/>
      <c r="G25" s="359" t="str">
        <f t="shared" si="2"/>
        <v/>
      </c>
      <c r="H25" s="361" t="str">
        <f>IF(AND(C25&lt;=50,F25&lt;50),"",IF(AND(G25&gt;-25%,G25&lt;25%),"","Förändring"))</f>
        <v/>
      </c>
    </row>
    <row r="26" spans="1:8" s="254" customFormat="1" ht="15" customHeight="1" x14ac:dyDescent="0.3">
      <c r="A26" s="507" t="s">
        <v>263</v>
      </c>
      <c r="B26" s="850" t="s">
        <v>481</v>
      </c>
      <c r="C26" s="545"/>
      <c r="D26" s="275"/>
      <c r="E26" s="318"/>
      <c r="F26" s="52"/>
      <c r="G26" s="359" t="str">
        <f t="shared" si="2"/>
        <v/>
      </c>
      <c r="H26" s="361" t="str">
        <f>IF(C26&gt;C25,"varav-rad &gt; därav-rad",IF(AND(C26&lt;=50,F26&lt;50),"",IF(AND(G26&gt;-25%,G26&lt;25%),"","Förändring")))</f>
        <v/>
      </c>
    </row>
    <row r="27" spans="1:8" ht="15" customHeight="1" x14ac:dyDescent="0.25">
      <c r="A27" s="834" t="s">
        <v>59</v>
      </c>
      <c r="B27" s="958" t="s">
        <v>565</v>
      </c>
      <c r="C27" s="545"/>
      <c r="D27" s="275"/>
      <c r="E27" s="318"/>
      <c r="F27" s="52"/>
      <c r="G27" s="359" t="str">
        <f t="shared" si="2"/>
        <v/>
      </c>
      <c r="H27" s="361" t="str">
        <f>IF(AND(C27&lt;=50,F27&lt;50),"",IF(AND(G27&gt;-25%,G27&lt;25%),"","Förändring"))</f>
        <v/>
      </c>
    </row>
    <row r="28" spans="1:8" ht="15" customHeight="1" x14ac:dyDescent="0.25">
      <c r="A28" s="312" t="s">
        <v>60</v>
      </c>
      <c r="B28" s="850" t="s">
        <v>571</v>
      </c>
      <c r="C28" s="545"/>
      <c r="D28" s="275"/>
      <c r="E28" s="318"/>
      <c r="F28" s="52"/>
      <c r="G28" s="359" t="str">
        <f t="shared" si="2"/>
        <v/>
      </c>
      <c r="H28" s="361" t="str">
        <f>IF(AND(C28&lt;=50,F28&lt;50),"",IF(AND(G28&gt;-25%,G28&lt;25%),"","Förändring"))</f>
        <v/>
      </c>
    </row>
    <row r="29" spans="1:8" ht="15" customHeight="1" x14ac:dyDescent="0.25">
      <c r="A29" s="560">
        <v>386</v>
      </c>
      <c r="B29" s="851" t="s">
        <v>539</v>
      </c>
      <c r="C29" s="545"/>
      <c r="D29" s="275"/>
      <c r="E29" s="318"/>
      <c r="F29" s="52"/>
      <c r="G29" s="359" t="str">
        <f t="shared" si="2"/>
        <v/>
      </c>
      <c r="H29" s="361" t="str">
        <f>IF(AND(C29&lt;=50,F29&lt;50),"",IF(AND(G29&gt;-25%,G29&lt;25%),"","Förändring"))</f>
        <v/>
      </c>
    </row>
    <row r="30" spans="1:8" ht="15" customHeight="1" x14ac:dyDescent="0.25">
      <c r="A30" s="312" t="s">
        <v>268</v>
      </c>
      <c r="B30" s="850" t="s">
        <v>451</v>
      </c>
      <c r="C30" s="545"/>
      <c r="D30" s="275"/>
      <c r="E30" s="320"/>
      <c r="F30" s="52"/>
      <c r="G30" s="359" t="str">
        <f t="shared" ref="G30:G36" si="3">IF(F30=0,"",(C30-F30)/F30)</f>
        <v/>
      </c>
      <c r="H30" s="361" t="str">
        <f>IF(AND(C30&lt;=50,F30&lt;50),"",IF(AND(G30&gt;-25%,G30&lt;25%),"","Förändring"))</f>
        <v/>
      </c>
    </row>
    <row r="31" spans="1:8" ht="15" customHeight="1" x14ac:dyDescent="0.25">
      <c r="A31" s="312" t="s">
        <v>61</v>
      </c>
      <c r="B31" s="850" t="s">
        <v>491</v>
      </c>
      <c r="C31" s="545"/>
      <c r="D31" s="275"/>
      <c r="E31" s="318"/>
      <c r="F31" s="52"/>
      <c r="G31" s="359" t="str">
        <f t="shared" si="3"/>
        <v/>
      </c>
      <c r="H31" s="361" t="str">
        <f>IF(AND(C31&lt;=50,F31&lt;50),"",IF(AND(G31&gt;-25%,G31&lt;25%),"","Förändring"))</f>
        <v/>
      </c>
    </row>
    <row r="32" spans="1:8" ht="15" hidden="1" customHeight="1" x14ac:dyDescent="0.25">
      <c r="A32" s="835"/>
      <c r="B32" s="853"/>
      <c r="C32" s="836"/>
      <c r="D32" s="275"/>
      <c r="E32" s="838"/>
      <c r="F32" s="115"/>
      <c r="G32" s="839"/>
      <c r="H32" s="840"/>
    </row>
    <row r="33" spans="1:12" ht="15" hidden="1" customHeight="1" x14ac:dyDescent="0.25">
      <c r="A33" s="788"/>
      <c r="B33" s="850"/>
      <c r="C33" s="837"/>
      <c r="D33" s="275"/>
      <c r="E33" s="319"/>
      <c r="F33" s="52"/>
      <c r="G33" s="359"/>
      <c r="H33" s="361"/>
    </row>
    <row r="34" spans="1:12" ht="15" customHeight="1" x14ac:dyDescent="0.25">
      <c r="A34" s="311" t="s">
        <v>63</v>
      </c>
      <c r="B34" s="852" t="s">
        <v>62</v>
      </c>
      <c r="C34" s="547"/>
      <c r="D34" s="275"/>
      <c r="E34" s="707">
        <f>'2. Drift.  intäkter'!H40</f>
        <v>0</v>
      </c>
      <c r="F34" s="52"/>
      <c r="G34" s="359" t="str">
        <f t="shared" si="3"/>
        <v/>
      </c>
      <c r="H34" s="361" t="str">
        <f>IF(OR(SUM(C34-E34)&gt;2.99,SUM(C34-E34)&lt;-2.99),(ROUND(C34-E34,0))&amp;" mkr differens mot kontogrupp 39 i flik 2- måste rättas!",IF(AND(C34&lt;=50,F34&lt;50),"",IF(AND(G34&gt;-25%,G34&lt;25%),"","Förändring")))</f>
        <v/>
      </c>
    </row>
    <row r="35" spans="1:12" ht="15" customHeight="1" x14ac:dyDescent="0.25">
      <c r="A35" s="313" t="s">
        <v>64</v>
      </c>
      <c r="B35" s="917" t="s">
        <v>533</v>
      </c>
      <c r="C35" s="548"/>
      <c r="D35" s="275"/>
      <c r="E35" s="318"/>
      <c r="F35" s="75"/>
      <c r="G35" s="359" t="str">
        <f t="shared" si="3"/>
        <v/>
      </c>
      <c r="H35" s="361" t="str">
        <f>IF(C35&gt;C34,"därav-rad &gt; huvudrad",IF(AND(C35&lt;=50,F35&lt;50),"",IF(AND(G35&gt;-25%,G35&lt;25%),"","Förändring")))</f>
        <v/>
      </c>
    </row>
    <row r="36" spans="1:12" ht="15" customHeight="1" thickBot="1" x14ac:dyDescent="0.3">
      <c r="A36" s="832" t="s">
        <v>139</v>
      </c>
      <c r="B36" s="854" t="s">
        <v>316</v>
      </c>
      <c r="C36" s="637">
        <f>SUM(C8,C18,C20,C23,C24,C34)</f>
        <v>0</v>
      </c>
      <c r="D36" s="310"/>
      <c r="E36" s="708">
        <f>'2. Drift.  intäkter'!J42</f>
        <v>0</v>
      </c>
      <c r="F36" s="442"/>
      <c r="G36" s="360" t="str">
        <f t="shared" si="3"/>
        <v/>
      </c>
      <c r="H36" s="544" t="str">
        <f>IF(OR(SUM(C36-E36)&gt;2.99,SUM(C36-E36)&lt;-2.99),(ROUND(C36-E36,0))&amp;" mkr differens mot verksamh. Intäkter i flik 2- måste rättas!","")</f>
        <v/>
      </c>
    </row>
    <row r="37" spans="1:12" ht="15" customHeight="1" x14ac:dyDescent="0.25">
      <c r="A37" s="833"/>
      <c r="B37" s="130"/>
      <c r="C37" s="130"/>
      <c r="D37" s="130"/>
      <c r="E37" s="276"/>
      <c r="F37" s="130"/>
      <c r="G37" s="277"/>
    </row>
    <row r="38" spans="1:12" ht="15" customHeight="1" x14ac:dyDescent="0.25">
      <c r="A38" s="129"/>
      <c r="E38" s="129"/>
      <c r="F38" s="129"/>
      <c r="G38" s="166"/>
      <c r="L38" s="260"/>
    </row>
    <row r="39" spans="1:12" ht="19.5" customHeight="1" x14ac:dyDescent="0.25">
      <c r="B39" s="271" t="s">
        <v>396</v>
      </c>
      <c r="E39" s="129"/>
    </row>
    <row r="40" spans="1:12" x14ac:dyDescent="0.25">
      <c r="B40" s="1011"/>
      <c r="C40" s="1012"/>
      <c r="D40" s="1012"/>
      <c r="E40" s="1013"/>
    </row>
    <row r="41" spans="1:12" x14ac:dyDescent="0.25">
      <c r="B41" s="1014"/>
      <c r="C41" s="1015"/>
      <c r="D41" s="1015"/>
      <c r="E41" s="1016"/>
    </row>
    <row r="42" spans="1:12" x14ac:dyDescent="0.25">
      <c r="B42" s="1014"/>
      <c r="C42" s="1015"/>
      <c r="D42" s="1015"/>
      <c r="E42" s="1016"/>
    </row>
    <row r="43" spans="1:12" x14ac:dyDescent="0.25">
      <c r="B43" s="1014"/>
      <c r="C43" s="1015"/>
      <c r="D43" s="1015"/>
      <c r="E43" s="1016"/>
    </row>
    <row r="44" spans="1:12" x14ac:dyDescent="0.25">
      <c r="B44" s="1017"/>
      <c r="C44" s="1018"/>
      <c r="D44" s="1018"/>
      <c r="E44" s="1019"/>
    </row>
    <row r="45" spans="1:12" x14ac:dyDescent="0.25"/>
    <row r="46" spans="1:12" x14ac:dyDescent="0.25"/>
  </sheetData>
  <mergeCells count="2">
    <mergeCell ref="B40:E44"/>
    <mergeCell ref="I6:I7"/>
  </mergeCells>
  <phoneticPr fontId="0" type="noConversion"/>
  <conditionalFormatting sqref="H8:H36">
    <cfRule type="cellIs" dxfId="44" priority="13" stopIfTrue="1" operator="notBetween">
      <formula>-0.1</formula>
      <formula>0.1</formula>
    </cfRule>
  </conditionalFormatting>
  <conditionalFormatting sqref="C9:C23 C25:C35">
    <cfRule type="cellIs" dxfId="43" priority="9" stopIfTrue="1" operator="lessThan">
      <formula>-1</formula>
    </cfRule>
  </conditionalFormatting>
  <conditionalFormatting sqref="G8:G36">
    <cfRule type="expression" dxfId="42" priority="21" stopIfTrue="1">
      <formula>ABS(C8-F8)&lt;10</formula>
    </cfRule>
    <cfRule type="cellIs" dxfId="41" priority="22" stopIfTrue="1" operator="notBetween">
      <formula>-0.1</formula>
      <formula>0.1</formula>
    </cfRule>
  </conditionalFormatting>
  <conditionalFormatting sqref="H24">
    <cfRule type="expression" dxfId="40" priority="7" stopIfTrue="1">
      <formula>ABS(D24-G24)&lt;10</formula>
    </cfRule>
    <cfRule type="cellIs" dxfId="39" priority="8" stopIfTrue="1" operator="notBetween">
      <formula>-0.1</formula>
      <formula>0.1</formula>
    </cfRule>
  </conditionalFormatting>
  <conditionalFormatting sqref="C19">
    <cfRule type="expression" dxfId="38" priority="5" stopIfTrue="1">
      <formula>IF(AND(C$19&gt;C$18),"sant","falskt")</formula>
    </cfRule>
  </conditionalFormatting>
  <conditionalFormatting sqref="C10:C12">
    <cfRule type="expression" dxfId="37" priority="4" stopIfTrue="1">
      <formula>IF(AND(SUM(C$10:C$12)&gt;C$9),"Sant","falskt")</formula>
    </cfRule>
  </conditionalFormatting>
  <conditionalFormatting sqref="C21:C22">
    <cfRule type="expression" dxfId="36" priority="3" stopIfTrue="1">
      <formula>IF(AND(SUM(C$21:C$22)&gt;C$20),"Sant","falskt")</formula>
    </cfRule>
  </conditionalFormatting>
  <conditionalFormatting sqref="C26">
    <cfRule type="expression" dxfId="35" priority="2" stopIfTrue="1">
      <formula>IF(AND(C$26&gt;C$25),"sant","falskt")</formula>
    </cfRule>
  </conditionalFormatting>
  <conditionalFormatting sqref="C35">
    <cfRule type="expression" dxfId="34" priority="1" stopIfTrue="1">
      <formula>IF(AND(C$35&gt;C$34),"sant","falskt")</formula>
    </cfRule>
  </conditionalFormatting>
  <dataValidations count="1">
    <dataValidation type="decimal" allowBlank="1" showErrorMessage="1" error="Endast tal får anges!" sqref="C8:D36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XFC74"/>
  <sheetViews>
    <sheetView zoomScaleNormal="100" workbookViewId="0"/>
  </sheetViews>
  <sheetFormatPr defaultColWidth="9.453125" defaultRowHeight="11.5" zeroHeight="1" x14ac:dyDescent="0.25"/>
  <cols>
    <col min="1" max="1" width="13.54296875" style="129" customWidth="1"/>
    <col min="2" max="2" width="65.453125" style="129" customWidth="1"/>
    <col min="3" max="3" width="12.54296875" style="129" customWidth="1"/>
    <col min="4" max="4" width="3.453125" style="145" customWidth="1"/>
    <col min="5" max="5" width="10.453125" style="145" customWidth="1"/>
    <col min="6" max="6" width="12.54296875" style="145" customWidth="1"/>
    <col min="7" max="7" width="13.453125" style="145" customWidth="1"/>
    <col min="8" max="8" width="9.453125" style="145" customWidth="1"/>
    <col min="9" max="9" width="36.453125" style="145" customWidth="1"/>
    <col min="10" max="10" width="45.453125" style="145" customWidth="1"/>
    <col min="11" max="11" width="26" style="145" customWidth="1"/>
    <col min="12" max="16383" width="0" style="145" hidden="1" customWidth="1"/>
    <col min="16384" max="16384" width="9.453125" style="145" hidden="1" customWidth="1"/>
  </cols>
  <sheetData>
    <row r="1" spans="1:12" ht="24.75" customHeight="1" x14ac:dyDescent="0.4">
      <c r="A1" s="2" t="s">
        <v>354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845" customFormat="1" ht="15.75" customHeight="1" x14ac:dyDescent="0.25">
      <c r="A2" s="842"/>
      <c r="B2" s="829"/>
      <c r="C2" s="864"/>
      <c r="D2" s="844" t="s">
        <v>473</v>
      </c>
      <c r="F2" s="846"/>
      <c r="G2" s="829" t="s">
        <v>514</v>
      </c>
      <c r="H2" s="843"/>
      <c r="I2" s="928"/>
    </row>
    <row r="3" spans="1:12" s="845" customFormat="1" ht="15.75" customHeight="1" x14ac:dyDescent="0.25">
      <c r="A3" s="847"/>
      <c r="B3" s="829"/>
      <c r="C3" s="858"/>
      <c r="D3" s="845" t="s">
        <v>461</v>
      </c>
      <c r="F3" s="848"/>
      <c r="G3" s="843" t="s">
        <v>515</v>
      </c>
      <c r="H3" s="843"/>
      <c r="I3" s="843"/>
    </row>
    <row r="4" spans="1:12" s="845" customFormat="1" ht="15.75" customHeight="1" x14ac:dyDescent="0.25">
      <c r="A4" s="847"/>
      <c r="B4" s="847"/>
      <c r="C4" s="929"/>
      <c r="D4" s="830" t="s">
        <v>546</v>
      </c>
      <c r="E4" s="843"/>
      <c r="F4" s="843"/>
      <c r="G4" s="830" t="s">
        <v>516</v>
      </c>
      <c r="H4" s="843"/>
      <c r="I4" s="843"/>
    </row>
    <row r="5" spans="1:12" s="514" customFormat="1" ht="15" customHeight="1" thickBot="1" x14ac:dyDescent="0.3">
      <c r="A5" s="509" t="s">
        <v>228</v>
      </c>
      <c r="B5" s="509" t="s">
        <v>237</v>
      </c>
      <c r="C5" s="509" t="s">
        <v>238</v>
      </c>
      <c r="E5" s="586"/>
      <c r="F5" s="586"/>
      <c r="G5" s="659"/>
      <c r="H5" s="659"/>
      <c r="I5" s="659"/>
      <c r="J5" s="659"/>
    </row>
    <row r="6" spans="1:12" s="278" customFormat="1" ht="14.15" customHeight="1" x14ac:dyDescent="0.3">
      <c r="A6" s="314" t="str">
        <f>"R-BAS "&amp;År-2000&amp;""</f>
        <v>R-BAS 24</v>
      </c>
      <c r="B6" s="61" t="s">
        <v>145</v>
      </c>
      <c r="C6" s="694" t="s">
        <v>66</v>
      </c>
      <c r="E6" s="531" t="s">
        <v>66</v>
      </c>
      <c r="F6" s="696" t="s">
        <v>66</v>
      </c>
      <c r="G6" s="700" t="s">
        <v>276</v>
      </c>
      <c r="H6" s="693" t="s">
        <v>284</v>
      </c>
      <c r="I6" s="940" t="s">
        <v>290</v>
      </c>
      <c r="J6" s="85"/>
      <c r="K6" s="1022" t="str">
        <f>IF(OR(COUNTIF(C8:C16, "&lt;0")&gt;0, COUNTIF(C18:C52, "&lt;0")&gt;0), "Minusbelopp förekommer, var vänlig kommentera i kommentarsrutan längst ned! Gäller ej rad 491", "")</f>
        <v/>
      </c>
    </row>
    <row r="7" spans="1:12" s="278" customFormat="1" ht="37.5" customHeight="1" x14ac:dyDescent="0.25">
      <c r="A7" s="904"/>
      <c r="B7" s="307"/>
      <c r="C7" s="695">
        <f>År</f>
        <v>2024</v>
      </c>
      <c r="E7" s="658" t="s">
        <v>483</v>
      </c>
      <c r="F7" s="697">
        <f>År-1</f>
        <v>2023</v>
      </c>
      <c r="G7" s="567" t="s">
        <v>518</v>
      </c>
      <c r="H7" s="660"/>
      <c r="I7" s="358"/>
      <c r="J7" s="407"/>
      <c r="K7" s="1022"/>
    </row>
    <row r="8" spans="1:12" s="278" customFormat="1" ht="15" customHeight="1" x14ac:dyDescent="0.25">
      <c r="A8" s="344" t="s">
        <v>183</v>
      </c>
      <c r="B8" s="34" t="s">
        <v>67</v>
      </c>
      <c r="C8" s="638">
        <f>SUM(C9,C11,C15,C16,C17)</f>
        <v>0</v>
      </c>
      <c r="E8" s="322"/>
      <c r="F8" s="550"/>
      <c r="G8" s="405" t="str">
        <f>IF(F8=0,"",(C8-F8)/F8)</f>
        <v/>
      </c>
      <c r="H8" s="363"/>
      <c r="I8" s="889"/>
      <c r="J8" s="760"/>
    </row>
    <row r="9" spans="1:12" ht="27.75" customHeight="1" x14ac:dyDescent="0.25">
      <c r="A9" s="905" t="s">
        <v>547</v>
      </c>
      <c r="B9" s="30" t="s">
        <v>423</v>
      </c>
      <c r="C9" s="25"/>
      <c r="E9" s="323">
        <f>'3. Drift. kostnader'!C41</f>
        <v>0</v>
      </c>
      <c r="F9" s="75"/>
      <c r="G9" s="402" t="str">
        <f t="shared" ref="G9:G41" si="0">IF(F9=0,"",(C9-F9)/F9)</f>
        <v/>
      </c>
      <c r="H9" s="340"/>
      <c r="I9" s="890" t="str">
        <f>IF(C10&gt;C9,"därav-rad &gt; huvudrad",
    IF(AND(C17=0, ABS(C9-E9)&gt;2.99),
        (ROUND(C9-E9, 0)) &amp; " mkr diff. mot kontogrupp 40,41,43(exkl.43x1) i flik 1 och 3- måste rättas!",
    IF(AND(C17&lt;&gt;0, ABS(C9+C17*0.685-E9)&gt;11.99),
        (ROUND(C9+C17*0.685-E9, 0)) &amp; " mkr diff. mot kontogrupp 40,41,43(exkl.43x1) i flik 1 och 3- måste rättas!",
    IF(AND(C9&lt;=50, F9&lt;50), "",
        IF(AND(G9&gt;-25%, G9&lt;25%), "", "förändring")))))</f>
        <v/>
      </c>
      <c r="J9" s="761"/>
    </row>
    <row r="10" spans="1:12" s="269" customFormat="1" ht="14.25" customHeight="1" x14ac:dyDescent="0.3">
      <c r="A10" s="345" t="s">
        <v>68</v>
      </c>
      <c r="B10" s="29" t="s">
        <v>442</v>
      </c>
      <c r="C10" s="25"/>
      <c r="D10" s="145"/>
      <c r="E10" s="324"/>
      <c r="F10" s="7"/>
      <c r="G10" s="8" t="str">
        <f t="shared" si="0"/>
        <v/>
      </c>
      <c r="H10" s="340"/>
      <c r="I10" s="890" t="str">
        <f>IF(AND(C10&lt;=50,F10&lt;50),"",IF(AND(G10&gt;-25%,G10&lt;25%),"","Förändring"))</f>
        <v/>
      </c>
      <c r="J10" s="761"/>
      <c r="K10" s="145"/>
    </row>
    <row r="11" spans="1:12" ht="15" customHeight="1" x14ac:dyDescent="0.25">
      <c r="A11" s="905" t="s">
        <v>541</v>
      </c>
      <c r="B11" s="30" t="s">
        <v>401</v>
      </c>
      <c r="C11" s="25"/>
      <c r="E11" s="323">
        <f>'3. Drift. kostnader'!D41+'3. Drift. kostnader'!L44</f>
        <v>0</v>
      </c>
      <c r="F11" s="7"/>
      <c r="G11" s="8" t="str">
        <f t="shared" si="0"/>
        <v/>
      </c>
      <c r="H11" s="127"/>
      <c r="I11" s="890" t="str">
        <f>IF(C11-C12-C13-C14&lt;-0.1,"summa därav-raderna &gt; huvudrad",
    IF(AND(C17=0, ABS(C11+C15+C16-E11)&gt;2.99),
        (ROUND(C11+C15+C16-E11, 0)) &amp; " mkr differens mot övriga personalkostnader i flik 1 och 3- måste rättas!",
    IF(AND(C17&lt;&gt;0, ABS(C11+C15+C16+C17*0.315-E11)&gt;11.99),
        (ROUND(C11+C15+C16+C17*0.315-E11, 0)) &amp; " mkr differens mot övriga personalkostnader i flik 1 och 3- måste rättas!",
    IF(AND(C11&lt;=50, F11&lt;50), "",
        IF(AND(G11&gt;-25%, G11&lt;25%), "", "Förändring")))))</f>
        <v/>
      </c>
      <c r="J11" s="880"/>
      <c r="K11" s="279"/>
    </row>
    <row r="12" spans="1:12" s="269" customFormat="1" ht="15" customHeight="1" x14ac:dyDescent="0.3">
      <c r="A12" s="906" t="s">
        <v>542</v>
      </c>
      <c r="B12" s="29" t="s">
        <v>472</v>
      </c>
      <c r="C12" s="25"/>
      <c r="D12" s="145"/>
      <c r="E12" s="410"/>
      <c r="F12" s="7"/>
      <c r="G12" s="8" t="str">
        <f t="shared" si="0"/>
        <v/>
      </c>
      <c r="H12" s="894"/>
      <c r="I12" s="890" t="str">
        <f>IF(AND(C12&lt;=50,F12&lt;50),"",IF(AND(G12&gt;-25%,G12&lt;25%),"","Förändring"))</f>
        <v/>
      </c>
      <c r="J12" s="893"/>
      <c r="K12" s="145"/>
      <c r="L12" s="269" t="str">
        <f>IF(ABS(C12-H12)&lt;2,"",IF(ABS(C12-H12)&gt;1,"Varför skillnad mot bokslutet?"))</f>
        <v/>
      </c>
    </row>
    <row r="13" spans="1:12" s="269" customFormat="1" ht="15" customHeight="1" x14ac:dyDescent="0.3">
      <c r="A13" s="906" t="s">
        <v>543</v>
      </c>
      <c r="B13" s="29" t="s">
        <v>441</v>
      </c>
      <c r="C13" s="25"/>
      <c r="D13" s="145"/>
      <c r="E13" s="411"/>
      <c r="F13" s="7"/>
      <c r="G13" s="8" t="str">
        <f t="shared" si="0"/>
        <v/>
      </c>
      <c r="H13" s="895"/>
      <c r="I13" s="890" t="str">
        <f>IF(AND(C13&lt;=50,F13&lt;50),"",IF(AND(G13&gt;-25%,G13&lt;25%),"","Förändring"))</f>
        <v/>
      </c>
      <c r="J13" s="893"/>
      <c r="K13" s="145"/>
      <c r="L13" s="269" t="str">
        <f>IF(ABS(C13-H13)&lt;2,"",IF(ABS(C13-H13)&gt;1,"Varför skillnad mot bokslutet?"))</f>
        <v/>
      </c>
    </row>
    <row r="14" spans="1:12" s="269" customFormat="1" ht="15" customHeight="1" x14ac:dyDescent="0.3">
      <c r="A14" s="345" t="s">
        <v>140</v>
      </c>
      <c r="B14" s="29" t="s">
        <v>572</v>
      </c>
      <c r="C14" s="25"/>
      <c r="D14" s="145"/>
      <c r="E14" s="324"/>
      <c r="F14" s="7"/>
      <c r="G14" s="8" t="str">
        <f t="shared" si="0"/>
        <v/>
      </c>
      <c r="H14" s="362"/>
      <c r="I14" s="890" t="str">
        <f>IF(AND(C14&lt;=50,F14&lt;50),"",IF(AND(G14&gt;-25%,G14&lt;25%),"","Förändring"))</f>
        <v/>
      </c>
      <c r="J14" s="893" t="str">
        <f>IF(ABS(C14-H14)&gt;0.99,(ROUND(C14-H14,0))&amp;" mkr diff. mot pensionsutbet. i Steg 1 - måste rättas eller förklaras!","")</f>
        <v/>
      </c>
      <c r="K14" s="145"/>
      <c r="L14" s="269" t="str">
        <f>IF(ABS(C14-H14)&lt;2,"",IF(ABS(C14-H14)&gt;1,"Varför skillnad mot bokslutet?"))</f>
        <v/>
      </c>
    </row>
    <row r="15" spans="1:12" ht="15" customHeight="1" x14ac:dyDescent="0.25">
      <c r="A15" s="905" t="s">
        <v>544</v>
      </c>
      <c r="B15" s="30" t="s">
        <v>69</v>
      </c>
      <c r="C15" s="25"/>
      <c r="E15" s="324"/>
      <c r="F15" s="7"/>
      <c r="G15" s="8" t="str">
        <f t="shared" si="0"/>
        <v/>
      </c>
      <c r="H15" s="340"/>
      <c r="I15" s="890" t="str">
        <f>IF(AND(C15&lt;=50,F15&lt;50),"",IF(AND(G15&gt;-25%,G15&lt;25%),"","Förändring"))</f>
        <v/>
      </c>
      <c r="J15" s="761"/>
    </row>
    <row r="16" spans="1:12" ht="15" customHeight="1" x14ac:dyDescent="0.25">
      <c r="A16" s="345" t="s">
        <v>453</v>
      </c>
      <c r="B16" s="30" t="s">
        <v>70</v>
      </c>
      <c r="C16" s="25"/>
      <c r="E16" s="324"/>
      <c r="F16" s="7"/>
      <c r="G16" s="8" t="str">
        <f t="shared" si="0"/>
        <v/>
      </c>
      <c r="H16" s="340"/>
      <c r="I16" s="890" t="str">
        <f>IF(AND(C16&lt;=50,F16&lt;50),"",IF(AND(G16&gt;-25%,G16&lt;25%),"","Förändring"))</f>
        <v/>
      </c>
      <c r="J16" s="761"/>
    </row>
    <row r="17" spans="1:11" ht="15" customHeight="1" x14ac:dyDescent="0.25">
      <c r="A17" s="345" t="s">
        <v>540</v>
      </c>
      <c r="B17" s="30" t="s">
        <v>545</v>
      </c>
      <c r="C17" s="571"/>
      <c r="E17" s="912"/>
      <c r="F17" s="7"/>
      <c r="G17" s="8"/>
      <c r="H17" s="340"/>
      <c r="I17" s="890"/>
      <c r="J17" s="761"/>
    </row>
    <row r="18" spans="1:11" s="278" customFormat="1" ht="15" customHeight="1" x14ac:dyDescent="0.25">
      <c r="A18" s="346" t="s">
        <v>72</v>
      </c>
      <c r="B18" s="30" t="s">
        <v>71</v>
      </c>
      <c r="C18" s="639">
        <f>SUM(C19,C20,C24,C31,C33)</f>
        <v>0</v>
      </c>
      <c r="E18" s="325"/>
      <c r="F18" s="7"/>
      <c r="G18" s="8" t="str">
        <f t="shared" si="0"/>
        <v/>
      </c>
      <c r="H18" s="363"/>
      <c r="I18" s="890"/>
      <c r="J18" s="761"/>
    </row>
    <row r="19" spans="1:11" ht="15" customHeight="1" x14ac:dyDescent="0.25">
      <c r="A19" s="345" t="s">
        <v>27</v>
      </c>
      <c r="B19" s="30" t="s">
        <v>73</v>
      </c>
      <c r="C19" s="25"/>
      <c r="E19" s="323">
        <f>'3. Drift. kostnader'!E41</f>
        <v>0</v>
      </c>
      <c r="F19" s="7"/>
      <c r="G19" s="8" t="str">
        <f t="shared" si="0"/>
        <v/>
      </c>
      <c r="H19" s="340"/>
      <c r="I19" s="890" t="str">
        <f>IF(OR(SUM(C19-E19)&gt;2.99,SUM(C19-E19)&lt;-2.99),(ROUND(C19-E19,0))&amp;" mkr differens mot kontogrupp 50-54 i flik 1 och 3- måste rättas!",IF(AND(C19&lt;=50,F19&lt;50),"",IF(AND(G19&gt;-25%,G19&lt;25%),"","Förändring")))</f>
        <v/>
      </c>
      <c r="J19" s="761"/>
    </row>
    <row r="20" spans="1:11" ht="15" customHeight="1" x14ac:dyDescent="0.25">
      <c r="A20" s="345" t="s">
        <v>74</v>
      </c>
      <c r="B20" s="907" t="s">
        <v>525</v>
      </c>
      <c r="C20" s="25"/>
      <c r="E20" s="324"/>
      <c r="F20" s="7"/>
      <c r="G20" s="8" t="str">
        <f t="shared" si="0"/>
        <v/>
      </c>
      <c r="H20" s="340"/>
      <c r="I20" s="890" t="str">
        <f>IF(C21&gt;C20,"därav-rad &gt; huvudrad",IF(AND(C20&lt;=50,F20&lt;50),"",IF(AND(G20&gt;-25%,G20&lt;25%),"","Förändring")))</f>
        <v/>
      </c>
      <c r="J20" s="761"/>
    </row>
    <row r="21" spans="1:11" s="269" customFormat="1" ht="15" customHeight="1" x14ac:dyDescent="0.3">
      <c r="A21" s="930" t="s">
        <v>225</v>
      </c>
      <c r="B21" s="29" t="s">
        <v>566</v>
      </c>
      <c r="C21" s="25"/>
      <c r="D21" s="145"/>
      <c r="E21" s="411"/>
      <c r="F21" s="7"/>
      <c r="G21" s="8" t="str">
        <f t="shared" si="0"/>
        <v/>
      </c>
      <c r="H21" s="340"/>
      <c r="I21" s="890" t="str">
        <f>IF(C22+C23 &gt; C21,"summa varav-raderna &gt; därav-rad","")</f>
        <v/>
      </c>
      <c r="J21" s="761"/>
      <c r="K21" s="145"/>
    </row>
    <row r="22" spans="1:11" s="269" customFormat="1" ht="15" customHeight="1" x14ac:dyDescent="0.3">
      <c r="A22" s="930" t="s">
        <v>567</v>
      </c>
      <c r="B22" s="29" t="s">
        <v>569</v>
      </c>
      <c r="C22" s="25"/>
      <c r="D22" s="145"/>
      <c r="E22" s="411"/>
      <c r="F22" s="7"/>
      <c r="G22" s="8"/>
      <c r="H22" s="340"/>
      <c r="I22" s="890"/>
      <c r="J22" s="761"/>
      <c r="K22" s="145"/>
    </row>
    <row r="23" spans="1:11" s="269" customFormat="1" ht="15" customHeight="1" x14ac:dyDescent="0.3">
      <c r="A23" s="930" t="s">
        <v>568</v>
      </c>
      <c r="B23" s="29" t="s">
        <v>570</v>
      </c>
      <c r="C23" s="25"/>
      <c r="D23" s="145"/>
      <c r="E23" s="411"/>
      <c r="F23" s="7"/>
      <c r="G23" s="8"/>
      <c r="H23" s="340"/>
      <c r="I23" s="890"/>
      <c r="J23" s="761"/>
      <c r="K23" s="145"/>
    </row>
    <row r="24" spans="1:11" ht="15" customHeight="1" x14ac:dyDescent="0.25">
      <c r="A24" s="345" t="s">
        <v>76</v>
      </c>
      <c r="B24" s="30" t="s">
        <v>75</v>
      </c>
      <c r="C24" s="25"/>
      <c r="E24" s="324"/>
      <c r="F24" s="7"/>
      <c r="G24" s="8" t="str">
        <f t="shared" si="0"/>
        <v/>
      </c>
      <c r="H24" s="340"/>
      <c r="I24" s="890" t="str">
        <f>IF(SUM(C24-C25-C26-C27-C28-C29)&lt;-0.1,"summa därav-raderna &gt; huvudrad",IF(AND(C24&lt;=50,F24&lt;50),"",IF(AND(G24&gt;-25%,G24&lt;25%),"","Förändring")))</f>
        <v/>
      </c>
      <c r="J24" s="761"/>
    </row>
    <row r="25" spans="1:11" s="269" customFormat="1" ht="24.75" customHeight="1" x14ac:dyDescent="0.3">
      <c r="A25" s="345" t="s">
        <v>285</v>
      </c>
      <c r="B25" s="29" t="s">
        <v>469</v>
      </c>
      <c r="C25" s="25"/>
      <c r="D25" s="145"/>
      <c r="E25" s="323">
        <f>'1. Nettokostnader'!E47</f>
        <v>0</v>
      </c>
      <c r="F25" s="7"/>
      <c r="G25" s="8" t="str">
        <f t="shared" si="0"/>
        <v/>
      </c>
      <c r="H25" s="340"/>
      <c r="I25" s="890" t="str">
        <f>IF(OR(SUM(C25-E25)&gt;2.99,SUM(C25-E25)&lt;-2.99),(ROUND(C25-E25,0))&amp;" mkr differens mot konto 5611,5612 och 5613 i flik 1 och 3- måste rättas!",IF(AND(C25&lt;=50,F25&lt;50),"",IF(AND(G25&gt;-25%,G25&lt;25%),"","Förändring")))</f>
        <v/>
      </c>
      <c r="J25" s="761"/>
      <c r="K25" s="145"/>
    </row>
    <row r="26" spans="1:11" s="269" customFormat="1" ht="15" customHeight="1" x14ac:dyDescent="0.3">
      <c r="A26" s="46" t="s">
        <v>537</v>
      </c>
      <c r="B26" s="908" t="s">
        <v>468</v>
      </c>
      <c r="C26" s="25"/>
      <c r="D26" s="145"/>
      <c r="E26" s="323">
        <f>'1. Nettokostnader'!F47</f>
        <v>0</v>
      </c>
      <c r="F26" s="7"/>
      <c r="G26" s="8" t="str">
        <f t="shared" si="0"/>
        <v/>
      </c>
      <c r="H26" s="340"/>
      <c r="I26" s="890" t="str">
        <f>IF(OR(SUM(C26-E26)&gt;2.99,SUM(C26-E26)&lt;-2.99),(ROUND(C26-E26,0))&amp;" mkr differens mot konto 5615, 5619 i flik 1 och 3- måste rättas!",IF(AND(C26&lt;=50,F26&lt;50),"",IF(AND(G26&gt;-25%,G26&lt;25%),"","Förändring")))</f>
        <v/>
      </c>
      <c r="J26" s="761"/>
      <c r="K26" s="145"/>
    </row>
    <row r="27" spans="1:11" s="269" customFormat="1" ht="15" customHeight="1" x14ac:dyDescent="0.3">
      <c r="A27" s="774" t="s">
        <v>510</v>
      </c>
      <c r="B27" s="908" t="s">
        <v>509</v>
      </c>
      <c r="C27" s="25"/>
      <c r="D27" s="145"/>
      <c r="E27" s="318"/>
      <c r="F27" s="7"/>
      <c r="G27" s="8"/>
      <c r="H27" s="340"/>
      <c r="I27" s="890" t="str">
        <f>IF(AND(C27&lt;=50,F27&lt;50),"",IF(AND(G27&gt;-25%,G27&lt;25%),"","Förändring"))</f>
        <v/>
      </c>
      <c r="J27" s="761"/>
      <c r="K27" s="145"/>
    </row>
    <row r="28" spans="1:11" s="269" customFormat="1" ht="15" customHeight="1" x14ac:dyDescent="0.3">
      <c r="A28" s="774" t="s">
        <v>511</v>
      </c>
      <c r="B28" s="908" t="s">
        <v>573</v>
      </c>
      <c r="C28" s="25"/>
      <c r="D28" s="145"/>
      <c r="E28" s="318"/>
      <c r="F28" s="7"/>
      <c r="G28" s="8"/>
      <c r="H28" s="340"/>
      <c r="I28" s="890" t="str">
        <f>IF(AND(C28&lt;=50,F28&lt;50),"",IF(AND(G28&gt;-25%,G28&lt;25%),"","Förändring"))</f>
        <v/>
      </c>
      <c r="J28" s="761"/>
      <c r="K28" s="145"/>
    </row>
    <row r="29" spans="1:11" ht="15" customHeight="1" x14ac:dyDescent="0.25">
      <c r="A29" s="46" t="s">
        <v>226</v>
      </c>
      <c r="B29" s="31" t="s">
        <v>440</v>
      </c>
      <c r="C29" s="25"/>
      <c r="E29" s="320"/>
      <c r="F29" s="7"/>
      <c r="G29" s="8" t="str">
        <f t="shared" si="0"/>
        <v/>
      </c>
      <c r="H29" s="340"/>
      <c r="I29" s="890" t="str">
        <f>IF(C30&gt;C29,"varav-rad &gt; därav-rad",IF(AND(C29&lt;=50,F29&lt;50),"",IF(AND(G29&gt;-25%,G29&lt;25%),"","Förändring")))</f>
        <v/>
      </c>
      <c r="J29" s="761"/>
    </row>
    <row r="30" spans="1:11" s="269" customFormat="1" ht="15" customHeight="1" x14ac:dyDescent="0.3">
      <c r="A30" s="126" t="s">
        <v>77</v>
      </c>
      <c r="B30" s="32" t="s">
        <v>271</v>
      </c>
      <c r="C30" s="25"/>
      <c r="D30" s="145"/>
      <c r="E30" s="318"/>
      <c r="F30" s="7"/>
      <c r="G30" s="8" t="str">
        <f t="shared" si="0"/>
        <v/>
      </c>
      <c r="H30" s="340"/>
      <c r="I30" s="890" t="str">
        <f>IF(AND(C30&lt;=50,F30&lt;50),"",IF(AND(G30&gt;-25%,G30&lt;25%),"","Förändring"))</f>
        <v/>
      </c>
      <c r="J30" s="761"/>
      <c r="K30" s="145"/>
    </row>
    <row r="31" spans="1:11" ht="15" customHeight="1" x14ac:dyDescent="0.25">
      <c r="A31" s="126" t="s">
        <v>79</v>
      </c>
      <c r="B31" s="28" t="s">
        <v>78</v>
      </c>
      <c r="C31" s="25"/>
      <c r="E31" s="318"/>
      <c r="F31" s="7"/>
      <c r="G31" s="8" t="str">
        <f t="shared" si="0"/>
        <v/>
      </c>
      <c r="H31" s="340"/>
      <c r="I31" s="890" t="str">
        <f>IF(C32&gt;C31,"därav-rad &gt; huvudrad",IF(AND(C31&lt;=50,F31&lt;50),"",IF(AND(G31&gt;-25%,G31&lt;25%),"","Förändring")))</f>
        <v/>
      </c>
      <c r="J31" s="761"/>
    </row>
    <row r="32" spans="1:11" s="269" customFormat="1" ht="15" customHeight="1" x14ac:dyDescent="0.3">
      <c r="A32" s="126" t="s">
        <v>80</v>
      </c>
      <c r="B32" s="32" t="s">
        <v>439</v>
      </c>
      <c r="C32" s="25"/>
      <c r="D32" s="145"/>
      <c r="E32" s="318"/>
      <c r="F32" s="7"/>
      <c r="G32" s="8" t="str">
        <f t="shared" si="0"/>
        <v/>
      </c>
      <c r="H32" s="340"/>
      <c r="I32" s="890" t="str">
        <f>IF(AND(C32&lt;=50,F32&lt;50),"",IF(AND(G32&gt;-25%,G32&lt;25%),"","Förändring"))</f>
        <v/>
      </c>
      <c r="J32" s="761"/>
      <c r="K32" s="145"/>
    </row>
    <row r="33" spans="1:11" ht="15" customHeight="1" x14ac:dyDescent="0.25">
      <c r="A33" s="126" t="s">
        <v>82</v>
      </c>
      <c r="B33" s="28" t="s">
        <v>81</v>
      </c>
      <c r="C33" s="25"/>
      <c r="E33" s="323">
        <f>'3. Drift. kostnader'!F41</f>
        <v>0</v>
      </c>
      <c r="F33" s="7"/>
      <c r="G33" s="8" t="str">
        <f t="shared" si="0"/>
        <v/>
      </c>
      <c r="H33" s="340"/>
      <c r="I33" s="890" t="str">
        <f>IF(C34&gt;C33,"därav-rad &gt; huvudrad",IF(OR(SUM(C33-E33)&gt;2.99,SUM(C33-E33)&lt;-2.99),(ROUND(C33-E33,0))&amp;" mkr differens mot kontogrupp 58 i flik 1 och 3- måste rättas!",IF(AND(C33&lt;=50,F33&lt;50),"",IF(AND(G33&gt;-25%,G33&lt;25%),"","Förändring"))))</f>
        <v/>
      </c>
      <c r="J33" s="761"/>
    </row>
    <row r="34" spans="1:11" ht="15" customHeight="1" x14ac:dyDescent="0.25">
      <c r="A34" s="32" t="s">
        <v>360</v>
      </c>
      <c r="B34" s="32" t="s">
        <v>471</v>
      </c>
      <c r="C34" s="571"/>
      <c r="E34" s="410"/>
      <c r="F34" s="7"/>
      <c r="G34" s="8" t="str">
        <f t="shared" si="0"/>
        <v/>
      </c>
      <c r="H34" s="340"/>
      <c r="I34" s="890" t="str">
        <f>IF(SUM(C35+C36)&gt;C34,"summa varav-raderna &gt; därav-rad",IF(AND(C34&lt;=50,F34&lt;50),"",IF(AND(G34&gt;-25%,G34&lt;25%),"","Förändring")))</f>
        <v/>
      </c>
      <c r="J34" s="761"/>
    </row>
    <row r="35" spans="1:11" ht="15" customHeight="1" x14ac:dyDescent="0.25">
      <c r="A35" s="32" t="s">
        <v>361</v>
      </c>
      <c r="B35" s="32" t="s">
        <v>484</v>
      </c>
      <c r="C35" s="571"/>
      <c r="E35" s="496"/>
      <c r="F35" s="7"/>
      <c r="G35" s="8" t="str">
        <f t="shared" si="0"/>
        <v/>
      </c>
      <c r="H35" s="340"/>
      <c r="I35" s="890" t="str">
        <f>IF(AND(C35&lt;=50,F35&lt;50),"",IF(AND(G35&gt;-25%,G35&lt;25%),"","Förändring"))</f>
        <v/>
      </c>
      <c r="J35" s="761"/>
    </row>
    <row r="36" spans="1:11" ht="15" customHeight="1" x14ac:dyDescent="0.25">
      <c r="A36" s="32" t="s">
        <v>362</v>
      </c>
      <c r="B36" s="32" t="s">
        <v>485</v>
      </c>
      <c r="C36" s="571"/>
      <c r="E36" s="496"/>
      <c r="F36" s="7"/>
      <c r="G36" s="8" t="str">
        <f>IF(F36=0,"",(C36-F36)/F36)</f>
        <v/>
      </c>
      <c r="H36" s="340"/>
      <c r="I36" s="890" t="str">
        <f>IF(AND(C36&lt;=50,F36&lt;50),"",IF(AND(G36&gt;-25%,G36&lt;25%),"","Förändring"))</f>
        <v/>
      </c>
      <c r="J36" s="761"/>
    </row>
    <row r="37" spans="1:11" s="278" customFormat="1" ht="15" customHeight="1" x14ac:dyDescent="0.25">
      <c r="A37" s="342" t="s">
        <v>83</v>
      </c>
      <c r="B37" s="28" t="s">
        <v>574</v>
      </c>
      <c r="C37" s="639">
        <f>SUM(C38,C40,C41,C42,C43,C44,C48,C49,C50,C51,C52)</f>
        <v>0</v>
      </c>
      <c r="E37" s="326"/>
      <c r="F37" s="7"/>
      <c r="G37" s="8" t="str">
        <f t="shared" si="0"/>
        <v/>
      </c>
      <c r="H37" s="363"/>
      <c r="I37" s="890"/>
      <c r="J37" s="761"/>
    </row>
    <row r="38" spans="1:11" ht="15" customHeight="1" x14ac:dyDescent="0.25">
      <c r="A38" s="126" t="s">
        <v>85</v>
      </c>
      <c r="B38" s="28" t="s">
        <v>84</v>
      </c>
      <c r="C38" s="25"/>
      <c r="E38" s="319"/>
      <c r="F38" s="7"/>
      <c r="G38" s="8" t="str">
        <f t="shared" si="0"/>
        <v/>
      </c>
      <c r="H38" s="340"/>
      <c r="I38" s="890" t="str">
        <f>IF(C39&gt;C38,"därav-rad &gt; huvudrad",IF(AND(C38&lt;=50,F38&lt;50),"",IF(AND(G38&gt;-25%,G38&lt;25%),"","Förändring")))</f>
        <v/>
      </c>
      <c r="J38" s="761"/>
    </row>
    <row r="39" spans="1:11" s="269" customFormat="1" ht="15" customHeight="1" x14ac:dyDescent="0.3">
      <c r="A39" s="126" t="s">
        <v>86</v>
      </c>
      <c r="B39" s="32" t="s">
        <v>438</v>
      </c>
      <c r="C39" s="25"/>
      <c r="D39" s="145"/>
      <c r="E39" s="318"/>
      <c r="F39" s="7"/>
      <c r="G39" s="8" t="str">
        <f t="shared" si="0"/>
        <v/>
      </c>
      <c r="H39" s="340"/>
      <c r="I39" s="890" t="str">
        <f>IF(AND(C39&lt;=50,F39&lt;50),"",IF(AND(G39&gt;-25%,G39&lt;25%),"","Förändring"))</f>
        <v/>
      </c>
      <c r="J39" s="761"/>
      <c r="K39" s="145"/>
    </row>
    <row r="40" spans="1:11" ht="15" customHeight="1" x14ac:dyDescent="0.25">
      <c r="A40" s="126" t="s">
        <v>87</v>
      </c>
      <c r="B40" s="28" t="s">
        <v>575</v>
      </c>
      <c r="C40" s="25"/>
      <c r="E40" s="318"/>
      <c r="F40" s="7"/>
      <c r="G40" s="8" t="str">
        <f t="shared" si="0"/>
        <v/>
      </c>
      <c r="H40" s="340"/>
      <c r="I40" s="890" t="str">
        <f>IF(AND(C40&lt;=50,F40&lt;50),"",IF(AND(G40&gt;-25%,G40&lt;25%),"","Förändring"))</f>
        <v/>
      </c>
      <c r="J40" s="761"/>
    </row>
    <row r="41" spans="1:11" ht="15" customHeight="1" x14ac:dyDescent="0.25">
      <c r="A41" s="561" t="s">
        <v>287</v>
      </c>
      <c r="B41" s="868" t="s">
        <v>288</v>
      </c>
      <c r="C41" s="25"/>
      <c r="E41" s="318"/>
      <c r="F41" s="7"/>
      <c r="G41" s="8" t="str">
        <f t="shared" si="0"/>
        <v/>
      </c>
      <c r="H41" s="340"/>
      <c r="I41" s="890" t="str">
        <f>IF(AND(C41&lt;=50,F41&lt;50),"",IF(AND(G41&gt;-25%,G41&lt;25%),"","Förändring"))</f>
        <v/>
      </c>
      <c r="J41" s="761"/>
    </row>
    <row r="42" spans="1:11" ht="15" customHeight="1" x14ac:dyDescent="0.25">
      <c r="A42" s="126" t="s">
        <v>89</v>
      </c>
      <c r="B42" s="28" t="s">
        <v>88</v>
      </c>
      <c r="C42" s="25"/>
      <c r="E42" s="318"/>
      <c r="F42" s="7"/>
      <c r="G42" s="8" t="str">
        <f t="shared" ref="G42:G50" si="1">IF(F42=0,"",(C42-F42)/F42)</f>
        <v/>
      </c>
      <c r="H42" s="340"/>
      <c r="I42" s="890" t="str">
        <f>IF(AND(C42&lt;=50,F42&lt;50),"",IF(AND(G42&gt;-25%,G42&lt;25%),"","Förändring"))</f>
        <v/>
      </c>
      <c r="J42" s="761"/>
    </row>
    <row r="43" spans="1:11" ht="15" customHeight="1" x14ac:dyDescent="0.25">
      <c r="A43" s="126" t="s">
        <v>91</v>
      </c>
      <c r="B43" s="28" t="s">
        <v>90</v>
      </c>
      <c r="C43" s="25"/>
      <c r="E43" s="318"/>
      <c r="F43" s="7"/>
      <c r="G43" s="8" t="str">
        <f t="shared" si="1"/>
        <v/>
      </c>
      <c r="H43" s="340"/>
      <c r="I43" s="890" t="str">
        <f>IF(AND(C43&lt;=50,F43&lt;50),"",IF(AND(G43&gt;-25%,G43&lt;25%),"","Förändring"))</f>
        <v/>
      </c>
      <c r="J43" s="761"/>
    </row>
    <row r="44" spans="1:11" ht="15" customHeight="1" x14ac:dyDescent="0.25">
      <c r="A44" s="126" t="s">
        <v>93</v>
      </c>
      <c r="B44" s="28" t="s">
        <v>92</v>
      </c>
      <c r="C44" s="25"/>
      <c r="E44" s="318"/>
      <c r="F44" s="7"/>
      <c r="G44" s="8" t="str">
        <f t="shared" si="1"/>
        <v/>
      </c>
      <c r="H44" s="364"/>
      <c r="I44" s="890" t="str">
        <f>IF(SUM(C45:C47)&gt;C44,"summa därav-raderna &gt; huvudrad",IF(AND(C44&lt;=50,F44&lt;50),"",IF(AND(G44&gt;-25%,G44&lt;25%),"","Förändring")))</f>
        <v/>
      </c>
      <c r="J44" s="761"/>
    </row>
    <row r="45" spans="1:11" s="269" customFormat="1" ht="15" customHeight="1" x14ac:dyDescent="0.3">
      <c r="A45" s="126" t="s">
        <v>94</v>
      </c>
      <c r="B45" s="32" t="s">
        <v>436</v>
      </c>
      <c r="C45" s="25"/>
      <c r="D45" s="145"/>
      <c r="E45" s="318"/>
      <c r="F45" s="7"/>
      <c r="G45" s="8" t="str">
        <f t="shared" si="1"/>
        <v/>
      </c>
      <c r="H45" s="340"/>
      <c r="I45" s="890" t="str">
        <f t="shared" ref="I45:I50" si="2">IF(AND(C45&lt;=50,F45&lt;50),"",IF(AND(G45&gt;-25%,G45&lt;25%),"","Förändring"))</f>
        <v/>
      </c>
      <c r="J45" s="761"/>
      <c r="K45" s="145"/>
    </row>
    <row r="46" spans="1:11" s="269" customFormat="1" ht="15" customHeight="1" x14ac:dyDescent="0.3">
      <c r="A46" s="561" t="s">
        <v>272</v>
      </c>
      <c r="B46" s="32" t="s">
        <v>437</v>
      </c>
      <c r="C46" s="25"/>
      <c r="D46" s="145"/>
      <c r="E46" s="318"/>
      <c r="F46" s="7"/>
      <c r="G46" s="8" t="str">
        <f>IF(F46=0,"",(C46-F46)/F46)</f>
        <v/>
      </c>
      <c r="H46" s="340"/>
      <c r="I46" s="890" t="str">
        <f t="shared" si="2"/>
        <v/>
      </c>
      <c r="J46" s="761"/>
      <c r="K46" s="145"/>
    </row>
    <row r="47" spans="1:11" s="269" customFormat="1" ht="15" customHeight="1" x14ac:dyDescent="0.3">
      <c r="A47" s="561" t="s">
        <v>464</v>
      </c>
      <c r="B47" s="32" t="s">
        <v>508</v>
      </c>
      <c r="C47" s="25"/>
      <c r="D47" s="145"/>
      <c r="E47" s="318"/>
      <c r="F47" s="7"/>
      <c r="G47" s="8" t="str">
        <f>IF(F47=0,"",(C47-F47)/F47)</f>
        <v/>
      </c>
      <c r="H47" s="340"/>
      <c r="I47" s="890" t="str">
        <f t="shared" si="2"/>
        <v/>
      </c>
      <c r="J47" s="761"/>
      <c r="K47" s="145"/>
    </row>
    <row r="48" spans="1:11" s="269" customFormat="1" ht="15" customHeight="1" x14ac:dyDescent="0.3">
      <c r="A48" s="126" t="s">
        <v>506</v>
      </c>
      <c r="B48" s="868" t="s">
        <v>554</v>
      </c>
      <c r="C48" s="25"/>
      <c r="D48" s="145"/>
      <c r="E48" s="318"/>
      <c r="F48" s="7"/>
      <c r="G48" s="8" t="str">
        <f t="shared" si="1"/>
        <v/>
      </c>
      <c r="H48" s="340"/>
      <c r="I48" s="890" t="str">
        <f t="shared" si="2"/>
        <v/>
      </c>
      <c r="J48" s="761" t="s">
        <v>270</v>
      </c>
      <c r="K48" s="145"/>
    </row>
    <row r="49" spans="1:11" s="269" customFormat="1" ht="15" customHeight="1" x14ac:dyDescent="0.3">
      <c r="A49" s="126" t="s">
        <v>507</v>
      </c>
      <c r="B49" s="868" t="s">
        <v>555</v>
      </c>
      <c r="C49" s="25"/>
      <c r="D49" s="145"/>
      <c r="E49" s="318"/>
      <c r="F49" s="7"/>
      <c r="G49" s="8" t="str">
        <f t="shared" si="1"/>
        <v/>
      </c>
      <c r="H49" s="340"/>
      <c r="I49" s="890" t="str">
        <f t="shared" si="2"/>
        <v/>
      </c>
      <c r="J49" s="761"/>
      <c r="K49" s="145"/>
    </row>
    <row r="50" spans="1:11" ht="15" customHeight="1" x14ac:dyDescent="0.25">
      <c r="A50" s="126" t="s">
        <v>95</v>
      </c>
      <c r="B50" s="28" t="s">
        <v>576</v>
      </c>
      <c r="C50" s="25"/>
      <c r="E50" s="318"/>
      <c r="F50" s="7"/>
      <c r="G50" s="8" t="str">
        <f t="shared" si="1"/>
        <v/>
      </c>
      <c r="H50" s="340"/>
      <c r="I50" s="890" t="str">
        <f t="shared" si="2"/>
        <v/>
      </c>
      <c r="J50" s="761"/>
    </row>
    <row r="51" spans="1:11" ht="15" customHeight="1" x14ac:dyDescent="0.25">
      <c r="A51" s="561" t="s">
        <v>524</v>
      </c>
      <c r="B51" s="28" t="s">
        <v>579</v>
      </c>
      <c r="C51" s="25"/>
      <c r="E51" s="323">
        <f>'3. Drift. kostnader'!I41</f>
        <v>0</v>
      </c>
      <c r="F51" s="7"/>
      <c r="G51" s="8" t="str">
        <f>IF(F51=0,"",(C51-F51)/F51)</f>
        <v/>
      </c>
      <c r="H51" s="698"/>
      <c r="I51" s="890" t="str">
        <f>IF(OR(SUM(C48:C51)-E51&gt;2.99,SUM(C48:C51)-E51&lt;-2.99),ROUND(SUM(C48:C51)-E51,0)&amp;" mkr differens mot kontogrupp 78+79 i flik 1 och 3 - måste rättas!",IF(AND(C51&lt;=50,F51&lt;50),"",IF(AND(G51&gt;-25%,G51&lt;25%),"","Förändring")))</f>
        <v/>
      </c>
      <c r="J51" s="893" t="str">
        <f>IF(ABS(C48+C49+C51-H51)&gt;0.99,(ROUND(C48+C49+C51-H51,0))&amp;" mkr diff. mot avskrivningar och nedskrivningar i Steg 1 - måste rättas eller förklaras!","")</f>
        <v/>
      </c>
      <c r="K51" s="279"/>
    </row>
    <row r="52" spans="1:11" s="269" customFormat="1" ht="15" customHeight="1" x14ac:dyDescent="0.3">
      <c r="A52" s="126" t="s">
        <v>269</v>
      </c>
      <c r="B52" s="28" t="s">
        <v>452</v>
      </c>
      <c r="C52" s="26"/>
      <c r="D52" s="145"/>
      <c r="E52" s="412"/>
      <c r="F52" s="23"/>
      <c r="G52" s="24" t="str">
        <f>IF(F52=0,"",(C52-F52)/F52)</f>
        <v/>
      </c>
      <c r="H52" s="340"/>
      <c r="I52" s="890" t="str">
        <f>IF(AND(C52&lt;=50,F52&lt;50),"",IF(AND(G52&gt;-25%,G52&lt;25%),"","Förändring"))</f>
        <v/>
      </c>
      <c r="J52" s="761"/>
      <c r="K52" s="145"/>
    </row>
    <row r="53" spans="1:11" ht="15" customHeight="1" thickBot="1" x14ac:dyDescent="0.3">
      <c r="A53" s="855" t="s">
        <v>138</v>
      </c>
      <c r="B53" s="33" t="s">
        <v>580</v>
      </c>
      <c r="C53" s="640">
        <f>SUM(C8,C18,C37)</f>
        <v>0</v>
      </c>
      <c r="E53" s="327">
        <f>'3. Drift. kostnader'!L45</f>
        <v>0</v>
      </c>
      <c r="F53" s="713">
        <f>F8+F18+F37</f>
        <v>0</v>
      </c>
      <c r="G53" s="712" t="str">
        <f>IF(F53=0,"",(C53-F53)/F53)</f>
        <v/>
      </c>
      <c r="H53" s="365"/>
      <c r="I53" s="891" t="str">
        <f>IF(OR(SUM(C53-E53)&gt;2.99,SUM(C53-E53)&lt;-2.99),(ROUND(C53-E53,0))&amp;" mkr differens mot Verksamhetens kostnader i flik 1 och 3- måste rättas!","")</f>
        <v/>
      </c>
      <c r="J53" s="762"/>
    </row>
    <row r="54" spans="1:11" x14ac:dyDescent="0.25">
      <c r="A54" s="856"/>
    </row>
    <row r="55" spans="1:11" x14ac:dyDescent="0.25"/>
    <row r="56" spans="1:11" x14ac:dyDescent="0.25">
      <c r="B56" s="271" t="s">
        <v>396</v>
      </c>
      <c r="D56" s="129"/>
      <c r="E56" s="129"/>
    </row>
    <row r="57" spans="1:11" x14ac:dyDescent="0.25">
      <c r="B57" s="1011"/>
      <c r="C57" s="1012"/>
      <c r="D57" s="1012"/>
      <c r="E57" s="1013"/>
    </row>
    <row r="58" spans="1:11" x14ac:dyDescent="0.25">
      <c r="B58" s="1014"/>
      <c r="C58" s="1015"/>
      <c r="D58" s="1015"/>
      <c r="E58" s="1016"/>
    </row>
    <row r="59" spans="1:11" x14ac:dyDescent="0.25">
      <c r="B59" s="1014"/>
      <c r="C59" s="1015"/>
      <c r="D59" s="1015"/>
      <c r="E59" s="1016"/>
    </row>
    <row r="60" spans="1:11" x14ac:dyDescent="0.25">
      <c r="B60" s="1014"/>
      <c r="C60" s="1015"/>
      <c r="D60" s="1015"/>
      <c r="E60" s="1016"/>
    </row>
    <row r="61" spans="1:11" x14ac:dyDescent="0.25">
      <c r="B61" s="1017"/>
      <c r="C61" s="1018"/>
      <c r="D61" s="1018"/>
      <c r="E61" s="1019"/>
    </row>
    <row r="62" spans="1:11" x14ac:dyDescent="0.25">
      <c r="D62" s="129"/>
    </row>
    <row r="63" spans="1:11" x14ac:dyDescent="0.25"/>
    <row r="64" spans="1:1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mergeCells count="2">
    <mergeCell ref="B57:E61"/>
    <mergeCell ref="K6:K7"/>
  </mergeCells>
  <phoneticPr fontId="0" type="noConversion"/>
  <conditionalFormatting sqref="C19:C20 C24 C31 C33:C36 C38 C40:C44 C50:C52 C9 C11 C15:C16">
    <cfRule type="cellIs" dxfId="33" priority="14" stopIfTrue="1" operator="lessThan">
      <formula>-1</formula>
    </cfRule>
  </conditionalFormatting>
  <conditionalFormatting sqref="C10">
    <cfRule type="cellIs" dxfId="32" priority="15" stopIfTrue="1" operator="lessThan">
      <formula>-1</formula>
    </cfRule>
    <cfRule type="expression" dxfId="31" priority="16" stopIfTrue="1">
      <formula>IF(AND(C$10&gt;C$9),SUM(C$9-C$10)&lt;-0.1)</formula>
    </cfRule>
  </conditionalFormatting>
  <conditionalFormatting sqref="C12:C14">
    <cfRule type="cellIs" dxfId="30" priority="17" stopIfTrue="1" operator="lessThan">
      <formula>-1</formula>
    </cfRule>
    <cfRule type="expression" dxfId="29" priority="18" stopIfTrue="1">
      <formula>IF(AND(SUM(C$12:C$14)&gt;C$11),SUM(C$11-C$12-C$13-C$14)&lt;-0.1)</formula>
    </cfRule>
  </conditionalFormatting>
  <conditionalFormatting sqref="C21:C23">
    <cfRule type="expression" dxfId="28" priority="22" stopIfTrue="1">
      <formula>IF(AND(C$21&gt;C$20),SUM(C$21-C$20)&lt;-0.1)</formula>
    </cfRule>
  </conditionalFormatting>
  <conditionalFormatting sqref="C25:C29">
    <cfRule type="cellIs" dxfId="27" priority="23" stopIfTrue="1" operator="lessThan">
      <formula>-1</formula>
    </cfRule>
    <cfRule type="expression" dxfId="26" priority="24" stopIfTrue="1">
      <formula>IF(AND(SUM(C$25:C$29)&gt;C$24),SUM(C$24-C$25-C$26-C$27-C$28-C$29)&lt;-0.1)</formula>
    </cfRule>
  </conditionalFormatting>
  <conditionalFormatting sqref="C32">
    <cfRule type="cellIs" dxfId="25" priority="25" stopIfTrue="1" operator="lessThan">
      <formula>-1</formula>
    </cfRule>
    <cfRule type="expression" dxfId="24" priority="26" stopIfTrue="1">
      <formula>IF(AND(C$32&gt;C$31),SUM(C$31-C$32)&lt;-0.1)</formula>
    </cfRule>
  </conditionalFormatting>
  <conditionalFormatting sqref="C39">
    <cfRule type="cellIs" dxfId="23" priority="27" stopIfTrue="1" operator="lessThan">
      <formula>-1</formula>
    </cfRule>
    <cfRule type="expression" dxfId="22" priority="28" stopIfTrue="1">
      <formula>IF(AND(C$39&gt;C$38),SUM(C$38-C$39)&lt;-0.1)</formula>
    </cfRule>
  </conditionalFormatting>
  <conditionalFormatting sqref="C45:C47">
    <cfRule type="cellIs" dxfId="21" priority="31" stopIfTrue="1" operator="lessThan">
      <formula>-1</formula>
    </cfRule>
    <cfRule type="expression" dxfId="20" priority="32" stopIfTrue="1">
      <formula>IF(AND(SUM(C$45:C46)&gt;C$44),SUM(C$44-C$45-C$46)&lt;-0.1)</formula>
    </cfRule>
  </conditionalFormatting>
  <conditionalFormatting sqref="C30">
    <cfRule type="cellIs" dxfId="19" priority="41" stopIfTrue="1" operator="lessThan">
      <formula>-1</formula>
    </cfRule>
    <cfRule type="expression" dxfId="18" priority="42" stopIfTrue="1">
      <formula>IF(AND(C30&gt;C29),SUM(C29-C30)&lt;-0.1)</formula>
    </cfRule>
  </conditionalFormatting>
  <conditionalFormatting sqref="G8:G53">
    <cfRule type="cellIs" dxfId="17" priority="144" stopIfTrue="1" operator="notBetween">
      <formula>-0.1</formula>
      <formula>0.1</formula>
    </cfRule>
  </conditionalFormatting>
  <conditionalFormatting sqref="G8:G53">
    <cfRule type="expression" dxfId="16" priority="143" stopIfTrue="1">
      <formula>ABS(C8-F8)&lt;10</formula>
    </cfRule>
  </conditionalFormatting>
  <conditionalFormatting sqref="C35:C36">
    <cfRule type="expression" dxfId="15" priority="4" stopIfTrue="1">
      <formula>IF(AND(SUM(C$35:C$36)&gt;C$34),"Sant","falskt")</formula>
    </cfRule>
  </conditionalFormatting>
  <conditionalFormatting sqref="C48:C49">
    <cfRule type="cellIs" dxfId="14" priority="149" stopIfTrue="1" operator="lessThan">
      <formula>-1</formula>
    </cfRule>
    <cfRule type="expression" dxfId="13" priority="150" stopIfTrue="1">
      <formula>IF(AND(SUM(C$48:C49)&gt;#REF!),SUM(#REF!-C$48-C$49)&lt;-0.1)</formula>
    </cfRule>
  </conditionalFormatting>
  <conditionalFormatting sqref="C34">
    <cfRule type="expression" dxfId="12" priority="3" stopIfTrue="1">
      <formula>IF(AND(C$34&gt;C$33),SUM(C$33-C$34)&lt;-0.1)</formula>
    </cfRule>
  </conditionalFormatting>
  <conditionalFormatting sqref="C17">
    <cfRule type="expression" dxfId="11" priority="2" stopIfTrue="1">
      <formula>$C$17&gt;0</formula>
    </cfRule>
  </conditionalFormatting>
  <conditionalFormatting sqref="C21">
    <cfRule type="cellIs" dxfId="10" priority="21" stopIfTrue="1" operator="lessThan">
      <formula>-1</formula>
    </cfRule>
  </conditionalFormatting>
  <conditionalFormatting sqref="C23">
    <cfRule type="cellIs" dxfId="9" priority="1" stopIfTrue="1" operator="lessThan">
      <formula>-1</formula>
    </cfRule>
  </conditionalFormatting>
  <dataValidations count="1">
    <dataValidation type="decimal" allowBlank="1" showErrorMessage="1" error="Endast tal ska anges!" sqref="C8:C53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11" max="6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/>
  </sheetViews>
  <sheetFormatPr defaultColWidth="0" defaultRowHeight="12.5" zeroHeight="1" x14ac:dyDescent="0.25"/>
  <cols>
    <col min="1" max="1" width="10.54296875" style="152" customWidth="1"/>
    <col min="2" max="2" width="46.54296875" style="152" customWidth="1"/>
    <col min="3" max="12" width="11.54296875" style="152" customWidth="1"/>
    <col min="13" max="13" width="32.453125" style="280" customWidth="1"/>
    <col min="14" max="14" width="14.54296875" style="152" customWidth="1"/>
    <col min="15" max="16384" width="58.453125" style="152" hidden="1"/>
  </cols>
  <sheetData>
    <row r="1" spans="1:14" ht="24.75" customHeight="1" x14ac:dyDescent="0.4">
      <c r="A1" s="2" t="s">
        <v>355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45" customFormat="1" ht="13.4" customHeight="1" x14ac:dyDescent="0.25">
      <c r="A2" s="842"/>
      <c r="B2" s="843"/>
      <c r="C2" s="857"/>
      <c r="D2" s="845" t="s">
        <v>473</v>
      </c>
      <c r="E2" s="846"/>
      <c r="F2" s="829" t="s">
        <v>514</v>
      </c>
      <c r="G2" s="843"/>
      <c r="H2" s="829"/>
      <c r="I2" s="843"/>
      <c r="J2" s="843"/>
    </row>
    <row r="3" spans="1:14" s="845" customFormat="1" ht="13.4" customHeight="1" x14ac:dyDescent="0.25">
      <c r="A3" s="847"/>
      <c r="B3" s="843"/>
      <c r="C3" s="858"/>
      <c r="D3" s="845" t="s">
        <v>461</v>
      </c>
      <c r="E3" s="848"/>
      <c r="F3" s="843" t="s">
        <v>515</v>
      </c>
      <c r="G3" s="843"/>
      <c r="H3" s="843"/>
      <c r="I3" s="843"/>
      <c r="J3" s="843"/>
    </row>
    <row r="4" spans="1:14" s="845" customFormat="1" ht="15" customHeight="1" x14ac:dyDescent="0.25">
      <c r="A4" s="847"/>
      <c r="B4" s="847"/>
      <c r="C4" s="843"/>
      <c r="D4" s="843"/>
      <c r="E4" s="843"/>
      <c r="F4" s="830" t="s">
        <v>516</v>
      </c>
      <c r="G4" s="859"/>
      <c r="H4" s="843"/>
      <c r="I4" s="843"/>
      <c r="J4" s="843"/>
    </row>
    <row r="5" spans="1:14" s="514" customFormat="1" ht="12" thickBot="1" x14ac:dyDescent="0.3">
      <c r="A5" s="519" t="s">
        <v>228</v>
      </c>
      <c r="B5" s="519" t="s">
        <v>237</v>
      </c>
      <c r="C5" s="519" t="s">
        <v>238</v>
      </c>
      <c r="D5" s="519" t="s">
        <v>239</v>
      </c>
      <c r="E5" s="519" t="s">
        <v>240</v>
      </c>
      <c r="F5" s="519" t="s">
        <v>249</v>
      </c>
      <c r="G5" s="519" t="s">
        <v>250</v>
      </c>
      <c r="H5" s="519" t="s">
        <v>251</v>
      </c>
      <c r="I5" s="519" t="s">
        <v>252</v>
      </c>
      <c r="J5" s="519" t="s">
        <v>253</v>
      </c>
      <c r="K5" s="519" t="s">
        <v>254</v>
      </c>
      <c r="L5" s="519" t="s">
        <v>265</v>
      </c>
      <c r="M5" s="520"/>
    </row>
    <row r="6" spans="1:14" ht="15.75" customHeight="1" x14ac:dyDescent="0.25">
      <c r="A6" s="531" t="s">
        <v>115</v>
      </c>
      <c r="B6" s="12" t="s">
        <v>32</v>
      </c>
      <c r="C6" s="123" t="s">
        <v>168</v>
      </c>
      <c r="D6" s="123"/>
      <c r="E6" s="124"/>
      <c r="F6" s="124"/>
      <c r="G6" s="124"/>
      <c r="H6" s="124"/>
      <c r="I6" s="124"/>
      <c r="J6" s="124"/>
      <c r="K6" s="124"/>
      <c r="L6" s="125"/>
      <c r="M6" s="1023" t="str">
        <f>IF(COUNTIF(D10:L49, "&lt;0")&gt;0, "Minusbelopp förekommer, var vänlig kommentera i kommentarsrutan längst ned!", "")</f>
        <v/>
      </c>
    </row>
    <row r="7" spans="1:14" ht="15.75" customHeight="1" x14ac:dyDescent="0.25">
      <c r="A7" s="413"/>
      <c r="B7" s="11"/>
      <c r="C7" s="699" t="s">
        <v>99</v>
      </c>
      <c r="D7" s="910" t="s">
        <v>534</v>
      </c>
      <c r="E7" s="919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2" t="s">
        <v>306</v>
      </c>
      <c r="M7" s="1023"/>
    </row>
    <row r="8" spans="1:14" ht="15.75" customHeight="1" x14ac:dyDescent="0.25">
      <c r="A8" s="413"/>
      <c r="B8" s="11"/>
      <c r="C8" s="6"/>
      <c r="D8" s="910"/>
      <c r="E8" s="910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429</v>
      </c>
      <c r="K8" s="6" t="s">
        <v>102</v>
      </c>
      <c r="L8" s="562"/>
      <c r="M8" s="1023"/>
    </row>
    <row r="9" spans="1:14" ht="15.75" customHeight="1" x14ac:dyDescent="0.25">
      <c r="A9" s="414"/>
      <c r="B9" s="10"/>
      <c r="C9" s="5"/>
      <c r="D9" s="920"/>
      <c r="E9" s="920" t="s">
        <v>178</v>
      </c>
      <c r="F9" s="5"/>
      <c r="G9" s="5"/>
      <c r="H9" s="5" t="s">
        <v>105</v>
      </c>
      <c r="I9" s="5"/>
      <c r="J9" s="5" t="s">
        <v>428</v>
      </c>
      <c r="K9" s="5"/>
      <c r="L9" s="563"/>
    </row>
    <row r="10" spans="1:14" s="282" customFormat="1" ht="15.75" customHeight="1" x14ac:dyDescent="0.3">
      <c r="A10" s="100" t="s">
        <v>179</v>
      </c>
      <c r="B10" s="39" t="s">
        <v>364</v>
      </c>
      <c r="C10" s="337">
        <f>'2. Drift.  intäkter'!D11</f>
        <v>0</v>
      </c>
      <c r="D10" s="622">
        <f>SUM(D11:D18)</f>
        <v>0</v>
      </c>
      <c r="E10" s="622">
        <f t="shared" ref="E10:L10" si="0">SUM(E11:E18)</f>
        <v>0</v>
      </c>
      <c r="F10" s="622">
        <f t="shared" si="0"/>
        <v>0</v>
      </c>
      <c r="G10" s="622">
        <f t="shared" si="0"/>
        <v>0</v>
      </c>
      <c r="H10" s="622">
        <f t="shared" si="0"/>
        <v>0</v>
      </c>
      <c r="I10" s="622">
        <f t="shared" si="0"/>
        <v>0</v>
      </c>
      <c r="J10" s="622">
        <f t="shared" si="0"/>
        <v>0</v>
      </c>
      <c r="K10" s="622">
        <f t="shared" si="0"/>
        <v>0</v>
      </c>
      <c r="L10" s="592">
        <f t="shared" si="0"/>
        <v>0</v>
      </c>
      <c r="M10" s="281" t="str">
        <f>IF(ABS(C10-SUM(C11:C18))&gt;2.99,(ROUND(C10-SUM(C11:C18),0))&amp;" mkr diff i kolumn C: därav-rader 010-090 &lt;&gt; totalrad 0","")</f>
        <v/>
      </c>
    </row>
    <row r="11" spans="1:14" ht="15.75" customHeight="1" x14ac:dyDescent="0.25">
      <c r="A11" s="46" t="s">
        <v>301</v>
      </c>
      <c r="B11" s="18" t="s">
        <v>456</v>
      </c>
      <c r="C11" s="624">
        <f>D11+E11+F11+G11+H11+I11+J11+K11+L11</f>
        <v>0</v>
      </c>
      <c r="D11" s="432"/>
      <c r="E11" s="432"/>
      <c r="F11" s="432"/>
      <c r="G11" s="432"/>
      <c r="H11" s="432"/>
      <c r="I11" s="432"/>
      <c r="J11" s="432"/>
      <c r="K11" s="432"/>
      <c r="L11" s="433"/>
      <c r="M11" s="281" t="str">
        <f t="shared" ref="M11:M18" si="1">IF(ABS(C11-SUM(D11:L11))&gt;2.99,(ROUND(C11-SUM(D11:L11),0))&amp;" mkr diff.mellan kol C och kol D-L, måste elimineras!","")</f>
        <v/>
      </c>
      <c r="N11" s="130"/>
    </row>
    <row r="12" spans="1:14" ht="15.75" customHeight="1" x14ac:dyDescent="0.25">
      <c r="A12" s="46" t="s">
        <v>227</v>
      </c>
      <c r="B12" s="18" t="s">
        <v>457</v>
      </c>
      <c r="C12" s="624">
        <f t="shared" ref="C12:C22" si="2">D12+E12+F12+G12+H12+I12+J12+K12+L12</f>
        <v>0</v>
      </c>
      <c r="D12" s="432"/>
      <c r="E12" s="432"/>
      <c r="F12" s="432"/>
      <c r="G12" s="432"/>
      <c r="H12" s="432"/>
      <c r="I12" s="432"/>
      <c r="J12" s="432"/>
      <c r="K12" s="432"/>
      <c r="L12" s="433"/>
      <c r="M12" s="281" t="str">
        <f t="shared" si="1"/>
        <v/>
      </c>
      <c r="N12" s="130"/>
    </row>
    <row r="13" spans="1:14" ht="15.75" customHeight="1" x14ac:dyDescent="0.25">
      <c r="A13" s="46" t="s">
        <v>229</v>
      </c>
      <c r="B13" s="18" t="s">
        <v>38</v>
      </c>
      <c r="C13" s="624">
        <f t="shared" si="2"/>
        <v>0</v>
      </c>
      <c r="D13" s="432"/>
      <c r="E13" s="432"/>
      <c r="F13" s="432"/>
      <c r="G13" s="432"/>
      <c r="H13" s="432"/>
      <c r="I13" s="432"/>
      <c r="J13" s="432"/>
      <c r="K13" s="432"/>
      <c r="L13" s="433"/>
      <c r="M13" s="281" t="str">
        <f t="shared" si="1"/>
        <v/>
      </c>
      <c r="N13" s="130"/>
    </row>
    <row r="14" spans="1:14" ht="15.75" customHeight="1" x14ac:dyDescent="0.25">
      <c r="A14" s="46" t="s">
        <v>230</v>
      </c>
      <c r="B14" s="18" t="s">
        <v>39</v>
      </c>
      <c r="C14" s="624">
        <f t="shared" si="2"/>
        <v>0</v>
      </c>
      <c r="D14" s="432"/>
      <c r="E14" s="432"/>
      <c r="F14" s="432"/>
      <c r="G14" s="432"/>
      <c r="H14" s="432"/>
      <c r="I14" s="432"/>
      <c r="J14" s="432"/>
      <c r="K14" s="432"/>
      <c r="L14" s="433"/>
      <c r="M14" s="281" t="str">
        <f t="shared" si="1"/>
        <v/>
      </c>
      <c r="N14" s="130"/>
    </row>
    <row r="15" spans="1:14" ht="15.75" customHeight="1" x14ac:dyDescent="0.25">
      <c r="A15" s="46" t="s">
        <v>302</v>
      </c>
      <c r="B15" s="18" t="s">
        <v>470</v>
      </c>
      <c r="C15" s="624">
        <f t="shared" si="2"/>
        <v>0</v>
      </c>
      <c r="D15" s="432"/>
      <c r="E15" s="432"/>
      <c r="F15" s="432"/>
      <c r="G15" s="432"/>
      <c r="H15" s="432"/>
      <c r="I15" s="432"/>
      <c r="J15" s="432"/>
      <c r="K15" s="432"/>
      <c r="L15" s="433"/>
      <c r="M15" s="281" t="str">
        <f t="shared" si="1"/>
        <v/>
      </c>
      <c r="N15" s="130"/>
    </row>
    <row r="16" spans="1:14" ht="15.75" customHeight="1" x14ac:dyDescent="0.25">
      <c r="A16" s="46" t="s">
        <v>231</v>
      </c>
      <c r="B16" s="18" t="s">
        <v>1</v>
      </c>
      <c r="C16" s="624">
        <f t="shared" si="2"/>
        <v>0</v>
      </c>
      <c r="D16" s="432"/>
      <c r="E16" s="432"/>
      <c r="F16" s="432"/>
      <c r="G16" s="432"/>
      <c r="H16" s="432"/>
      <c r="I16" s="432"/>
      <c r="J16" s="432"/>
      <c r="K16" s="432"/>
      <c r="L16" s="433"/>
      <c r="M16" s="281" t="str">
        <f t="shared" si="1"/>
        <v/>
      </c>
      <c r="N16" s="130"/>
    </row>
    <row r="17" spans="1:14" ht="15.75" customHeight="1" x14ac:dyDescent="0.25">
      <c r="A17" s="46" t="s">
        <v>141</v>
      </c>
      <c r="B17" s="18" t="s">
        <v>0</v>
      </c>
      <c r="C17" s="117">
        <f>'2. Drift.  intäkter'!D12</f>
        <v>0</v>
      </c>
      <c r="D17" s="432"/>
      <c r="E17" s="432"/>
      <c r="F17" s="432"/>
      <c r="G17" s="432"/>
      <c r="H17" s="432"/>
      <c r="I17" s="432"/>
      <c r="J17" s="432"/>
      <c r="K17" s="432"/>
      <c r="L17" s="433"/>
      <c r="M17" s="281" t="str">
        <f t="shared" si="1"/>
        <v/>
      </c>
      <c r="N17" s="130"/>
    </row>
    <row r="18" spans="1:14" ht="15.75" customHeight="1" x14ac:dyDescent="0.25">
      <c r="A18" s="46" t="s">
        <v>232</v>
      </c>
      <c r="B18" s="18" t="s">
        <v>150</v>
      </c>
      <c r="C18" s="624">
        <f t="shared" si="2"/>
        <v>0</v>
      </c>
      <c r="D18" s="432"/>
      <c r="E18" s="432"/>
      <c r="F18" s="432"/>
      <c r="G18" s="432"/>
      <c r="H18" s="432"/>
      <c r="I18" s="432"/>
      <c r="J18" s="432"/>
      <c r="K18" s="432"/>
      <c r="L18" s="433"/>
      <c r="M18" s="281" t="str">
        <f t="shared" si="1"/>
        <v/>
      </c>
      <c r="N18" s="130"/>
    </row>
    <row r="19" spans="1:14" s="282" customFormat="1" ht="15.75" customHeight="1" x14ac:dyDescent="0.3">
      <c r="A19" s="100" t="s">
        <v>180</v>
      </c>
      <c r="B19" s="39" t="s">
        <v>365</v>
      </c>
      <c r="C19" s="338">
        <f>'2. Drift.  intäkter'!D13</f>
        <v>0</v>
      </c>
      <c r="D19" s="624">
        <f>SUM(D20:D23)</f>
        <v>0</v>
      </c>
      <c r="E19" s="624">
        <f t="shared" ref="E19:L19" si="3">SUM(E20:E23)</f>
        <v>0</v>
      </c>
      <c r="F19" s="624">
        <f t="shared" si="3"/>
        <v>0</v>
      </c>
      <c r="G19" s="624">
        <f t="shared" si="3"/>
        <v>0</v>
      </c>
      <c r="H19" s="624">
        <f t="shared" si="3"/>
        <v>0</v>
      </c>
      <c r="I19" s="624">
        <f t="shared" si="3"/>
        <v>0</v>
      </c>
      <c r="J19" s="624">
        <f t="shared" si="3"/>
        <v>0</v>
      </c>
      <c r="K19" s="624">
        <f t="shared" si="3"/>
        <v>0</v>
      </c>
      <c r="L19" s="592">
        <f t="shared" si="3"/>
        <v>0</v>
      </c>
      <c r="M19" s="281" t="str">
        <f>IF(ABS(C19-SUM(C20:C23))&gt;2.99,(ROUND(C19-SUM(C20:C23),0))&amp;" mkr diff i kolumn C: därav-rader 110-180 &lt;&gt; totalrad 1","")</f>
        <v/>
      </c>
      <c r="N19" s="391"/>
    </row>
    <row r="20" spans="1:14" ht="15.75" customHeight="1" x14ac:dyDescent="0.25">
      <c r="A20" s="46" t="s">
        <v>184</v>
      </c>
      <c r="B20" s="18" t="s">
        <v>106</v>
      </c>
      <c r="C20" s="624">
        <f t="shared" si="2"/>
        <v>0</v>
      </c>
      <c r="D20" s="432"/>
      <c r="E20" s="432"/>
      <c r="F20" s="432"/>
      <c r="G20" s="432"/>
      <c r="H20" s="432"/>
      <c r="I20" s="432"/>
      <c r="J20" s="432"/>
      <c r="K20" s="432"/>
      <c r="L20" s="433"/>
      <c r="M20" s="281" t="str">
        <f>IF(ABS(C20-SUM(D20:L20))&gt;2.99,(ROUND(C20-SUM(D20:L20),0))&amp;" mkr diff.mellan kol C och kol D-L, måste elimineras!","")</f>
        <v/>
      </c>
      <c r="N20" s="130"/>
    </row>
    <row r="21" spans="1:14" ht="15.75" customHeight="1" x14ac:dyDescent="0.25">
      <c r="A21" s="46" t="s">
        <v>185</v>
      </c>
      <c r="B21" s="18" t="s">
        <v>107</v>
      </c>
      <c r="C21" s="624">
        <f t="shared" si="2"/>
        <v>0</v>
      </c>
      <c r="D21" s="432"/>
      <c r="E21" s="432"/>
      <c r="F21" s="432"/>
      <c r="G21" s="432"/>
      <c r="H21" s="432"/>
      <c r="I21" s="432"/>
      <c r="J21" s="432"/>
      <c r="K21" s="432"/>
      <c r="L21" s="433"/>
      <c r="M21" s="281" t="str">
        <f>IF(ABS(C21-SUM(D21:L21))&gt;2.99,(ROUND(C21-SUM(D21:L21),0))&amp;" mkr diff.mellan kol C och kol D-L, måste elimineras!","")</f>
        <v/>
      </c>
      <c r="N21" s="130"/>
    </row>
    <row r="22" spans="1:14" ht="15.75" customHeight="1" x14ac:dyDescent="0.25">
      <c r="A22" s="46" t="s">
        <v>186</v>
      </c>
      <c r="B22" s="18" t="s">
        <v>116</v>
      </c>
      <c r="C22" s="624">
        <f t="shared" si="2"/>
        <v>0</v>
      </c>
      <c r="D22" s="432"/>
      <c r="E22" s="432"/>
      <c r="F22" s="432"/>
      <c r="G22" s="432"/>
      <c r="H22" s="432"/>
      <c r="I22" s="432"/>
      <c r="J22" s="432"/>
      <c r="K22" s="432"/>
      <c r="L22" s="433"/>
      <c r="M22" s="281" t="str">
        <f>IF(ABS(C22-SUM(D22:L22))&gt;2.99,(ROUND(C22-SUM(D22:L22),0))&amp;" mkr diff.mellan kol C och kol D-L, måste elimineras!","")</f>
        <v/>
      </c>
      <c r="N22" s="130"/>
    </row>
    <row r="23" spans="1:14" ht="15.75" customHeight="1" x14ac:dyDescent="0.25">
      <c r="A23" s="46" t="s">
        <v>187</v>
      </c>
      <c r="B23" s="18" t="s">
        <v>108</v>
      </c>
      <c r="C23" s="117">
        <f>'2. Drift.  intäkter'!D14</f>
        <v>0</v>
      </c>
      <c r="D23" s="432"/>
      <c r="E23" s="432"/>
      <c r="F23" s="432"/>
      <c r="G23" s="432"/>
      <c r="H23" s="432"/>
      <c r="I23" s="432"/>
      <c r="J23" s="432"/>
      <c r="K23" s="432"/>
      <c r="L23" s="433"/>
      <c r="M23" s="281" t="str">
        <f>IF(ABS(C23-SUM(D23:L23))&gt;2.99,(ROUND(C23-SUM(D23:L23),0))&amp;" mkr diff.mellan kol C och kol D-L, måste elimineras!","")</f>
        <v/>
      </c>
      <c r="N23" s="130"/>
    </row>
    <row r="24" spans="1:14" s="282" customFormat="1" ht="15.75" customHeight="1" x14ac:dyDescent="0.3">
      <c r="A24" s="100" t="s">
        <v>181</v>
      </c>
      <c r="B24" s="39" t="s">
        <v>366</v>
      </c>
      <c r="C24" s="338">
        <f>'2. Drift.  intäkter'!D15</f>
        <v>0</v>
      </c>
      <c r="D24" s="624">
        <f>SUM(D25:D28)</f>
        <v>0</v>
      </c>
      <c r="E24" s="624">
        <f t="shared" ref="E24:L24" si="4">SUM(E25:E28)</f>
        <v>0</v>
      </c>
      <c r="F24" s="624">
        <f t="shared" si="4"/>
        <v>0</v>
      </c>
      <c r="G24" s="624">
        <f t="shared" si="4"/>
        <v>0</v>
      </c>
      <c r="H24" s="624">
        <f t="shared" si="4"/>
        <v>0</v>
      </c>
      <c r="I24" s="624">
        <f t="shared" si="4"/>
        <v>0</v>
      </c>
      <c r="J24" s="624">
        <f t="shared" si="4"/>
        <v>0</v>
      </c>
      <c r="K24" s="624">
        <f t="shared" si="4"/>
        <v>0</v>
      </c>
      <c r="L24" s="592">
        <f t="shared" si="4"/>
        <v>0</v>
      </c>
      <c r="M24" s="291" t="str">
        <f>IF(ABS(C24-SUM(C25:C28))&gt;2.99,(ROUND(C24-SUM(C25:C28),0))&amp;" mkr diff i kolumn C: därav-rader 210-280 &lt;&gt; totalrad 2","")</f>
        <v/>
      </c>
      <c r="N24" s="391"/>
    </row>
    <row r="25" spans="1:14" ht="15.75" customHeight="1" x14ac:dyDescent="0.25">
      <c r="A25" s="46" t="s">
        <v>188</v>
      </c>
      <c r="B25" s="18" t="s">
        <v>109</v>
      </c>
      <c r="C25" s="624">
        <f t="shared" ref="C25:C27" si="5">D25+E25+F25+G25+H25+I25+J25+K25+L25</f>
        <v>0</v>
      </c>
      <c r="D25" s="432"/>
      <c r="E25" s="432"/>
      <c r="F25" s="432"/>
      <c r="G25" s="432"/>
      <c r="H25" s="432"/>
      <c r="I25" s="432"/>
      <c r="J25" s="432"/>
      <c r="K25" s="432"/>
      <c r="L25" s="433"/>
      <c r="M25" s="281" t="str">
        <f>IF(ABS(C25-SUM(D25:L25))&gt;2.99,(ROUND(C25-SUM(D25:L25),0))&amp;" mkr diff.mellan kol C och kol D-L, måste elimineras!","")</f>
        <v/>
      </c>
      <c r="N25" s="130"/>
    </row>
    <row r="26" spans="1:14" ht="15.75" customHeight="1" x14ac:dyDescent="0.25">
      <c r="A26" s="46" t="s">
        <v>189</v>
      </c>
      <c r="B26" s="18" t="s">
        <v>110</v>
      </c>
      <c r="C26" s="624">
        <f t="shared" si="5"/>
        <v>0</v>
      </c>
      <c r="D26" s="432"/>
      <c r="E26" s="432"/>
      <c r="F26" s="432"/>
      <c r="G26" s="432"/>
      <c r="H26" s="432"/>
      <c r="I26" s="432"/>
      <c r="J26" s="432"/>
      <c r="K26" s="432"/>
      <c r="L26" s="433"/>
      <c r="M26" s="281" t="str">
        <f>IF(ABS(C26-SUM(D26:L26))&gt;2.99,(ROUND(C26-SUM(D26:L26),0))&amp;" mkr diff.mellan kol C och kol D-L, måste elimineras!","")</f>
        <v/>
      </c>
      <c r="N26" s="130"/>
    </row>
    <row r="27" spans="1:14" ht="15.75" customHeight="1" x14ac:dyDescent="0.25">
      <c r="A27" s="46" t="s">
        <v>190</v>
      </c>
      <c r="B27" s="18" t="s">
        <v>117</v>
      </c>
      <c r="C27" s="624">
        <f t="shared" si="5"/>
        <v>0</v>
      </c>
      <c r="D27" s="432"/>
      <c r="E27" s="432"/>
      <c r="F27" s="432"/>
      <c r="G27" s="432"/>
      <c r="H27" s="432"/>
      <c r="I27" s="432"/>
      <c r="J27" s="432"/>
      <c r="K27" s="432"/>
      <c r="L27" s="433"/>
      <c r="M27" s="281" t="str">
        <f>IF(ABS(C27-SUM(D27:L27))&gt;2.99,(ROUND(C27-SUM(D27:L27),0))&amp;" mkr diff.mellan kol C och kol D-L, måste elimineras!","")</f>
        <v/>
      </c>
      <c r="N27" s="130"/>
    </row>
    <row r="28" spans="1:14" ht="15.75" customHeight="1" x14ac:dyDescent="0.25">
      <c r="A28" s="46" t="s">
        <v>191</v>
      </c>
      <c r="B28" s="18" t="s">
        <v>111</v>
      </c>
      <c r="C28" s="117">
        <f>'2. Drift.  intäkter'!D16</f>
        <v>0</v>
      </c>
      <c r="D28" s="432"/>
      <c r="E28" s="432"/>
      <c r="F28" s="432"/>
      <c r="G28" s="432"/>
      <c r="H28" s="432"/>
      <c r="I28" s="432"/>
      <c r="J28" s="432"/>
      <c r="K28" s="432"/>
      <c r="L28" s="433"/>
      <c r="M28" s="281" t="str">
        <f>IF(ABS(C28-SUM(D28:L28))&gt;2.99,(ROUND(C28-SUM(D28:L28),0))&amp;" mkr diff.mellan kol C och kol D-L, måste elimineras!","")</f>
        <v/>
      </c>
      <c r="N28" s="130"/>
    </row>
    <row r="29" spans="1:14" s="282" customFormat="1" ht="15.75" customHeight="1" x14ac:dyDescent="0.3">
      <c r="A29" s="100" t="s">
        <v>182</v>
      </c>
      <c r="B29" s="39" t="s">
        <v>403</v>
      </c>
      <c r="C29" s="338">
        <f>'2. Drift.  intäkter'!D17</f>
        <v>0</v>
      </c>
      <c r="D29" s="624">
        <f>SUM(D30,D31,D32,D33)</f>
        <v>0</v>
      </c>
      <c r="E29" s="624">
        <f t="shared" ref="E29:L29" si="6">SUM(E30,E31,E32,E33)</f>
        <v>0</v>
      </c>
      <c r="F29" s="624">
        <f t="shared" si="6"/>
        <v>0</v>
      </c>
      <c r="G29" s="624">
        <f t="shared" si="6"/>
        <v>0</v>
      </c>
      <c r="H29" s="624">
        <f t="shared" si="6"/>
        <v>0</v>
      </c>
      <c r="I29" s="624">
        <f t="shared" si="6"/>
        <v>0</v>
      </c>
      <c r="J29" s="624">
        <f t="shared" si="6"/>
        <v>0</v>
      </c>
      <c r="K29" s="624">
        <f t="shared" si="6"/>
        <v>0</v>
      </c>
      <c r="L29" s="592">
        <f t="shared" si="6"/>
        <v>0</v>
      </c>
      <c r="M29" s="291" t="str">
        <f>IF(ABS(C29-SUM(C30:C33))&gt;2.99,(ROUND(C29-SUM(C30:C33),0))&amp;" mkr diff i kolumn C: därav-rader 310-340 &lt;&gt; totalrad 3","")</f>
        <v/>
      </c>
      <c r="N29" s="391"/>
    </row>
    <row r="30" spans="1:14" ht="15.75" customHeight="1" x14ac:dyDescent="0.25">
      <c r="A30" s="46" t="s">
        <v>192</v>
      </c>
      <c r="B30" s="18" t="s">
        <v>5</v>
      </c>
      <c r="C30" s="624">
        <f t="shared" ref="C30:C36" si="7">D30+E30+F30+G30+H30+I30+J30+K30+L30</f>
        <v>0</v>
      </c>
      <c r="D30" s="432"/>
      <c r="E30" s="432"/>
      <c r="F30" s="432"/>
      <c r="G30" s="432"/>
      <c r="H30" s="432"/>
      <c r="I30" s="432"/>
      <c r="J30" s="432"/>
      <c r="K30" s="432"/>
      <c r="L30" s="433"/>
      <c r="M30" s="281" t="str">
        <f>IF(ABS(C30-SUM(D30:L30))&gt;2.99,(ROUND(C30-SUM(D30:L30),0))&amp;" mkr diff.mellan kol C och kol D-L, måste elimineras!","")</f>
        <v/>
      </c>
      <c r="N30" s="130"/>
    </row>
    <row r="31" spans="1:14" ht="15.75" customHeight="1" x14ac:dyDescent="0.25">
      <c r="A31" s="46" t="s">
        <v>193</v>
      </c>
      <c r="B31" s="18" t="s">
        <v>583</v>
      </c>
      <c r="C31" s="624">
        <f t="shared" si="7"/>
        <v>0</v>
      </c>
      <c r="D31" s="432"/>
      <c r="E31" s="432"/>
      <c r="F31" s="432"/>
      <c r="G31" s="432"/>
      <c r="H31" s="432"/>
      <c r="I31" s="432"/>
      <c r="J31" s="432"/>
      <c r="K31" s="432"/>
      <c r="L31" s="433"/>
      <c r="M31" s="281" t="str">
        <f>IF(ABS(C31-SUM(D31:L31))&gt;2.99,(ROUND(C31-SUM(D31:L31),0))&amp;" mkr diff.mellan kol C och kol D-L, måste elimineras!","")</f>
        <v/>
      </c>
      <c r="N31" s="130"/>
    </row>
    <row r="32" spans="1:14" ht="15.75" customHeight="1" x14ac:dyDescent="0.25">
      <c r="A32" s="46" t="s">
        <v>194</v>
      </c>
      <c r="B32" s="18" t="s">
        <v>581</v>
      </c>
      <c r="C32" s="624">
        <f t="shared" si="7"/>
        <v>0</v>
      </c>
      <c r="D32" s="432"/>
      <c r="E32" s="432"/>
      <c r="F32" s="432"/>
      <c r="G32" s="432"/>
      <c r="H32" s="432"/>
      <c r="I32" s="432"/>
      <c r="J32" s="432"/>
      <c r="K32" s="432"/>
      <c r="L32" s="433"/>
      <c r="M32" s="281" t="str">
        <f>IF(ABS(C32-SUM(D32:L32))&gt;2.99,(ROUND(C32-SUM(D32:L32),0))&amp;" mkr diff.mellan kol C och kol D-L, måste elimineras!","")</f>
        <v/>
      </c>
      <c r="N32" s="130"/>
    </row>
    <row r="33" spans="1:14" ht="15.75" customHeight="1" x14ac:dyDescent="0.25">
      <c r="A33" s="46" t="s">
        <v>195</v>
      </c>
      <c r="B33" s="32" t="s">
        <v>34</v>
      </c>
      <c r="C33" s="624">
        <f t="shared" si="7"/>
        <v>0</v>
      </c>
      <c r="D33" s="432"/>
      <c r="E33" s="432"/>
      <c r="F33" s="432"/>
      <c r="G33" s="432"/>
      <c r="H33" s="432"/>
      <c r="I33" s="432"/>
      <c r="J33" s="432"/>
      <c r="K33" s="432"/>
      <c r="L33" s="433"/>
      <c r="M33" s="281" t="str">
        <f>IF(ABS(C33-SUM(D33:L33))&gt;2.99,(ROUND(C33-SUM(D33:L33),0))&amp;" mkr diff.mellan kol C och kol D-L, måste elimineras!","")</f>
        <v/>
      </c>
      <c r="N33" s="130"/>
    </row>
    <row r="34" spans="1:14" s="282" customFormat="1" ht="15.75" customHeight="1" x14ac:dyDescent="0.3">
      <c r="A34" s="100" t="s">
        <v>183</v>
      </c>
      <c r="B34" s="17" t="s">
        <v>368</v>
      </c>
      <c r="C34" s="338">
        <f>'2. Drift.  intäkter'!D18</f>
        <v>0</v>
      </c>
      <c r="D34" s="624">
        <f>SUM(D35:D41)</f>
        <v>0</v>
      </c>
      <c r="E34" s="624">
        <f>SUM(E35:E41)</f>
        <v>0</v>
      </c>
      <c r="F34" s="624">
        <f t="shared" ref="F34:L34" si="8">SUM(F35:F41)</f>
        <v>0</v>
      </c>
      <c r="G34" s="624">
        <f t="shared" si="8"/>
        <v>0</v>
      </c>
      <c r="H34" s="624">
        <f t="shared" si="8"/>
        <v>0</v>
      </c>
      <c r="I34" s="624">
        <f t="shared" si="8"/>
        <v>0</v>
      </c>
      <c r="J34" s="624">
        <f t="shared" si="8"/>
        <v>0</v>
      </c>
      <c r="K34" s="624">
        <f t="shared" si="8"/>
        <v>0</v>
      </c>
      <c r="L34" s="592">
        <f t="shared" si="8"/>
        <v>0</v>
      </c>
      <c r="M34" s="291" t="str">
        <f>IF(ABS(C34-SUM(C35:C41))&gt;2.99,(ROUND(C34-SUM(C35:C41),0))&amp;" mkr diff i kolumn C: därav-rader 410-490 &lt;&gt; totalrad 4","")</f>
        <v/>
      </c>
      <c r="N34" s="391"/>
    </row>
    <row r="35" spans="1:14" ht="15.75" customHeight="1" x14ac:dyDescent="0.25">
      <c r="A35" s="46" t="s">
        <v>196</v>
      </c>
      <c r="B35" s="18" t="s">
        <v>6</v>
      </c>
      <c r="C35" s="624">
        <f t="shared" si="7"/>
        <v>0</v>
      </c>
      <c r="D35" s="435"/>
      <c r="E35" s="435"/>
      <c r="F35" s="435"/>
      <c r="G35" s="435"/>
      <c r="H35" s="435"/>
      <c r="I35" s="435"/>
      <c r="J35" s="435"/>
      <c r="K35" s="435"/>
      <c r="L35" s="433"/>
      <c r="M35" s="281" t="str">
        <f t="shared" ref="M35:M49" si="9">IF(ABS(C35-SUM(D35:L35))&gt;2.99,(ROUND(C35-SUM(D35:L35),0))&amp;" mkr diff.mellan kol C och kol D-L, måste elimineras!","")</f>
        <v/>
      </c>
      <c r="N35" s="130"/>
    </row>
    <row r="36" spans="1:14" ht="15.75" customHeight="1" x14ac:dyDescent="0.25">
      <c r="A36" s="46" t="s">
        <v>197</v>
      </c>
      <c r="B36" s="18" t="s">
        <v>118</v>
      </c>
      <c r="C36" s="624">
        <f t="shared" si="7"/>
        <v>0</v>
      </c>
      <c r="D36" s="435"/>
      <c r="E36" s="435"/>
      <c r="F36" s="435"/>
      <c r="G36" s="435"/>
      <c r="H36" s="435"/>
      <c r="I36" s="435"/>
      <c r="J36" s="435"/>
      <c r="K36" s="435"/>
      <c r="L36" s="433"/>
      <c r="M36" s="281" t="str">
        <f t="shared" si="9"/>
        <v/>
      </c>
      <c r="N36" s="130"/>
    </row>
    <row r="37" spans="1:14" ht="15.75" customHeight="1" x14ac:dyDescent="0.25">
      <c r="A37" s="46" t="s">
        <v>198</v>
      </c>
      <c r="B37" s="18" t="s">
        <v>474</v>
      </c>
      <c r="C37" s="117">
        <f>'2. Drift.  intäkter'!D19</f>
        <v>0</v>
      </c>
      <c r="D37" s="435"/>
      <c r="E37" s="435"/>
      <c r="F37" s="435"/>
      <c r="G37" s="435"/>
      <c r="H37" s="435"/>
      <c r="I37" s="435"/>
      <c r="J37" s="435"/>
      <c r="K37" s="435"/>
      <c r="L37" s="433"/>
      <c r="M37" s="281" t="str">
        <f t="shared" si="9"/>
        <v/>
      </c>
      <c r="N37" s="130"/>
    </row>
    <row r="38" spans="1:14" ht="15.75" customHeight="1" x14ac:dyDescent="0.25">
      <c r="A38" s="46" t="s">
        <v>199</v>
      </c>
      <c r="B38" s="18" t="s">
        <v>7</v>
      </c>
      <c r="C38" s="117">
        <f>'2. Drift.  intäkter'!D20</f>
        <v>0</v>
      </c>
      <c r="D38" s="435"/>
      <c r="E38" s="435"/>
      <c r="F38" s="435"/>
      <c r="G38" s="435"/>
      <c r="H38" s="435"/>
      <c r="I38" s="435"/>
      <c r="J38" s="435"/>
      <c r="K38" s="435"/>
      <c r="L38" s="433"/>
      <c r="M38" s="281" t="str">
        <f t="shared" si="9"/>
        <v/>
      </c>
      <c r="N38" s="130"/>
    </row>
    <row r="39" spans="1:14" ht="15.75" customHeight="1" x14ac:dyDescent="0.25">
      <c r="A39" s="46" t="s">
        <v>200</v>
      </c>
      <c r="B39" s="18" t="s">
        <v>112</v>
      </c>
      <c r="C39" s="624">
        <f t="shared" ref="C39:C41" si="10">D39+E39+F39+G39+H39+I39+J39+K39+L39</f>
        <v>0</v>
      </c>
      <c r="D39" s="435"/>
      <c r="E39" s="435"/>
      <c r="F39" s="435"/>
      <c r="G39" s="435"/>
      <c r="H39" s="435"/>
      <c r="I39" s="435"/>
      <c r="J39" s="435"/>
      <c r="K39" s="435"/>
      <c r="L39" s="433"/>
      <c r="M39" s="281" t="str">
        <f t="shared" si="9"/>
        <v/>
      </c>
      <c r="N39" s="130"/>
    </row>
    <row r="40" spans="1:14" ht="15.75" customHeight="1" x14ac:dyDescent="0.25">
      <c r="A40" s="46" t="s">
        <v>201</v>
      </c>
      <c r="B40" s="18" t="s">
        <v>157</v>
      </c>
      <c r="C40" s="117">
        <f>'2. Drift.  intäkter'!D21</f>
        <v>0</v>
      </c>
      <c r="D40" s="435"/>
      <c r="E40" s="435"/>
      <c r="F40" s="435"/>
      <c r="G40" s="435"/>
      <c r="H40" s="435"/>
      <c r="I40" s="435"/>
      <c r="J40" s="435"/>
      <c r="K40" s="435"/>
      <c r="L40" s="433"/>
      <c r="M40" s="281" t="str">
        <f t="shared" si="9"/>
        <v/>
      </c>
      <c r="N40" s="130"/>
    </row>
    <row r="41" spans="1:14" ht="15.75" customHeight="1" x14ac:dyDescent="0.25">
      <c r="A41" s="46" t="s">
        <v>202</v>
      </c>
      <c r="B41" s="18" t="s">
        <v>155</v>
      </c>
      <c r="C41" s="624">
        <f t="shared" si="10"/>
        <v>0</v>
      </c>
      <c r="D41" s="435"/>
      <c r="E41" s="435"/>
      <c r="F41" s="435"/>
      <c r="G41" s="435"/>
      <c r="H41" s="435"/>
      <c r="I41" s="435"/>
      <c r="J41" s="435"/>
      <c r="K41" s="435"/>
      <c r="L41" s="433"/>
      <c r="M41" s="281" t="str">
        <f t="shared" si="9"/>
        <v/>
      </c>
      <c r="N41" s="130"/>
    </row>
    <row r="42" spans="1:14" s="282" customFormat="1" ht="15.75" customHeight="1" x14ac:dyDescent="0.3">
      <c r="A42" s="347" t="s">
        <v>204</v>
      </c>
      <c r="B42" s="661" t="s">
        <v>478</v>
      </c>
      <c r="C42" s="338">
        <f>'2. Drift.  intäkter'!D22</f>
        <v>0</v>
      </c>
      <c r="D42" s="436"/>
      <c r="E42" s="436"/>
      <c r="F42" s="436"/>
      <c r="G42" s="436"/>
      <c r="H42" s="436"/>
      <c r="I42" s="436"/>
      <c r="J42" s="436"/>
      <c r="K42" s="436"/>
      <c r="L42" s="437"/>
      <c r="M42" s="281" t="str">
        <f t="shared" si="9"/>
        <v/>
      </c>
      <c r="N42" s="130"/>
    </row>
    <row r="43" spans="1:14" s="282" customFormat="1" ht="15.75" customHeight="1" x14ac:dyDescent="0.3">
      <c r="A43" s="122" t="s">
        <v>72</v>
      </c>
      <c r="B43" s="17" t="s">
        <v>33</v>
      </c>
      <c r="C43" s="338">
        <f>'2. Drift.  intäkter'!D24</f>
        <v>0</v>
      </c>
      <c r="D43" s="436"/>
      <c r="E43" s="436"/>
      <c r="F43" s="436"/>
      <c r="G43" s="436"/>
      <c r="H43" s="436"/>
      <c r="I43" s="436"/>
      <c r="J43" s="436"/>
      <c r="K43" s="436"/>
      <c r="L43" s="437"/>
      <c r="M43" s="281" t="str">
        <f t="shared" si="9"/>
        <v/>
      </c>
      <c r="N43" s="130"/>
    </row>
    <row r="44" spans="1:14" s="282" customFormat="1" ht="15.75" customHeight="1" x14ac:dyDescent="0.3">
      <c r="A44" s="532" t="s">
        <v>151</v>
      </c>
      <c r="B44" s="39" t="s">
        <v>11</v>
      </c>
      <c r="C44" s="338">
        <f>'2. Drift.  intäkter'!D28</f>
        <v>0</v>
      </c>
      <c r="D44" s="436"/>
      <c r="E44" s="436"/>
      <c r="F44" s="436"/>
      <c r="G44" s="436"/>
      <c r="H44" s="436"/>
      <c r="I44" s="436"/>
      <c r="J44" s="436"/>
      <c r="K44" s="436"/>
      <c r="L44" s="437"/>
      <c r="M44" s="281" t="str">
        <f t="shared" si="9"/>
        <v/>
      </c>
      <c r="N44" s="130"/>
    </row>
    <row r="45" spans="1:14" s="282" customFormat="1" ht="15.75" customHeight="1" x14ac:dyDescent="0.3">
      <c r="A45" s="532" t="s">
        <v>152</v>
      </c>
      <c r="B45" s="39" t="s">
        <v>13</v>
      </c>
      <c r="C45" s="338">
        <f>'2. Drift.  intäkter'!D29</f>
        <v>0</v>
      </c>
      <c r="D45" s="436"/>
      <c r="E45" s="436"/>
      <c r="F45" s="436"/>
      <c r="G45" s="436"/>
      <c r="H45" s="436"/>
      <c r="I45" s="436"/>
      <c r="J45" s="436"/>
      <c r="K45" s="436"/>
      <c r="L45" s="437"/>
      <c r="M45" s="281" t="str">
        <f t="shared" si="9"/>
        <v/>
      </c>
      <c r="N45" s="130"/>
    </row>
    <row r="46" spans="1:14" s="282" customFormat="1" ht="15.75" customHeight="1" x14ac:dyDescent="0.3">
      <c r="A46" s="532" t="s">
        <v>153</v>
      </c>
      <c r="B46" s="39" t="s">
        <v>16</v>
      </c>
      <c r="C46" s="338">
        <f>'2. Drift.  intäkter'!D32</f>
        <v>0</v>
      </c>
      <c r="D46" s="436"/>
      <c r="E46" s="436"/>
      <c r="F46" s="436"/>
      <c r="G46" s="436"/>
      <c r="H46" s="436"/>
      <c r="I46" s="436"/>
      <c r="J46" s="436"/>
      <c r="K46" s="436"/>
      <c r="L46" s="437"/>
      <c r="M46" s="281" t="str">
        <f t="shared" si="9"/>
        <v/>
      </c>
      <c r="N46" s="130"/>
    </row>
    <row r="47" spans="1:14" s="282" customFormat="1" ht="15.75" customHeight="1" x14ac:dyDescent="0.3">
      <c r="A47" s="532" t="s">
        <v>219</v>
      </c>
      <c r="B47" s="662" t="s">
        <v>479</v>
      </c>
      <c r="C47" s="338">
        <f>'2. Drift.  intäkter'!D34</f>
        <v>0</v>
      </c>
      <c r="D47" s="436"/>
      <c r="E47" s="436"/>
      <c r="F47" s="436"/>
      <c r="G47" s="436"/>
      <c r="H47" s="436"/>
      <c r="I47" s="436"/>
      <c r="J47" s="436"/>
      <c r="K47" s="436"/>
      <c r="L47" s="437"/>
      <c r="M47" s="281" t="str">
        <f t="shared" si="9"/>
        <v/>
      </c>
      <c r="N47" s="130"/>
    </row>
    <row r="48" spans="1:14" s="282" customFormat="1" ht="15.75" customHeight="1" x14ac:dyDescent="0.3">
      <c r="A48" s="99" t="s">
        <v>170</v>
      </c>
      <c r="B48" s="17" t="s">
        <v>320</v>
      </c>
      <c r="C48" s="338">
        <f>'2. Drift.  intäkter'!D35</f>
        <v>0</v>
      </c>
      <c r="D48" s="716"/>
      <c r="E48" s="716"/>
      <c r="F48" s="716"/>
      <c r="G48" s="716"/>
      <c r="H48" s="716"/>
      <c r="I48" s="716"/>
      <c r="J48" s="716"/>
      <c r="K48" s="716"/>
      <c r="L48" s="717"/>
      <c r="M48" s="281" t="str">
        <f t="shared" si="9"/>
        <v/>
      </c>
      <c r="N48" s="130"/>
    </row>
    <row r="49" spans="1:14" s="282" customFormat="1" ht="15.75" customHeight="1" x14ac:dyDescent="0.3">
      <c r="A49" s="99" t="s">
        <v>321</v>
      </c>
      <c r="B49" s="564" t="s">
        <v>312</v>
      </c>
      <c r="C49" s="403">
        <f>'2. Drift.  intäkter'!D39</f>
        <v>0</v>
      </c>
      <c r="D49" s="438"/>
      <c r="E49" s="438"/>
      <c r="F49" s="438"/>
      <c r="G49" s="438"/>
      <c r="H49" s="438"/>
      <c r="I49" s="438"/>
      <c r="J49" s="438"/>
      <c r="K49" s="438"/>
      <c r="L49" s="439"/>
      <c r="M49" s="281" t="str">
        <f t="shared" si="9"/>
        <v/>
      </c>
      <c r="N49" s="130"/>
    </row>
    <row r="50" spans="1:14" s="282" customFormat="1" ht="15.75" customHeight="1" x14ac:dyDescent="0.3">
      <c r="A50" s="99" t="s">
        <v>120</v>
      </c>
      <c r="B50" s="10" t="s">
        <v>142</v>
      </c>
      <c r="C50" s="339">
        <f>'2. Drift.  intäkter'!D40</f>
        <v>0</v>
      </c>
      <c r="D50" s="641">
        <f>SUM(D10,D19,D24,D29,D34,D42:D49)</f>
        <v>0</v>
      </c>
      <c r="E50" s="641">
        <f t="shared" ref="E50:L50" si="11">SUM(E10,E19,E24,E29,E34,E42:E49)</f>
        <v>0</v>
      </c>
      <c r="F50" s="641">
        <f t="shared" si="11"/>
        <v>0</v>
      </c>
      <c r="G50" s="641">
        <f t="shared" si="11"/>
        <v>0</v>
      </c>
      <c r="H50" s="641">
        <f t="shared" si="11"/>
        <v>0</v>
      </c>
      <c r="I50" s="641">
        <f t="shared" si="11"/>
        <v>0</v>
      </c>
      <c r="J50" s="641">
        <f t="shared" si="11"/>
        <v>0</v>
      </c>
      <c r="K50" s="641">
        <f t="shared" si="11"/>
        <v>0</v>
      </c>
      <c r="L50" s="642">
        <f t="shared" si="11"/>
        <v>0</v>
      </c>
      <c r="M50" s="281"/>
      <c r="N50" s="391"/>
    </row>
    <row r="51" spans="1:14" s="272" customFormat="1" ht="15.75" customHeight="1" x14ac:dyDescent="0.25">
      <c r="A51" s="533"/>
      <c r="B51" s="663" t="str">
        <f>"Fördelning "&amp;År&amp;""</f>
        <v>Fördelning 2024</v>
      </c>
      <c r="C51" s="440"/>
      <c r="D51" s="441" t="str">
        <f>IF($C$50=0,"",D50/$C$50)</f>
        <v/>
      </c>
      <c r="E51" s="441" t="str">
        <f>IF($C$50=0,"",E50/$C$50)</f>
        <v/>
      </c>
      <c r="F51" s="441" t="str">
        <f t="shared" ref="F51:L51" si="12">IF($C$50=0,"",F50/$C$50)</f>
        <v/>
      </c>
      <c r="G51" s="441" t="str">
        <f t="shared" si="12"/>
        <v/>
      </c>
      <c r="H51" s="441" t="str">
        <f t="shared" si="12"/>
        <v/>
      </c>
      <c r="I51" s="441" t="str">
        <f t="shared" si="12"/>
        <v/>
      </c>
      <c r="J51" s="441" t="str">
        <f t="shared" si="12"/>
        <v/>
      </c>
      <c r="K51" s="441" t="str">
        <f t="shared" si="12"/>
        <v/>
      </c>
      <c r="L51" s="709" t="str">
        <f t="shared" si="12"/>
        <v/>
      </c>
      <c r="M51" s="280"/>
      <c r="N51" s="391"/>
    </row>
    <row r="52" spans="1:14" s="272" customFormat="1" ht="15.75" customHeight="1" x14ac:dyDescent="0.25">
      <c r="A52" s="534" t="s">
        <v>334</v>
      </c>
      <c r="B52" s="666" t="str">
        <f>"Fördelning "&amp;År-1&amp;""</f>
        <v>Fördelning 2023</v>
      </c>
      <c r="C52" s="75"/>
      <c r="D52" s="402"/>
      <c r="E52" s="402"/>
      <c r="F52" s="402"/>
      <c r="G52" s="402"/>
      <c r="H52" s="402"/>
      <c r="I52" s="402"/>
      <c r="J52" s="402"/>
      <c r="K52" s="402"/>
      <c r="L52" s="710"/>
      <c r="M52" s="280"/>
      <c r="N52" s="391"/>
    </row>
    <row r="53" spans="1:14" s="272" customFormat="1" ht="15.75" customHeight="1" thickBot="1" x14ac:dyDescent="0.3">
      <c r="A53" s="535" t="s">
        <v>345</v>
      </c>
      <c r="B53" s="702" t="str">
        <f>"Skillnad i fördelning "&amp;År-1&amp; - År&amp;""</f>
        <v>Skillnad i fördelning 2023-2024</v>
      </c>
      <c r="C53" s="442"/>
      <c r="D53" s="443" t="str">
        <f>IF(D51="","",D51-D52)</f>
        <v/>
      </c>
      <c r="E53" s="443" t="str">
        <f t="shared" ref="E53:L53" si="13">IF(E51="","",E51-E52)</f>
        <v/>
      </c>
      <c r="F53" s="443" t="str">
        <f t="shared" si="13"/>
        <v/>
      </c>
      <c r="G53" s="443" t="str">
        <f t="shared" si="13"/>
        <v/>
      </c>
      <c r="H53" s="443" t="str">
        <f t="shared" si="13"/>
        <v/>
      </c>
      <c r="I53" s="443" t="str">
        <f t="shared" si="13"/>
        <v/>
      </c>
      <c r="J53" s="443" t="str">
        <f t="shared" si="13"/>
        <v/>
      </c>
      <c r="K53" s="443" t="str">
        <f t="shared" si="13"/>
        <v/>
      </c>
      <c r="L53" s="711" t="str">
        <f t="shared" si="13"/>
        <v/>
      </c>
      <c r="M53" s="391"/>
      <c r="N53" s="391"/>
    </row>
    <row r="54" spans="1:14" s="272" customFormat="1" ht="13.5" customHeight="1" x14ac:dyDescent="0.25">
      <c r="A54" s="283"/>
      <c r="B54" s="284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0"/>
    </row>
    <row r="55" spans="1:14" s="272" customFormat="1" ht="13.5" customHeight="1" x14ac:dyDescent="0.25">
      <c r="A55" s="283"/>
      <c r="B55" s="284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0"/>
    </row>
    <row r="56" spans="1:14" s="272" customFormat="1" ht="13.5" customHeight="1" x14ac:dyDescent="0.25">
      <c r="A56" s="283"/>
      <c r="B56" s="271" t="s">
        <v>396</v>
      </c>
      <c r="C56" s="129"/>
      <c r="D56" s="129"/>
      <c r="E56" s="129"/>
      <c r="F56" s="285"/>
      <c r="G56" s="285"/>
      <c r="H56" s="285"/>
      <c r="I56" s="285"/>
      <c r="J56" s="285"/>
      <c r="K56" s="285"/>
      <c r="L56" s="285"/>
      <c r="M56" s="280"/>
    </row>
    <row r="57" spans="1:14" s="272" customFormat="1" ht="13.5" customHeight="1" x14ac:dyDescent="0.25">
      <c r="A57" s="283"/>
      <c r="B57" s="1011"/>
      <c r="C57" s="1012"/>
      <c r="D57" s="1012"/>
      <c r="E57" s="1013"/>
      <c r="F57" s="285"/>
      <c r="G57" s="285"/>
      <c r="H57" s="285"/>
      <c r="I57" s="285"/>
      <c r="J57" s="285"/>
      <c r="K57" s="285"/>
      <c r="L57" s="285"/>
      <c r="M57" s="280"/>
    </row>
    <row r="58" spans="1:14" s="272" customFormat="1" ht="13.5" customHeight="1" x14ac:dyDescent="0.25">
      <c r="A58" s="283"/>
      <c r="B58" s="1014"/>
      <c r="C58" s="1015"/>
      <c r="D58" s="1015"/>
      <c r="E58" s="1016"/>
      <c r="F58" s="285"/>
      <c r="G58" s="285"/>
      <c r="H58" s="285"/>
      <c r="I58" s="285"/>
      <c r="J58" s="285"/>
      <c r="K58" s="285"/>
      <c r="L58" s="285"/>
      <c r="M58" s="280"/>
    </row>
    <row r="59" spans="1:14" s="272" customFormat="1" ht="13.5" customHeight="1" x14ac:dyDescent="0.25">
      <c r="A59" s="283"/>
      <c r="B59" s="1014"/>
      <c r="C59" s="1015"/>
      <c r="D59" s="1015"/>
      <c r="E59" s="1016"/>
      <c r="F59" s="285"/>
      <c r="G59" s="285"/>
      <c r="H59" s="285"/>
      <c r="I59" s="285"/>
      <c r="J59" s="285"/>
      <c r="K59" s="285"/>
      <c r="L59" s="285"/>
      <c r="M59" s="280"/>
    </row>
    <row r="60" spans="1:14" s="272" customFormat="1" ht="13.5" customHeight="1" x14ac:dyDescent="0.25">
      <c r="A60" s="283"/>
      <c r="B60" s="1014"/>
      <c r="C60" s="1015"/>
      <c r="D60" s="1015"/>
      <c r="E60" s="1016"/>
      <c r="F60" s="285"/>
      <c r="G60" s="285"/>
      <c r="H60" s="285"/>
      <c r="I60" s="285"/>
      <c r="J60" s="285"/>
      <c r="K60" s="285"/>
      <c r="L60" s="285"/>
      <c r="M60" s="280"/>
    </row>
    <row r="61" spans="1:14" s="272" customFormat="1" ht="13.5" customHeight="1" x14ac:dyDescent="0.25">
      <c r="A61" s="283"/>
      <c r="B61" s="1017"/>
      <c r="C61" s="1018"/>
      <c r="D61" s="1018"/>
      <c r="E61" s="1019"/>
      <c r="F61" s="285"/>
      <c r="G61" s="285"/>
      <c r="H61" s="285"/>
      <c r="I61" s="285"/>
      <c r="J61" s="285"/>
      <c r="K61" s="285"/>
      <c r="L61" s="285"/>
      <c r="M61" s="280"/>
    </row>
    <row r="62" spans="1:14" s="272" customFormat="1" ht="13.5" customHeight="1" x14ac:dyDescent="0.25">
      <c r="A62" s="283"/>
      <c r="B62" s="129"/>
      <c r="C62" s="129"/>
      <c r="D62" s="129"/>
      <c r="E62" s="129"/>
      <c r="F62" s="285"/>
      <c r="G62" s="285"/>
      <c r="H62" s="285"/>
      <c r="I62" s="285"/>
      <c r="J62" s="285"/>
      <c r="K62" s="285"/>
      <c r="L62" s="285"/>
      <c r="M62" s="280"/>
    </row>
    <row r="63" spans="1:14" s="272" customFormat="1" ht="13.5" hidden="1" customHeight="1" x14ac:dyDescent="0.25">
      <c r="A63" s="283"/>
      <c r="B63" s="284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0"/>
    </row>
    <row r="64" spans="1:14" hidden="1" x14ac:dyDescent="0.25">
      <c r="A64" s="129"/>
      <c r="B64" s="129"/>
      <c r="C64" s="129"/>
      <c r="D64" s="129"/>
      <c r="E64" s="129"/>
      <c r="F64" s="129"/>
    </row>
    <row r="65" x14ac:dyDescent="0.25"/>
  </sheetData>
  <mergeCells count="2">
    <mergeCell ref="B57:E61"/>
    <mergeCell ref="M6:M8"/>
  </mergeCells>
  <phoneticPr fontId="0" type="noConversion"/>
  <conditionalFormatting sqref="M10:M50">
    <cfRule type="cellIs" dxfId="8" priority="17" stopIfTrue="1" operator="notEqual">
      <formula>0</formula>
    </cfRule>
  </conditionalFormatting>
  <conditionalFormatting sqref="D20:L23 D25:L28 D11:L18 D35:L49 D30:L33">
    <cfRule type="cellIs" dxfId="7" priority="21" stopIfTrue="1" operator="lessThan">
      <formula>-1</formula>
    </cfRule>
  </conditionalFormatting>
  <dataValidations count="1">
    <dataValidation type="decimal" allowBlank="1" showErrorMessage="1" error="Endast tal får anges!" sqref="C11:C16 C18 D10:L50 C30:C33 C25:C27 C20:C22 C35:C41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  <rowBreaks count="1" manualBreakCount="1">
    <brk id="62" max="13" man="1"/>
  </rowBreaks>
  <colBreaks count="1" manualBreakCount="1">
    <brk id="13" max="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66</vt:i4>
      </vt:variant>
    </vt:vector>
  </HeadingPairs>
  <TitlesOfParts>
    <vt:vector size="79" baseType="lpstr">
      <vt:lpstr>Information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kom_1_jamf</vt:lpstr>
      <vt:lpstr>kom_1_minusbelopp</vt:lpstr>
      <vt:lpstr>kom_1_ovr</vt:lpstr>
      <vt:lpstr>kom_1_prim</vt:lpstr>
      <vt:lpstr>kom_1_psyk</vt:lpstr>
      <vt:lpstr>kom_1_reg</vt:lpstr>
      <vt:lpstr>kom_1_som</vt:lpstr>
      <vt:lpstr>kom_1_tand</vt:lpstr>
      <vt:lpstr>kom_1_övr</vt:lpstr>
      <vt:lpstr>kom_10</vt:lpstr>
      <vt:lpstr>kom_10_minusbelopp</vt:lpstr>
      <vt:lpstr>kom_2_hos</vt:lpstr>
      <vt:lpstr>kom_2_jamf</vt:lpstr>
      <vt:lpstr>kom_2_minusbelopp</vt:lpstr>
      <vt:lpstr>kom_2_reg</vt:lpstr>
      <vt:lpstr>kom_3_hos</vt:lpstr>
      <vt:lpstr>kom_3_jamf</vt:lpstr>
      <vt:lpstr>kom_3_minusbelopp</vt:lpstr>
      <vt:lpstr>kom_3_reg</vt:lpstr>
      <vt:lpstr>kom_4</vt:lpstr>
      <vt:lpstr>kom_5</vt:lpstr>
      <vt:lpstr>kom_6</vt:lpstr>
      <vt:lpstr>kom_6_minusbelopp</vt:lpstr>
      <vt:lpstr>kom_7</vt:lpstr>
      <vt:lpstr>kom_7_minusbelopp</vt:lpstr>
      <vt:lpstr>kom_8</vt:lpstr>
      <vt:lpstr>kom_8_minusbelopp</vt:lpstr>
      <vt:lpstr>kom_9a</vt:lpstr>
      <vt:lpstr>kom_9a_minusbelopp</vt:lpstr>
      <vt:lpstr>kom_9b</vt:lpstr>
      <vt:lpstr>kom_9b_minusbelopp</vt:lpstr>
      <vt:lpstr>pa</vt:lpstr>
      <vt:lpstr>rngEkChefEpost</vt:lpstr>
      <vt:lpstr>rngEkChefNamn</vt:lpstr>
      <vt:lpstr>rngKom_10</vt:lpstr>
      <vt:lpstr>rngKom_9a</vt:lpstr>
      <vt:lpstr>rngKom_9b</vt:lpstr>
      <vt:lpstr>rngKontaktEpost</vt:lpstr>
      <vt:lpstr>rngKontaktNamn</vt:lpstr>
      <vt:lpstr>rngKontaktTel</vt:lpstr>
      <vt:lpstr>rngLandsting</vt:lpstr>
      <vt:lpstr>rngLandstingsNamn</vt:lpstr>
      <vt:lpstr>rngSpec091</vt:lpstr>
      <vt:lpstr>rngSpec092</vt:lpstr>
      <vt:lpstr>rngSpec491</vt:lpstr>
      <vt:lpstr>rngSpec591</vt:lpstr>
      <vt:lpstr>rngSpec592</vt:lpstr>
      <vt:lpstr>rngSpec691</vt:lpstr>
      <vt:lpstr>rngSpec692</vt:lpstr>
      <vt:lpstr>rngSpec891</vt:lpstr>
      <vt:lpstr>rngSpec892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Company>Landstingsförbundet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Enkät 2001</dc:title>
  <dc:creator>Sofia Nenzelius</dc:creator>
  <cp:lastModifiedBy>Hallbäck Ismael D/INS/ES-Ö</cp:lastModifiedBy>
  <cp:lastPrinted>2013-02-06T14:38:30Z</cp:lastPrinted>
  <dcterms:created xsi:type="dcterms:W3CDTF">1999-12-09T09:58:12Z</dcterms:created>
  <dcterms:modified xsi:type="dcterms:W3CDTF">2024-11-28T09:24:24Z</dcterms:modified>
</cp:coreProperties>
</file>