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50" windowWidth="15180" windowHeight="7950" tabRatio="908" firstSheet="2" activeTab="2"/>
  </bookViews>
  <sheets>
    <sheet name="Import" sheetId="1" state="hidden" r:id="rId1"/>
    <sheet name="FlexDimensioner" sheetId="2" state="hidden" r:id="rId2"/>
    <sheet name="Start" sheetId="3" r:id="rId3"/>
    <sheet name="A1. Kapitalplaceringar" sheetId="4" r:id="rId4"/>
    <sheet name="A2. Penningm.instrument" sheetId="5" r:id="rId5"/>
    <sheet name="A3. Obligationer" sheetId="6" r:id="rId6"/>
    <sheet name="A4. Förlagsbevis" sheetId="7" r:id="rId7"/>
    <sheet name="A5. Aktier och andelar" sheetId="8" r:id="rId8"/>
    <sheet name="A6. Lån" sheetId="9" r:id="rId9"/>
    <sheet name="A7. Byggnader o Mark" sheetId="10" r:id="rId10"/>
    <sheet name="A8. Derivat (pos)" sheetId="11" r:id="rId11"/>
    <sheet name="B1. Vissa skulder" sheetId="12" r:id="rId12"/>
    <sheet name="B2. Derivat (neg)" sheetId="13" r:id="rId13"/>
    <sheet name="C. Avkastning" sheetId="14" r:id="rId14"/>
    <sheet name="Kontroll" sheetId="15" state="hidden" r:id="rId15"/>
    <sheet name="db_kontroller" sheetId="16" state="hidden" r:id="rId16"/>
    <sheet name="db" sheetId="17" state="hidden" r:id="rId17"/>
  </sheets>
  <definedNames>
    <definedName name="data" localSheetId="16">'db'!#REF!</definedName>
    <definedName name="data_1" localSheetId="16">'db'!#REF!</definedName>
    <definedName name="data_10" localSheetId="16">'db'!#REF!</definedName>
    <definedName name="data_11" localSheetId="16">'db'!#REF!</definedName>
    <definedName name="data_12" localSheetId="16">'db'!#REF!</definedName>
    <definedName name="data_13" localSheetId="16">'db'!#REF!</definedName>
    <definedName name="data_14" localSheetId="16">'db'!#REF!</definedName>
    <definedName name="data_15" localSheetId="16">'db'!#REF!</definedName>
    <definedName name="data_16" localSheetId="16">'db'!#REF!</definedName>
    <definedName name="data_17" localSheetId="16">'db'!#REF!</definedName>
    <definedName name="data_18" localSheetId="16">'db'!#REF!</definedName>
    <definedName name="data_19" localSheetId="16">'db'!#REF!</definedName>
    <definedName name="data_2" localSheetId="16">'db'!#REF!</definedName>
    <definedName name="data_20" localSheetId="16">'db'!#REF!</definedName>
    <definedName name="data_21" localSheetId="16">'db'!#REF!</definedName>
    <definedName name="data_22" localSheetId="16">'db'!#REF!</definedName>
    <definedName name="data_23" localSheetId="16">'db'!#REF!</definedName>
    <definedName name="data_24" localSheetId="16">'db'!#REF!</definedName>
    <definedName name="data_25" localSheetId="16">'db'!#REF!</definedName>
    <definedName name="data_26" localSheetId="16">'db'!#REF!</definedName>
    <definedName name="data_27" localSheetId="16">'db'!#REF!</definedName>
    <definedName name="data_28" localSheetId="16">'db'!#REF!</definedName>
    <definedName name="data_29" localSheetId="16">'db'!#REF!</definedName>
    <definedName name="data_3" localSheetId="16">'db'!#REF!</definedName>
    <definedName name="data_30" localSheetId="16">'db'!#REF!</definedName>
    <definedName name="data_31" localSheetId="16">'db'!#REF!</definedName>
    <definedName name="data_32" localSheetId="16">'db'!#REF!</definedName>
    <definedName name="data_33" localSheetId="16">'db'!#REF!</definedName>
    <definedName name="data_34" localSheetId="16">'db'!#REF!</definedName>
    <definedName name="data_35" localSheetId="16">'db'!#REF!</definedName>
    <definedName name="data_36" localSheetId="16">'db'!#REF!</definedName>
    <definedName name="data_37" localSheetId="16">'db'!#REF!</definedName>
    <definedName name="data_38" localSheetId="16">'db'!#REF!</definedName>
    <definedName name="data_39" localSheetId="16">'db'!#REF!</definedName>
    <definedName name="data_4" localSheetId="16">'db'!#REF!</definedName>
    <definedName name="data_40" localSheetId="16">'db'!#REF!</definedName>
    <definedName name="data_41" localSheetId="16">'db'!#REF!</definedName>
    <definedName name="data_42" localSheetId="16">'db'!#REF!</definedName>
    <definedName name="data_43" localSheetId="16">'db'!#REF!</definedName>
    <definedName name="data_44" localSheetId="16">'db'!#REF!</definedName>
    <definedName name="data_45" localSheetId="16">'db'!#REF!</definedName>
    <definedName name="data_46" localSheetId="16">'db'!#REF!</definedName>
    <definedName name="data_47" localSheetId="16">'db'!#REF!</definedName>
    <definedName name="data_48" localSheetId="16">'db'!#REF!</definedName>
    <definedName name="data_49" localSheetId="16">'db'!#REF!</definedName>
    <definedName name="data_5" localSheetId="16">'db'!#REF!</definedName>
    <definedName name="data_50" localSheetId="16">'db'!#REF!</definedName>
    <definedName name="data_51" localSheetId="16">'db'!#REF!</definedName>
    <definedName name="data_52" localSheetId="16">'db'!#REF!</definedName>
    <definedName name="data_53" localSheetId="16">'db'!#REF!</definedName>
    <definedName name="data_54" localSheetId="16">'db'!#REF!</definedName>
    <definedName name="data_55" localSheetId="16">'db'!#REF!</definedName>
    <definedName name="data_56" localSheetId="16">'db'!#REF!</definedName>
    <definedName name="data_57" localSheetId="16">'db'!#REF!</definedName>
    <definedName name="data_58" localSheetId="16">'db'!#REF!</definedName>
    <definedName name="data_59" localSheetId="16">'db'!#REF!</definedName>
    <definedName name="data_6" localSheetId="16">'db'!#REF!</definedName>
    <definedName name="data_60" localSheetId="16">'db'!#REF!</definedName>
    <definedName name="data_61" localSheetId="16">'db'!#REF!</definedName>
    <definedName name="data_62" localSheetId="16">'db'!#REF!</definedName>
    <definedName name="data_63" localSheetId="16">'db'!#REF!</definedName>
    <definedName name="data_64" localSheetId="16">'db'!#REF!</definedName>
    <definedName name="data_65" localSheetId="16">'db'!#REF!</definedName>
    <definedName name="data_66" localSheetId="16">'db'!#REF!</definedName>
    <definedName name="data_67" localSheetId="16">'db'!#REF!</definedName>
    <definedName name="data_68" localSheetId="16">'db'!#REF!</definedName>
    <definedName name="data_69" localSheetId="16">'db'!#REF!</definedName>
    <definedName name="data_7" localSheetId="16">'db'!#REF!</definedName>
    <definedName name="data_70" localSheetId="16">'db'!#REF!</definedName>
    <definedName name="data_71" localSheetId="16">'db'!#REF!</definedName>
    <definedName name="data_72" localSheetId="16">'db'!#REF!</definedName>
    <definedName name="data_73" localSheetId="16">'db'!#REF!</definedName>
    <definedName name="data_74" localSheetId="16">'db'!#REF!</definedName>
    <definedName name="data_75" localSheetId="16">'db'!#REF!</definedName>
    <definedName name="data_8" localSheetId="16">'db'!#REF!</definedName>
    <definedName name="data_9" localSheetId="16">'db'!#REF!</definedName>
    <definedName name="FMR" localSheetId="16">'db'!#REF!</definedName>
    <definedName name="FMR_1" localSheetId="16">'db'!#REF!</definedName>
    <definedName name="FMR_10" localSheetId="16">'db'!#REF!</definedName>
    <definedName name="FMR_11" localSheetId="16">'db'!#REF!</definedName>
    <definedName name="FMR_12" localSheetId="16">'db'!#REF!</definedName>
    <definedName name="FMR_13" localSheetId="16">'db'!#REF!</definedName>
    <definedName name="FMR_2" localSheetId="16">'db'!#REF!</definedName>
    <definedName name="FMR_3" localSheetId="16">'db'!#REF!</definedName>
    <definedName name="FMR_4" localSheetId="16">'db'!#REF!</definedName>
    <definedName name="FMR_5" localSheetId="16">'db'!#REF!</definedName>
    <definedName name="FMR_6" localSheetId="16">'db'!#REF!</definedName>
    <definedName name="FMR_7" localSheetId="16">'db'!#REF!</definedName>
    <definedName name="FMR_8" localSheetId="16">'db'!#REF!</definedName>
    <definedName name="FMR_9" localSheetId="16">'db'!#REF!</definedName>
    <definedName name="Inm_11011">'A6. Lån'!#REF!</definedName>
    <definedName name="Inm_11012">'A6. Lån'!#REF!</definedName>
    <definedName name="Inm_11015">'A2. Penningm.instrument'!#REF!</definedName>
    <definedName name="Inm_11016">'A2. Penningm.instrument'!#REF!</definedName>
    <definedName name="Inm_11017">'A6. Lån'!#REF!</definedName>
    <definedName name="Inm_11018">'A6. Lån'!#REF!</definedName>
    <definedName name="Inm_11019">'A6. Lån'!#REF!</definedName>
    <definedName name="Inm_11023">'A2. Penningm.instrument'!#REF!</definedName>
    <definedName name="Inm_11024">'A2. Penningm.instrument'!#REF!</definedName>
    <definedName name="Inm_11025">'A2. Penningm.instrument'!#REF!</definedName>
    <definedName name="Inm_11026">'A6. Lån'!#REF!</definedName>
    <definedName name="Inm_11027">'A6. Lån'!#REF!</definedName>
    <definedName name="Inm_11028">'A6. Lån'!#REF!</definedName>
    <definedName name="Inm_11032">'A2. Penningm.instrument'!#REF!</definedName>
    <definedName name="Inm_11033">'A2. Penningm.instrument'!#REF!</definedName>
    <definedName name="Inm_11034">'A2. Penningm.instrument'!#REF!</definedName>
    <definedName name="Inm_11035">'A6. Lån'!#REF!</definedName>
    <definedName name="Inm_11036">'A6. Lån'!#REF!</definedName>
    <definedName name="Inm_11039">'A2. Penningm.instrument'!#REF!</definedName>
    <definedName name="Inm_11040">'A2. Penningm.instrument'!#REF!</definedName>
    <definedName name="Inm_11041">'A6. Lån'!$E$11</definedName>
    <definedName name="Inm_11042">'A6. Lån'!$E$9</definedName>
    <definedName name="Inm_11043">'A6. Lån'!$E$26</definedName>
    <definedName name="Inm_11044">'A2. Penningm.instrument'!$E$11</definedName>
    <definedName name="Inm_11045">'A2. Penningm.instrument'!$E$9</definedName>
    <definedName name="Inm_11046">'A2. Penningm.instrument'!$E$27</definedName>
    <definedName name="Inm_11048">'A3. Obligationer'!$E$12</definedName>
    <definedName name="Inm_11050">'A3. Obligationer'!$E$10</definedName>
    <definedName name="Inm_11052">'A3. Obligationer'!$E$11</definedName>
    <definedName name="Inm_11054">'A3. Obligationer'!$E$9</definedName>
    <definedName name="Inm_11055">'A6. Lån'!$E$12</definedName>
    <definedName name="Inm_11056">'A6. Lån'!$E$10</definedName>
    <definedName name="Inm_11057">'A2. Penningm.instrument'!$E$12</definedName>
    <definedName name="Inm_11058">'A2. Penningm.instrument'!$E$10</definedName>
    <definedName name="Inm_11061">'A8. Derivat (pos)'!$D$13</definedName>
    <definedName name="Inm_11088">'A6. Lån'!#REF!</definedName>
    <definedName name="Inm_11090">'A6. Lån'!#REF!</definedName>
    <definedName name="Inm_11091">'A6. Lån'!#REF!</definedName>
    <definedName name="Inm_11092">'A6. Lån'!#REF!</definedName>
    <definedName name="Inm_11093">'A6. Lån'!#REF!</definedName>
    <definedName name="Inm_11094">'A6. Lån'!#REF!</definedName>
    <definedName name="Inm_11103">'A2. Penningm.instrument'!#REF!</definedName>
    <definedName name="Inm_11104">'A2. Penningm.instrument'!#REF!</definedName>
    <definedName name="Inm_11105">'A2. Penningm.instrument'!#REF!</definedName>
    <definedName name="Inm_11106">'A2. Penningm.instrument'!#REF!</definedName>
    <definedName name="Inm_11107">'A2. Penningm.instrument'!#REF!</definedName>
    <definedName name="Inm_11108">'A2. Penningm.instrument'!#REF!</definedName>
    <definedName name="Inm_11109">'A2. Penningm.instrument'!#REF!</definedName>
    <definedName name="Inm_11110">'A2. Penningm.instrument'!#REF!</definedName>
    <definedName name="Inm_11111">'A6. Lån'!#REF!</definedName>
    <definedName name="Inm_11113">'A6. Lån'!#REF!</definedName>
    <definedName name="Inm_11114">'A6. Lån'!#REF!</definedName>
    <definedName name="Inm_11115">'A6. Lån'!#REF!</definedName>
    <definedName name="Inm_11116">'A6. Lån'!#REF!</definedName>
    <definedName name="Inm_11117">'A6. Lån'!#REF!</definedName>
    <definedName name="Inm_11118">'A6. Lån'!#REF!</definedName>
    <definedName name="Inm_11127">'A2. Penningm.instrument'!#REF!</definedName>
    <definedName name="Inm_11128">'A2. Penningm.instrument'!#REF!</definedName>
    <definedName name="Inm_11129">'A2. Penningm.instrument'!#REF!</definedName>
    <definedName name="Inm_11130">'A2. Penningm.instrument'!#REF!</definedName>
    <definedName name="Inm_11131">'A2. Penningm.instrument'!#REF!</definedName>
    <definedName name="Inm_11132">'A2. Penningm.instrument'!#REF!</definedName>
    <definedName name="Inm_11133">'A2. Penningm.instrument'!#REF!</definedName>
    <definedName name="Inm_11134">'A2. Penningm.instrument'!#REF!</definedName>
    <definedName name="Inm_11135">'A6. Lån'!#REF!</definedName>
    <definedName name="Inm_11136">'A3. Obligationer'!$E$26</definedName>
    <definedName name="Inm_11137">'A3. Obligationer'!$E$25</definedName>
    <definedName name="Inm_11138">'A3. Obligationer'!$E$24</definedName>
    <definedName name="Inm_11139">'A3. Obligationer'!$E$23</definedName>
    <definedName name="Inm_11140">'A2. Penningm.instrument'!$E$20</definedName>
    <definedName name="Inm_11141">'A2. Penningm.instrument'!$E$19</definedName>
    <definedName name="Inm_11142">'A2. Penningm.instrument'!#REF!</definedName>
    <definedName name="Inm_11143">'A2. Penningm.instrument'!#REF!</definedName>
    <definedName name="Inm_11144">'A2. Penningm.instrument'!$E$24</definedName>
    <definedName name="Inm_11145">'A2. Penningm.instrument'!$E$23</definedName>
    <definedName name="Inm_11146">'A2. Penningm.instrument'!$E$22</definedName>
    <definedName name="Inm_11147">'A2. Penningm.instrument'!$E$21</definedName>
    <definedName name="Inm_11148">'A6. Lån'!$E$19</definedName>
    <definedName name="Inm_11149">'A6. Lån'!$E$18</definedName>
    <definedName name="Inm_11150">'A6. Lån'!#REF!</definedName>
    <definedName name="Inm_11151">'A6. Lån'!#REF!</definedName>
    <definedName name="Inm_11152">'A6. Lån'!$E$23</definedName>
    <definedName name="Inm_11153">'A6. Lån'!$E$22</definedName>
    <definedName name="Inm_11154">'A6. Lån'!$E$21</definedName>
    <definedName name="Inm_11155">'A6. Lån'!$E$20</definedName>
    <definedName name="Inm_11156">'A3. Obligationer'!$E$22</definedName>
    <definedName name="Inm_11169">'A1. Kapitalplaceringar'!$E$23</definedName>
    <definedName name="Inm_11170">'A4. Förlagsbevis'!#REF!</definedName>
    <definedName name="Inm_11171">'A3. Obligationer'!$E$29</definedName>
    <definedName name="Inm_11172">'A7. Byggnader o Mark'!$E$9</definedName>
    <definedName name="Inm_11174">'A5. Aktier och andelar'!$E$24</definedName>
    <definedName name="Inm_11175">'A5. Aktier och andelar'!#REF!</definedName>
    <definedName name="Inm_11176">'A5. Aktier och andelar'!$E$12</definedName>
    <definedName name="Inm_11177">'A5. Aktier och andelar'!$E$9</definedName>
    <definedName name="Inm_11178">'A5. Aktier och andelar'!$E$14</definedName>
    <definedName name="Inm_11179">'A5. Aktier och andelar'!$E$11</definedName>
    <definedName name="Inm_11180">'A5. Aktier och andelar'!$E$13</definedName>
    <definedName name="Inm_11181">'A5. Aktier och andelar'!$E$10</definedName>
    <definedName name="Inm_11182">'A6. Lån'!#REF!</definedName>
    <definedName name="Inm_11183">'A6. Lån'!#REF!</definedName>
    <definedName name="Inm_11185">'A6. Lån'!#REF!</definedName>
    <definedName name="Inm_11186">'A3. Obligationer'!$E$21</definedName>
    <definedName name="Inm_11187">'A3. Obligationer'!$E$20</definedName>
    <definedName name="Inm_11188">'A4. Förlagsbevis'!#REF!</definedName>
    <definedName name="Inm_11189">'A6. Lån'!#REF!</definedName>
    <definedName name="Inm_11190">'A6. Lån'!#REF!</definedName>
    <definedName name="Inm_11191">'A6. Lån'!$E$25</definedName>
    <definedName name="Inm_11192">'A3. Obligationer'!$E$28</definedName>
    <definedName name="Inm_11198">'A5. Aktier och andelar'!$E$25</definedName>
    <definedName name="Inm_11199">'A5. Aktier och andelar'!$E$16</definedName>
    <definedName name="Inm_11200">'A5. Aktier och andelar'!$E$15</definedName>
    <definedName name="Inm_11201">'A4. Förlagsbevis'!#REF!</definedName>
    <definedName name="Inm_11202">'A4. Förlagsbevis'!#REF!</definedName>
    <definedName name="Inm_11203">'A4. Förlagsbevis'!#REF!</definedName>
    <definedName name="Inm_11204">'A7. Byggnader o Mark'!$E$10</definedName>
    <definedName name="Inm_11206">'A4. Förlagsbevis'!$E$12</definedName>
    <definedName name="Inm_11208">'A7. Byggnader o Mark'!#REF!</definedName>
    <definedName name="Inm_11210">'A5. Aktier och andelar'!#REF!</definedName>
    <definedName name="Inm_11211">'A5. Aktier och andelar'!#REF!</definedName>
    <definedName name="Inm_11212">'A5. Aktier och andelar'!#REF!</definedName>
    <definedName name="Inm_11213">'A5. Aktier och andelar'!#REF!</definedName>
    <definedName name="Inm_11214">'A5. Aktier och andelar'!#REF!</definedName>
    <definedName name="Inm_11215">'A5. Aktier och andelar'!#REF!</definedName>
    <definedName name="Inm_11216">'A5. Aktier och andelar'!#REF!</definedName>
    <definedName name="Inm_11217">'A5. Aktier och andelar'!#REF!</definedName>
    <definedName name="Inm_11218">#REF!</definedName>
    <definedName name="Inm_11219">'A4. Förlagsbevis'!#REF!</definedName>
    <definedName name="Inm_11220">'A6. Lån'!#REF!</definedName>
    <definedName name="Inm_11221">'A4. Förlagsbevis'!#REF!</definedName>
    <definedName name="Inm_11222">'A6. Lån'!#REF!</definedName>
    <definedName name="Inm_11223">'A6. Lån'!#REF!</definedName>
    <definedName name="Inm_11226">'A6. Lån'!#REF!</definedName>
    <definedName name="Inm_11227">'A6. Lån'!#REF!</definedName>
    <definedName name="Inm_11228">'A6. Lån'!#REF!</definedName>
    <definedName name="Inm_11230">'A4. Förlagsbevis'!#REF!</definedName>
    <definedName name="Inm_11231">'A1. Kapitalplaceringar'!#REF!</definedName>
    <definedName name="Inm_11232">'A1. Kapitalplaceringar'!#REF!</definedName>
    <definedName name="Inm_11233">'A7. Byggnader o Mark'!#REF!</definedName>
    <definedName name="Inm_11234">'A6. Lån'!#REF!</definedName>
    <definedName name="Inm_11236">'A4. Förlagsbevis'!#REF!</definedName>
    <definedName name="Inm_11238">'A2. Penningm.instrument'!#REF!</definedName>
    <definedName name="Inm_11239">'A1. Kapitalplaceringar'!#REF!</definedName>
    <definedName name="Inm_11240">'A4. Förlagsbevis'!#REF!</definedName>
    <definedName name="Inm_11241">'A4. Förlagsbevis'!#REF!</definedName>
    <definedName name="Inm_11242">'A5. Aktier och andelar'!#REF!</definedName>
    <definedName name="Inm_11243">'A5. Aktier och andelar'!#REF!</definedName>
    <definedName name="Inm_11246">'A5. Aktier och andelar'!#REF!</definedName>
    <definedName name="Inm_11248">'A5. Aktier och andelar'!#REF!</definedName>
    <definedName name="Inm_11250">'A5. Aktier och andelar'!#REF!</definedName>
    <definedName name="Inm_11251">'A5. Aktier och andelar'!#REF!</definedName>
    <definedName name="Inm_11252">'A5. Aktier och andelar'!#REF!</definedName>
    <definedName name="Inm_11253">'A5. Aktier och andelar'!#REF!</definedName>
    <definedName name="Inm_11254">'A5. Aktier och andelar'!#REF!</definedName>
    <definedName name="Inm_11255">'A5. Aktier och andelar'!#REF!</definedName>
    <definedName name="Inm_11256">'A5. Aktier och andelar'!#REF!</definedName>
    <definedName name="Inm_11257">'A5. Aktier och andelar'!#REF!</definedName>
    <definedName name="Inm_11258">'A7. Byggnader o Mark'!#REF!</definedName>
    <definedName name="Inm_11260">'A4. Förlagsbevis'!#REF!</definedName>
    <definedName name="Inm_11261">#REF!</definedName>
    <definedName name="Inm_11262">'A6. Lån'!#REF!</definedName>
    <definedName name="Inm_11263">'A6. Lån'!#REF!</definedName>
    <definedName name="Inm_11264">'A6. Lån'!#REF!</definedName>
    <definedName name="Inm_11265">'A6. Lån'!#REF!</definedName>
    <definedName name="Inm_11266">'A6. Lån'!#REF!</definedName>
    <definedName name="Inm_11267">'A6. Lån'!#REF!</definedName>
    <definedName name="Inm_11268">'A4. Förlagsbevis'!#REF!</definedName>
    <definedName name="Inm_11269">'A4. Förlagsbevis'!#REF!</definedName>
    <definedName name="Inm_11273">'A5. Aktier och andelar'!#REF!</definedName>
    <definedName name="Inm_11274">'A5. Aktier och andelar'!#REF!</definedName>
    <definedName name="Inm_11275">'A5. Aktier och andelar'!#REF!</definedName>
    <definedName name="Inm_11276">'A5. Aktier och andelar'!#REF!</definedName>
    <definedName name="Inm_11277">'A5. Aktier och andelar'!#REF!</definedName>
    <definedName name="Inm_11278">'A5. Aktier och andelar'!#REF!</definedName>
    <definedName name="Inm_11279">'A5. Aktier och andelar'!#REF!</definedName>
    <definedName name="Inm_11280">'A5. Aktier och andelar'!#REF!</definedName>
    <definedName name="Inm_11281">'A1. Kapitalplaceringar'!$E$25</definedName>
    <definedName name="Inm_11283">'A8. Derivat (pos)'!$E$13</definedName>
    <definedName name="Inm_11284">'A1. Kapitalplaceringar'!#REF!</definedName>
    <definedName name="Inm_11288">'A4. Förlagsbevis'!$E$13</definedName>
    <definedName name="Inm_11290">'A1. Kapitalplaceringar'!$E$28</definedName>
    <definedName name="Inm_11291">'A2. Penningm.instrument'!$E$13</definedName>
    <definedName name="Inm_11292">'A3. Obligationer'!$E$13</definedName>
    <definedName name="Inm_11299">'A6. Lån'!$E$13</definedName>
    <definedName name="Inm_11300">'A7. Byggnader o Mark'!$E$11</definedName>
    <definedName name="Inm_11301">'A1. Kapitalplaceringar'!#REF!</definedName>
    <definedName name="Inm_11303">'A4. Förlagsbevis'!#REF!</definedName>
    <definedName name="Inm_11304">'A4. Förlagsbevis'!#REF!</definedName>
    <definedName name="Inm_11305">'A4. Förlagsbevis'!#REF!</definedName>
    <definedName name="Inm_11306">'A4. Förlagsbevis'!#REF!</definedName>
    <definedName name="Inm_11307">'A5. Aktier och andelar'!#REF!</definedName>
    <definedName name="Inm_11309">'A5. Aktier och andelar'!#REF!</definedName>
    <definedName name="Inm_11310">'A5. Aktier och andelar'!#REF!</definedName>
    <definedName name="Inm_11313">'A4. Förlagsbevis'!#REF!</definedName>
    <definedName name="Inm_11314">'A4. Förlagsbevis'!#REF!</definedName>
    <definedName name="Inm_11324">'A5. Aktier och andelar'!#REF!</definedName>
    <definedName name="Inm_11325">'A5. Aktier och andelar'!#REF!</definedName>
    <definedName name="Inm_11326">#REF!</definedName>
    <definedName name="Inm_11327">#REF!</definedName>
    <definedName name="Inm_11328">#REF!</definedName>
    <definedName name="Inm_11330">#REF!</definedName>
    <definedName name="Inm_11331">#REF!</definedName>
    <definedName name="Inm_11342">'A1. Kapitalplaceringar'!#REF!</definedName>
    <definedName name="Inm_11343">'A1. Kapitalplaceringar'!#REF!</definedName>
    <definedName name="Inm_11344">'A7. Byggnader o Mark'!#REF!</definedName>
    <definedName name="Inm_11345">'A6. Lån'!#REF!</definedName>
    <definedName name="Inm_11347">'A4. Förlagsbevis'!#REF!</definedName>
    <definedName name="Inm_11349">'A2. Penningm.instrument'!#REF!</definedName>
    <definedName name="Inm_11350">'A1. Kapitalplaceringar'!#REF!</definedName>
    <definedName name="Inm_11351">'A5. Aktier och andelar'!#REF!</definedName>
    <definedName name="Inm_11352">'A5. Aktier och andelar'!#REF!</definedName>
    <definedName name="Inm_11353">'A5. Aktier och andelar'!#REF!</definedName>
    <definedName name="Inm_11354">'A7. Byggnader o Mark'!#REF!</definedName>
    <definedName name="Inm_11356">'A4. Förlagsbevis'!#REF!</definedName>
    <definedName name="Inm_11361">'A5. Aktier och andelar'!#REF!</definedName>
    <definedName name="Inm_11362">'A5. Aktier och andelar'!#REF!</definedName>
    <definedName name="Inm_11363">'A5. Aktier och andelar'!#REF!</definedName>
    <definedName name="Inm_11364">'A7. Byggnader o Mark'!#REF!</definedName>
    <definedName name="Inm_11366">'A4. Förlagsbevis'!#REF!</definedName>
    <definedName name="Inm_11371">'A1. Kapitalplaceringar'!$E$24</definedName>
    <definedName name="Inm_11373">'A4. Förlagsbevis'!#REF!</definedName>
    <definedName name="Inm_11374">'A5. Aktier och andelar'!#REF!</definedName>
    <definedName name="Inm_11375">'A5. Aktier och andelar'!#REF!</definedName>
    <definedName name="Inm_11376">'A5. Aktier och andelar'!#REF!</definedName>
    <definedName name="Inm_11381">'A5. Aktier och andelar'!#REF!</definedName>
    <definedName name="Inm_11382">'A5. Aktier och andelar'!#REF!</definedName>
    <definedName name="Inm_11383">'A5. Aktier och andelar'!#REF!</definedName>
    <definedName name="Inm_11384">'A5. Aktier och andelar'!#REF!</definedName>
    <definedName name="Inm_11385">'A5. Aktier och andelar'!#REF!</definedName>
    <definedName name="Inm_11386">'A5. Aktier och andelar'!#REF!</definedName>
    <definedName name="Inm_11387">'A5. Aktier och andelar'!#REF!</definedName>
    <definedName name="Inm_11388">'A5. Aktier och andelar'!#REF!</definedName>
    <definedName name="Inm_11389">'A5. Aktier och andelar'!#REF!</definedName>
    <definedName name="Inm_11390">'A5. Aktier och andelar'!#REF!</definedName>
    <definedName name="Inm_11391">'A5. Aktier och andelar'!#REF!</definedName>
    <definedName name="Inm_11392">'A5. Aktier och andelar'!#REF!</definedName>
    <definedName name="Inm_11397">'A4. Förlagsbevis'!#REF!</definedName>
    <definedName name="Inm_11398">'A4. Förlagsbevis'!#REF!</definedName>
    <definedName name="Inm_11399">'A5. Aktier och andelar'!$E$26</definedName>
    <definedName name="Inm_11400">'A5. Aktier och andelar'!#REF!</definedName>
    <definedName name="Inm_11401">'A5. Aktier och andelar'!#REF!</definedName>
    <definedName name="Inm_11402">'A5. Aktier och andelar'!#REF!</definedName>
    <definedName name="Inm_11403">'A5. Aktier och andelar'!#REF!</definedName>
    <definedName name="Inm_11404">'A5. Aktier och andelar'!#REF!</definedName>
    <definedName name="Inm_11493">'A5. Aktier och andelar'!$E$23</definedName>
    <definedName name="Inm_13444">'A6. Lån'!$D$10</definedName>
    <definedName name="Inm_13445">'A6. Lån'!$D$9</definedName>
    <definedName name="Inm_13446">'A3. Obligationer'!$D$10</definedName>
    <definedName name="Inm_13447">'A3. Obligationer'!$D$9</definedName>
    <definedName name="Inm_13448">'A2. Penningm.instrument'!$D$10</definedName>
    <definedName name="Inm_13449">'A2. Penningm.instrument'!$D$9</definedName>
    <definedName name="Inm_13451">'A2. Penningm.instrument'!$D$21</definedName>
    <definedName name="Inm_13454">'A2. Penningm.instrument'!$D$24</definedName>
    <definedName name="Inm_13455">'A2. Penningm.instrument'!$D$23</definedName>
    <definedName name="Inm_13456">'A2. Penningm.instrument'!$D$22</definedName>
    <definedName name="Inm_13457">'A2. Penningm.instrument'!$D$20</definedName>
    <definedName name="Inm_13458">'A2. Penningm.instrument'!$D$19</definedName>
    <definedName name="Inm_13459">'A2. Penningm.instrument'!$D$27</definedName>
    <definedName name="Inm_13460">'A3. Obligationer'!$D$28</definedName>
    <definedName name="Inm_13461">'A3. Obligationer'!$D$23</definedName>
    <definedName name="Inm_13464">'A3. Obligationer'!$D$26</definedName>
    <definedName name="Inm_13465">'A3. Obligationer'!$D$25</definedName>
    <definedName name="Inm_13466">'A3. Obligationer'!$D$24</definedName>
    <definedName name="Inm_13467">'A3. Obligationer'!$D$22</definedName>
    <definedName name="Inm_13468">'A3. Obligationer'!$D$29</definedName>
    <definedName name="Inm_13469">'A3. Obligationer'!$D$21</definedName>
    <definedName name="Inm_13470">'A3. Obligationer'!$D$20</definedName>
    <definedName name="Inm_13475">'A5. Aktier och andelar'!$D$12</definedName>
    <definedName name="Inm_13476">'A5. Aktier och andelar'!$D$9</definedName>
    <definedName name="Inm_13479">'A6. Lån'!$D$20</definedName>
    <definedName name="Inm_13482">'A6. Lån'!$D$23</definedName>
    <definedName name="Inm_13483">'A6. Lån'!$D$22</definedName>
    <definedName name="Inm_13485">'A6. Lån'!$D$21</definedName>
    <definedName name="Inm_13486">'A6. Lån'!$D$19</definedName>
    <definedName name="Inm_13487">'A6. Lån'!$D$26</definedName>
    <definedName name="Inm_13488">'A6. Lån'!$D$25</definedName>
    <definedName name="Inm_13490">'A7. Byggnader o Mark'!$D$9</definedName>
    <definedName name="Inm_13492">'A7. Byggnader o Mark'!$D$10</definedName>
    <definedName name="Inm_13494">'A4. Förlagsbevis'!$D$12</definedName>
    <definedName name="Inm_13495">'A5. Aktier och andelar'!$D$16</definedName>
    <definedName name="Inm_13496">'A5. Aktier och andelar'!$D$15</definedName>
    <definedName name="Inm_13499">'A7. Byggnader o Mark'!$D$11</definedName>
    <definedName name="Inm_13500">'A6. Lån'!$D$13</definedName>
    <definedName name="Inm_13502">'A4. Förlagsbevis'!$D$13</definedName>
    <definedName name="Inm_13503">'A3. Obligationer'!$D$13</definedName>
    <definedName name="Inm_13504">'A2. Penningm.instrument'!$D$13</definedName>
    <definedName name="Inm_13506">'A5. Aktier och andelar'!$D$23</definedName>
    <definedName name="Inm_13507">'A5. Aktier och andelar'!$D$26</definedName>
    <definedName name="Inm_13508">'A6. Lån'!$D$12</definedName>
    <definedName name="Inm_13509">'A6. Lån'!$D$11</definedName>
    <definedName name="Inm_13510">'A3. Obligationer'!$D$12</definedName>
    <definedName name="Inm_13511">'A3. Obligationer'!$D$11</definedName>
    <definedName name="Inm_13512">'A2. Penningm.instrument'!$D$12</definedName>
    <definedName name="Inm_13513">'A2. Penningm.instrument'!$D$11</definedName>
    <definedName name="Inm_14115">'A5. Aktier och andelar'!$D$24</definedName>
    <definedName name="Inm_14117">'A5. Aktier och andelar'!$D$25</definedName>
    <definedName name="Inm_16254">'A2. Penningm.instrument'!$E$25</definedName>
    <definedName name="Inm_16257">'A3. Obligationer'!$E$27</definedName>
    <definedName name="Inm_16259">'A6. Lån'!$E$24</definedName>
    <definedName name="Inm_16260">'A3. Obligationer'!$D$27</definedName>
    <definedName name="Inm_16261">'A6. Lån'!$D$24</definedName>
    <definedName name="Inm_16262">'A2. Penningm.instrument'!$D$25</definedName>
    <definedName name="Inm_17876">'A2. Penningm.instrument'!$D$26</definedName>
    <definedName name="Inm_17877">'A3. Obligationer'!$D$30</definedName>
    <definedName name="Inm_17878">'A3. Obligationer'!$D$14</definedName>
    <definedName name="Inm_17879">'A4. Förlagsbevis'!$D$9</definedName>
    <definedName name="Inm_17880">'A4. Förlagsbevis'!$D$10</definedName>
    <definedName name="Inm_17881">'A4. Förlagsbevis'!$D$11</definedName>
    <definedName name="Inm_17882">'A5. Aktier och andelar'!$D$27</definedName>
    <definedName name="Inm_17883">'A5. Aktier och andelar'!$D$28</definedName>
    <definedName name="Inm_17884">'A5. Aktier och andelar'!$D$11</definedName>
    <definedName name="Inm_17885">'A5. Aktier och andelar'!$D$10</definedName>
    <definedName name="Inm_17886">'A5. Aktier och andelar'!$D$14</definedName>
    <definedName name="Inm_17887">'A5. Aktier och andelar'!$D$13</definedName>
    <definedName name="Inm_17891">'A5. Aktier och andelar'!$D$29</definedName>
    <definedName name="Inm_17892">'A5. Aktier och andelar'!$D$30</definedName>
    <definedName name="Inm_17893">'A6. Lån'!$D$18</definedName>
    <definedName name="Inm_17896">'A8. Derivat (pos)'!$D$14</definedName>
    <definedName name="Inm_17897">'B2. Derivat (neg)'!$D$15</definedName>
    <definedName name="Inm_17898">'B2. Derivat (neg)'!$D$14</definedName>
    <definedName name="Inm_17899">'B1. Vissa skulder'!$D$10</definedName>
    <definedName name="Inm_17900">'B1. Vissa skulder'!$D$9</definedName>
    <definedName name="Inm_17901">'B1. Vissa skulder'!$D$14</definedName>
    <definedName name="Inm_17902">'B1. Vissa skulder'!$D$13</definedName>
    <definedName name="Inm_17903">'B1. Vissa skulder'!$D$11</definedName>
    <definedName name="Inm_17904">'B1. Vissa skulder'!$D$12</definedName>
    <definedName name="Inm_17905">'B1. Vissa skulder'!$D$15</definedName>
    <definedName name="Inm_17906">'A1. Kapitalplaceringar'!$E$29</definedName>
    <definedName name="Inm_17907">'A2. Penningm.instrument'!$E$26</definedName>
    <definedName name="Inm_17908">'A3. Obligationer'!$E$30</definedName>
    <definedName name="Inm_17909">'A3. Obligationer'!$E$14</definedName>
    <definedName name="Inm_17910">'A4. Förlagsbevis'!$E$9</definedName>
    <definedName name="Inm_17911">'A4. Förlagsbevis'!$E$10</definedName>
    <definedName name="Inm_17912">'A4. Förlagsbevis'!$E$11</definedName>
    <definedName name="Inm_17913">'A5. Aktier och andelar'!$E$27</definedName>
    <definedName name="Inm_17914">'A5. Aktier och andelar'!$E$28</definedName>
    <definedName name="Inm_17917">'A5. Aktier och andelar'!$E$29</definedName>
    <definedName name="Inm_17918">'A5. Aktier och andelar'!$E$30</definedName>
    <definedName name="Inm_17919">'A7. Byggnader o Mark'!$E$12</definedName>
    <definedName name="Inm_17920">'A1. Kapitalplaceringar'!$E$21</definedName>
    <definedName name="Inm_17921">'A1. Kapitalplaceringar'!$E$27</definedName>
    <definedName name="Inm_17922">'A8. Derivat (pos)'!$E$14</definedName>
    <definedName name="Inm_17923">'A8. Derivat (pos)'!$E$9</definedName>
    <definedName name="Inm_17924">'A8. Derivat (pos)'!$E$10</definedName>
    <definedName name="Inm_17925">'A8. Derivat (pos)'!$E$11</definedName>
    <definedName name="Inm_17926">'A8. Derivat (pos)'!$E$12</definedName>
    <definedName name="Inm_17927">'A1. Kapitalplaceringar'!$E$26</definedName>
    <definedName name="Inm_17928">'B2. Derivat (neg)'!$E$15</definedName>
    <definedName name="Inm_17929">'B2. Derivat (neg)'!$E$14</definedName>
    <definedName name="Inm_17936">'B2. Derivat (neg)'!$E$10</definedName>
    <definedName name="Inm_17937">'B2. Derivat (neg)'!$E$12</definedName>
    <definedName name="Inm_17938">'B2. Derivat (neg)'!$E$13</definedName>
    <definedName name="Inm_17939">'B1. Vissa skulder'!$E$10</definedName>
    <definedName name="Inm_17940">'B1. Vissa skulder'!$E$9</definedName>
    <definedName name="Inm_17941">'B1. Vissa skulder'!$E$14</definedName>
    <definedName name="Inm_17942">'B1. Vissa skulder'!$E$13</definedName>
    <definedName name="Inm_17943">'B1. Vissa skulder'!$E$11</definedName>
    <definedName name="Inm_17944">'B1. Vissa skulder'!$E$12</definedName>
    <definedName name="Inm_17945">'C. Avkastning'!$D$10</definedName>
    <definedName name="Inm_17946">'C. Avkastning'!$D$12</definedName>
    <definedName name="Inm_17947">'C. Avkastning'!$D$9</definedName>
    <definedName name="Inm_17948">'C. Avkastning'!$D$11</definedName>
    <definedName name="Inm_17949">'C. Avkastning'!$D$13</definedName>
    <definedName name="Inm_17951">'B2. Derivat (neg)'!$E$11</definedName>
    <definedName name="Inm_17952">'B1. Vissa skulder'!$E$15</definedName>
    <definedName name="Inm_17953">'A1. Kapitalplaceringar'!$D$21</definedName>
    <definedName name="Inm_17954">'A1. Kapitalplaceringar'!$D$27</definedName>
    <definedName name="Inm_20182">'A5. Aktier och andelar'!$E$18</definedName>
    <definedName name="Inm_20183">'A5. Aktier och andelar'!$D$19</definedName>
    <definedName name="Inm_20184">'A5. Aktier och andelar'!$E$19</definedName>
    <definedName name="Inm_20185">'A5. Aktier och andelar'!$E$22</definedName>
    <definedName name="Inm_20186">'A5. Aktier och andelar'!$E$21</definedName>
    <definedName name="Inm_20187">'A5. Aktier och andelar'!$D$21</definedName>
    <definedName name="Inm_20188">'A5. Aktier och andelar'!$D$22</definedName>
    <definedName name="Inm_20191">'A5. Aktier och andelar'!$D$31</definedName>
    <definedName name="Inm_20192">'A5. Aktier och andelar'!$D$32</definedName>
    <definedName name="Inm_20193">'A5. Aktier och andelar'!$E$32</definedName>
    <definedName name="Inm_20194">'A5. Aktier och andelar'!$E$31</definedName>
    <definedName name="Inm_20199">'A3. Obligationer'!$E$15</definedName>
    <definedName name="Inm_20200">'A3. Obligationer'!$D$15</definedName>
    <definedName name="Inm_20201">'A2. Penningm.instrument'!$D$14</definedName>
    <definedName name="Inm_20202">'A2. Penningm.instrument'!$E$14</definedName>
    <definedName name="Inm_20203">'A1. Kapitalplaceringar'!$E$30</definedName>
    <definedName name="Inm_20212">'A5. Aktier och andelar'!$D$18</definedName>
    <definedName name="Inm_20213">'A5. Aktier och andelar'!$D$17</definedName>
    <definedName name="Inm_20214">'A5. Aktier och andelar'!$D$20</definedName>
    <definedName name="Inm_20215">'A5. Aktier och andelar'!$E$20</definedName>
    <definedName name="Inm_20216">'A5. Aktier och andelar'!$E$17</definedName>
    <definedName name="Inm_20217">'A1. Kapitalplaceringar'!$D$30</definedName>
    <definedName name="_xlnm.Print_Area" localSheetId="3">'A1. Kapitalplaceringar'!#REF!</definedName>
    <definedName name="_xlnm.Print_Area" localSheetId="4">'A2. Penningm.instrument'!#REF!</definedName>
    <definedName name="_xlnm.Print_Area" localSheetId="5">'A3. Obligationer'!$A$1:$H$39</definedName>
    <definedName name="_xlnm.Print_Area" localSheetId="6">'A4. Förlagsbevis'!#REF!</definedName>
    <definedName name="_xlnm.Print_Area" localSheetId="7">'A5. Aktier och andelar'!$A$1:$F$41</definedName>
    <definedName name="_xlnm.Print_Area" localSheetId="8">'A6. Lån'!#REF!</definedName>
    <definedName name="_xlnm.Print_Area" localSheetId="9">'A7. Byggnader o Mark'!$A$1:$F$14</definedName>
    <definedName name="_xlnm.Print_Area" localSheetId="10">'A8. Derivat (pos)'!$A$1:$H$18</definedName>
    <definedName name="_xlnm.Print_Area" localSheetId="11">'B1. Vissa skulder'!$A$1:$H$29</definedName>
    <definedName name="_xlnm.Print_Area" localSheetId="12">'B2. Derivat (neg)'!$A$1:$G$19</definedName>
    <definedName name="_xlnm.Print_Area" localSheetId="13">'C. Avkastning'!$A$1:$F$22</definedName>
    <definedName name="VarID_11011">'db'!#REF!</definedName>
    <definedName name="VarID_11012">'db'!#REF!</definedName>
    <definedName name="VarID_11013">'db'!#REF!</definedName>
    <definedName name="VarID_11014">'db'!#REF!</definedName>
    <definedName name="VarID_11015">'db'!#REF!</definedName>
    <definedName name="VarID_11016">'db'!#REF!</definedName>
    <definedName name="VarID_11017">'db'!#REF!</definedName>
    <definedName name="VarID_11018">'db'!#REF!</definedName>
    <definedName name="VarID_11019">'db'!#REF!</definedName>
    <definedName name="VarID_11020">'db'!#REF!</definedName>
    <definedName name="VarID_11021">'db'!#REF!</definedName>
    <definedName name="VarID_11022">'db'!#REF!</definedName>
    <definedName name="VarID_11023">'db'!#REF!</definedName>
    <definedName name="VarID_11024">'db'!#REF!</definedName>
    <definedName name="VarID_11025">'db'!#REF!</definedName>
    <definedName name="VarID_11026">'db'!#REF!</definedName>
    <definedName name="VarID_11027">'db'!#REF!</definedName>
    <definedName name="VarID_11028">'db'!#REF!</definedName>
    <definedName name="VarID_11029">'db'!#REF!</definedName>
    <definedName name="VarID_11030">'db'!#REF!</definedName>
    <definedName name="VarID_11031">'db'!#REF!</definedName>
    <definedName name="VarID_11032">'db'!#REF!</definedName>
    <definedName name="VarID_11033">'db'!#REF!</definedName>
    <definedName name="VarID_11034">'db'!#REF!</definedName>
    <definedName name="VarID_11035">'db'!#REF!</definedName>
    <definedName name="VarID_11036">'db'!#REF!</definedName>
    <definedName name="VarID_11037">'db'!#REF!</definedName>
    <definedName name="VarID_11038">'db'!#REF!</definedName>
    <definedName name="VarID_11039">'db'!#REF!</definedName>
    <definedName name="VarID_11040">'db'!#REF!</definedName>
    <definedName name="VarID_11041">'db'!$A$155</definedName>
    <definedName name="VarID_11042">'db'!$A$153</definedName>
    <definedName name="VarID_11043">'db'!$A$164</definedName>
    <definedName name="VarID_11044">'db'!$A$129</definedName>
    <definedName name="VarID_11045">'db'!$A$127</definedName>
    <definedName name="VarID_11046">'db'!$A$138</definedName>
    <definedName name="VarID_11047">'db'!#REF!</definedName>
    <definedName name="VarID_11048">'db'!$A$173</definedName>
    <definedName name="VarID_11049">'db'!#REF!</definedName>
    <definedName name="VarID_11050">'db'!$A$171</definedName>
    <definedName name="VarID_11051">'db'!#REF!</definedName>
    <definedName name="VarID_11052">'db'!$A$172</definedName>
    <definedName name="VarID_11053">'db'!#REF!</definedName>
    <definedName name="VarID_11054">'db'!$A$170</definedName>
    <definedName name="VarID_11055">'db'!$A$156</definedName>
    <definedName name="VarID_11056">'db'!$A$154</definedName>
    <definedName name="VarID_11057">'db'!$A$130</definedName>
    <definedName name="VarID_11058">'db'!$A$128</definedName>
    <definedName name="VarID_11059">'db'!#REF!</definedName>
    <definedName name="VarID_11060">'db'!#REF!</definedName>
    <definedName name="VarID_11061">'db'!$A$184</definedName>
    <definedName name="VarID_11063">'db'!#REF!</definedName>
    <definedName name="VarID_11064">'db'!#REF!</definedName>
    <definedName name="VarID_11065">'db'!#REF!</definedName>
    <definedName name="VarID_11066">'db'!#REF!</definedName>
    <definedName name="VarID_11067">'db'!#REF!</definedName>
    <definedName name="VarID_11068">'db'!#REF!</definedName>
    <definedName name="VarID_11069">'db'!#REF!</definedName>
    <definedName name="VarID_11070">'db'!#REF!</definedName>
    <definedName name="VarID_11071">'db'!#REF!</definedName>
    <definedName name="VarID_11072">'db'!#REF!</definedName>
    <definedName name="VarID_11073">'db'!#REF!</definedName>
    <definedName name="VarID_11074">'db'!#REF!</definedName>
    <definedName name="VarID_11084">'db'!#REF!</definedName>
    <definedName name="VarID_11085">'db'!#REF!</definedName>
    <definedName name="VarID_11086">'db'!#REF!</definedName>
    <definedName name="VarID_11087">'db'!#REF!</definedName>
    <definedName name="VarID_11088">'db'!#REF!</definedName>
    <definedName name="VarID_11090">'db'!#REF!</definedName>
    <definedName name="VarID_11091">'db'!#REF!</definedName>
    <definedName name="VarID_11092">'db'!#REF!</definedName>
    <definedName name="VarID_11093">'db'!#REF!</definedName>
    <definedName name="VarID_11094">'db'!#REF!</definedName>
    <definedName name="VarID_11095">'db'!#REF!</definedName>
    <definedName name="VarID_11097">'db'!#REF!</definedName>
    <definedName name="VarID_11098">'db'!#REF!</definedName>
    <definedName name="VarID_11099">'db'!#REF!</definedName>
    <definedName name="VarID_11100">'db'!#REF!</definedName>
    <definedName name="VarID_11101">'db'!#REF!</definedName>
    <definedName name="VarID_11102">'db'!#REF!</definedName>
    <definedName name="VarID_11103">'db'!#REF!</definedName>
    <definedName name="VarID_11104">'db'!#REF!</definedName>
    <definedName name="VarID_11105">'db'!#REF!</definedName>
    <definedName name="VarID_11106">'db'!#REF!</definedName>
    <definedName name="VarID_11107">'db'!#REF!</definedName>
    <definedName name="VarID_11108">'db'!#REF!</definedName>
    <definedName name="VarID_11109">'db'!#REF!</definedName>
    <definedName name="VarID_11110">'db'!#REF!</definedName>
    <definedName name="VarID_11111">'db'!#REF!</definedName>
    <definedName name="VarID_11113">'db'!#REF!</definedName>
    <definedName name="VarID_11114">'db'!#REF!</definedName>
    <definedName name="VarID_11115">'db'!#REF!</definedName>
    <definedName name="VarID_11116">'db'!#REF!</definedName>
    <definedName name="VarID_11117">'db'!#REF!</definedName>
    <definedName name="VarID_11118">'db'!#REF!</definedName>
    <definedName name="VarID_11119">'db'!#REF!</definedName>
    <definedName name="VarID_11121">'db'!#REF!</definedName>
    <definedName name="VarID_11122">'db'!#REF!</definedName>
    <definedName name="VarID_11123">'db'!#REF!</definedName>
    <definedName name="VarID_11124">'db'!#REF!</definedName>
    <definedName name="VarID_11125">'db'!#REF!</definedName>
    <definedName name="VarID_11126">'db'!#REF!</definedName>
    <definedName name="VarID_11127">'db'!#REF!</definedName>
    <definedName name="VarID_11128">'db'!#REF!</definedName>
    <definedName name="VarID_11129">'db'!#REF!</definedName>
    <definedName name="VarID_11130">'db'!#REF!</definedName>
    <definedName name="VarID_11131">'db'!#REF!</definedName>
    <definedName name="VarID_11132">'db'!#REF!</definedName>
    <definedName name="VarID_11133">'db'!#REF!</definedName>
    <definedName name="VarID_11134">'db'!#REF!</definedName>
    <definedName name="VarID_11135">'db'!#REF!</definedName>
    <definedName name="VarID_11136">'db'!$A$181</definedName>
    <definedName name="VarID_11137">'db'!$A$180</definedName>
    <definedName name="VarID_11138">'db'!$A$179</definedName>
    <definedName name="VarID_11139">'db'!$A$178</definedName>
    <definedName name="VarID_11140">'db'!$A$133</definedName>
    <definedName name="VarID_11141">'db'!$A$132</definedName>
    <definedName name="VarID_11142">'db'!#REF!</definedName>
    <definedName name="VarID_11143">'db'!#REF!</definedName>
    <definedName name="VarID_11144">'db'!$A$137</definedName>
    <definedName name="VarID_11145">'db'!$A$136</definedName>
    <definedName name="VarID_11146">'db'!$A$135</definedName>
    <definedName name="VarID_11147">'db'!$A$134</definedName>
    <definedName name="VarID_11148">'db'!$A$158</definedName>
    <definedName name="VarID_11149">'db'!$A$76</definedName>
    <definedName name="VarID_11150">'db'!#REF!</definedName>
    <definedName name="VarID_11151">'db'!#REF!</definedName>
    <definedName name="VarID_11152">'db'!$A$162</definedName>
    <definedName name="VarID_11153">'db'!$A$161</definedName>
    <definedName name="VarID_11154">'db'!$A$160</definedName>
    <definedName name="VarID_11155">'db'!$A$159</definedName>
    <definedName name="VarID_11156">'db'!$A$177</definedName>
    <definedName name="VarID_11158">'db'!#REF!</definedName>
    <definedName name="VarID_11159">'db'!#REF!</definedName>
    <definedName name="VarID_11160">'db'!#REF!</definedName>
    <definedName name="VarID_11161">'db'!#REF!</definedName>
    <definedName name="VarID_11162">'db'!#REF!</definedName>
    <definedName name="VarID_11163">'db'!#REF!</definedName>
    <definedName name="VarID_11164">'db'!#REF!</definedName>
    <definedName name="VarID_11165">'db'!#REF!</definedName>
    <definedName name="VarID_11167">'db'!#REF!</definedName>
    <definedName name="VarID_11169">'db'!$A$124</definedName>
    <definedName name="VarID_11170">'db'!#REF!</definedName>
    <definedName name="VarID_11171">'db'!$A$183</definedName>
    <definedName name="VarID_11172">'db'!$A$165</definedName>
    <definedName name="VarID_11173">'db'!#REF!</definedName>
    <definedName name="VarID_11174">'db'!$A$150</definedName>
    <definedName name="VarID_11175">'db'!#REF!</definedName>
    <definedName name="VarID_11176">'db'!$A$144</definedName>
    <definedName name="VarID_11177">'db'!$A$141</definedName>
    <definedName name="VarID_11178">'db'!$A$146</definedName>
    <definedName name="VarID_11179">'db'!$A$143</definedName>
    <definedName name="VarID_11180">'db'!$A$145</definedName>
    <definedName name="VarID_11181">'db'!$A$142</definedName>
    <definedName name="VarID_11182">'db'!#REF!</definedName>
    <definedName name="VarID_11183">'db'!#REF!</definedName>
    <definedName name="VarID_11185">'db'!#REF!</definedName>
    <definedName name="VarID_11186">'db'!$A$176</definedName>
    <definedName name="VarID_11187">'db'!$A$175</definedName>
    <definedName name="VarID_11188">'db'!#REF!</definedName>
    <definedName name="VarID_11189">'db'!#REF!</definedName>
    <definedName name="VarID_11190">'db'!#REF!</definedName>
    <definedName name="VarID_11191">'db'!$A$163</definedName>
    <definedName name="VarID_11192">'db'!$A$182</definedName>
    <definedName name="VarID_11193">'db'!#REF!</definedName>
    <definedName name="VarID_11194">'db'!#REF!</definedName>
    <definedName name="VarID_11198">'db'!$A$151</definedName>
    <definedName name="VarID_11199">'db'!$A$148</definedName>
    <definedName name="VarID_11200">'db'!$A$147</definedName>
    <definedName name="VarID_11201">'db'!#REF!</definedName>
    <definedName name="VarID_11202">'db'!#REF!</definedName>
    <definedName name="VarID_11203">'db'!#REF!</definedName>
    <definedName name="VarID_11204">'db'!$A$166</definedName>
    <definedName name="VarID_11205">'db'!#REF!</definedName>
    <definedName name="VarID_11206">'db'!$A$139</definedName>
    <definedName name="VarID_11207">'db'!#REF!</definedName>
    <definedName name="VarID_11208">'db'!#REF!</definedName>
    <definedName name="VarID_11209">'db'!#REF!</definedName>
    <definedName name="VarID_11210">'db'!#REF!</definedName>
    <definedName name="VarID_11211">'db'!#REF!</definedName>
    <definedName name="VarID_11212">'db'!#REF!</definedName>
    <definedName name="VarID_11213">'db'!#REF!</definedName>
    <definedName name="VarID_11214">'db'!#REF!</definedName>
    <definedName name="VarID_11215">'db'!#REF!</definedName>
    <definedName name="VarID_11216">'db'!#REF!</definedName>
    <definedName name="VarID_11217">'db'!#REF!</definedName>
    <definedName name="VarID_11218">'db'!#REF!</definedName>
    <definedName name="VarID_11219">'db'!#REF!</definedName>
    <definedName name="VarID_11220">'db'!#REF!</definedName>
    <definedName name="VarID_11221">'db'!#REF!</definedName>
    <definedName name="VarID_11222">'db'!#REF!</definedName>
    <definedName name="VarID_11223">'db'!#REF!</definedName>
    <definedName name="VarID_11224">'db'!#REF!</definedName>
    <definedName name="VarID_11225">'db'!#REF!</definedName>
    <definedName name="VarID_11226">'db'!#REF!</definedName>
    <definedName name="VarID_11227">'db'!#REF!</definedName>
    <definedName name="VarID_11228">'db'!#REF!</definedName>
    <definedName name="VarID_11229">'db'!#REF!</definedName>
    <definedName name="VarID_11230">'db'!#REF!</definedName>
    <definedName name="VarID_11231">'db'!#REF!</definedName>
    <definedName name="VarID_11232">'db'!#REF!</definedName>
    <definedName name="VarID_11233">'db'!#REF!</definedName>
    <definedName name="VarID_11234">'db'!#REF!</definedName>
    <definedName name="VarID_11235">'db'!#REF!</definedName>
    <definedName name="VarID_11236">'db'!#REF!</definedName>
    <definedName name="VarID_11237">'db'!#REF!</definedName>
    <definedName name="VarID_11238">'db'!#REF!</definedName>
    <definedName name="VarID_11239">'db'!#REF!</definedName>
    <definedName name="VarID_11240">'db'!#REF!</definedName>
    <definedName name="VarID_11241">'db'!#REF!</definedName>
    <definedName name="VarID_11242">'db'!#REF!</definedName>
    <definedName name="VarID_11243">'db'!#REF!</definedName>
    <definedName name="VarID_11246">'db'!#REF!</definedName>
    <definedName name="VarID_11248">'db'!#REF!</definedName>
    <definedName name="VarID_11250">'db'!#REF!</definedName>
    <definedName name="VarID_11251">'db'!#REF!</definedName>
    <definedName name="VarID_11252">'db'!#REF!</definedName>
    <definedName name="VarID_11253">'db'!#REF!</definedName>
    <definedName name="VarID_11254">'db'!#REF!</definedName>
    <definedName name="VarID_11255">'db'!#REF!</definedName>
    <definedName name="VarID_11256">'db'!#REF!</definedName>
    <definedName name="VarID_11257">'db'!#REF!</definedName>
    <definedName name="VarID_11258">'db'!#REF!</definedName>
    <definedName name="VarID_11259">'db'!#REF!</definedName>
    <definedName name="VarID_11260">'db'!#REF!</definedName>
    <definedName name="VarID_11261">'db'!#REF!</definedName>
    <definedName name="VarID_11262">'db'!#REF!</definedName>
    <definedName name="VarID_11263">'db'!#REF!</definedName>
    <definedName name="VarID_11264">'db'!#REF!</definedName>
    <definedName name="VarID_11265">'db'!#REF!</definedName>
    <definedName name="VarID_11266">'db'!#REF!</definedName>
    <definedName name="VarID_11267">'db'!#REF!</definedName>
    <definedName name="VarID_11268">'db'!#REF!</definedName>
    <definedName name="VarID_11269">'db'!#REF!</definedName>
    <definedName name="VarID_11270">'db'!#REF!</definedName>
    <definedName name="VarID_11271">'db'!#REF!</definedName>
    <definedName name="VarID_11272">'db'!#REF!</definedName>
    <definedName name="VarID_11273">'db'!#REF!</definedName>
    <definedName name="VarID_11274">'db'!#REF!</definedName>
    <definedName name="VarID_11275">'db'!#REF!</definedName>
    <definedName name="VarID_11276">'db'!#REF!</definedName>
    <definedName name="VarID_11277">'db'!#REF!</definedName>
    <definedName name="VarID_11278">'db'!#REF!</definedName>
    <definedName name="VarID_11279">'db'!#REF!</definedName>
    <definedName name="VarID_11280">'db'!#REF!</definedName>
    <definedName name="VarID_11281">'db'!$A$169</definedName>
    <definedName name="VarID_11282">'db'!#REF!</definedName>
    <definedName name="VarID_11283">'db'!$A$185</definedName>
    <definedName name="VarID_11284">'db'!#REF!</definedName>
    <definedName name="VarID_11288">'db'!$A$140</definedName>
    <definedName name="VarID_11290">'db'!$A$168</definedName>
    <definedName name="VarID_11291">'db'!$A$131</definedName>
    <definedName name="VarID_11292">'db'!$A$174</definedName>
    <definedName name="VarID_11298">'db'!#REF!</definedName>
    <definedName name="VarID_11299">'db'!$A$157</definedName>
    <definedName name="VarID_11300">'db'!$A$167</definedName>
    <definedName name="VarID_11301">'db'!#REF!</definedName>
    <definedName name="VarID_11303">'db'!#REF!</definedName>
    <definedName name="VarID_11304">'db'!#REF!</definedName>
    <definedName name="VarID_11305">'db'!#REF!</definedName>
    <definedName name="VarID_11306">'db'!#REF!</definedName>
    <definedName name="VarID_11307">'db'!#REF!</definedName>
    <definedName name="VarID_11309">'db'!#REF!</definedName>
    <definedName name="VarID_11310">'db'!#REF!</definedName>
    <definedName name="VarID_11311">'db'!#REF!</definedName>
    <definedName name="VarID_11312">'db'!#REF!</definedName>
    <definedName name="VarID_11313">'db'!#REF!</definedName>
    <definedName name="VarID_11314">'db'!#REF!</definedName>
    <definedName name="VarID_11317">'db'!#REF!</definedName>
    <definedName name="VarID_11318">'db'!#REF!</definedName>
    <definedName name="VarID_11319">'db'!#REF!</definedName>
    <definedName name="VarID_11320">'db'!#REF!</definedName>
    <definedName name="VarID_11321">'db'!#REF!</definedName>
    <definedName name="VarID_11322">'db'!#REF!</definedName>
    <definedName name="VarID_11323">'db'!#REF!</definedName>
    <definedName name="VarID_11324">'db'!#REF!</definedName>
    <definedName name="VarID_11325">'db'!#REF!</definedName>
    <definedName name="VarID_11326">'db'!#REF!</definedName>
    <definedName name="VarID_11327">'db'!#REF!</definedName>
    <definedName name="VarID_11328">'db'!#REF!</definedName>
    <definedName name="VarID_11330">'db'!#REF!</definedName>
    <definedName name="VarID_11331">'db'!#REF!</definedName>
    <definedName name="VarID_11332">'db'!#REF!</definedName>
    <definedName name="VarID_11333">'db'!#REF!</definedName>
    <definedName name="VarID_11334">'db'!#REF!</definedName>
    <definedName name="VarID_11335">'db'!#REF!</definedName>
    <definedName name="VarID_11336">'db'!#REF!</definedName>
    <definedName name="VarID_11337">'db'!#REF!</definedName>
    <definedName name="VarID_11338">'db'!#REF!</definedName>
    <definedName name="VarID_11339">'db'!#REF!</definedName>
    <definedName name="VarID_11340">'db'!#REF!</definedName>
    <definedName name="VarID_11341">'db'!#REF!</definedName>
    <definedName name="VarID_11342">'db'!#REF!</definedName>
    <definedName name="VarID_11343">'db'!#REF!</definedName>
    <definedName name="VarID_11344">'db'!#REF!</definedName>
    <definedName name="VarID_11345">'db'!#REF!</definedName>
    <definedName name="VarID_11346">'db'!#REF!</definedName>
    <definedName name="VarID_11347">'db'!#REF!</definedName>
    <definedName name="VarID_11348">'db'!#REF!</definedName>
    <definedName name="VarID_11349">'db'!#REF!</definedName>
    <definedName name="VarID_11350">'db'!#REF!</definedName>
    <definedName name="VarID_11351">'db'!#REF!</definedName>
    <definedName name="VarID_11352">'db'!#REF!</definedName>
    <definedName name="VarID_11353">'db'!#REF!</definedName>
    <definedName name="VarID_11354">'db'!#REF!</definedName>
    <definedName name="VarID_11355">'db'!#REF!</definedName>
    <definedName name="VarID_11356">'db'!#REF!</definedName>
    <definedName name="VarID_11357">'db'!#REF!</definedName>
    <definedName name="VarID_11358">'db'!#REF!</definedName>
    <definedName name="VarID_11359">'db'!#REF!</definedName>
    <definedName name="VarID_11360">'db'!#REF!</definedName>
    <definedName name="VarID_11361">'db'!#REF!</definedName>
    <definedName name="VarID_11362">'db'!#REF!</definedName>
    <definedName name="VarID_11363">'db'!#REF!</definedName>
    <definedName name="VarID_11364">'db'!#REF!</definedName>
    <definedName name="VarID_11365">'db'!#REF!</definedName>
    <definedName name="VarID_11366">'db'!#REF!</definedName>
    <definedName name="VarID_11367">'db'!#REF!</definedName>
    <definedName name="VarID_11368">'db'!#REF!</definedName>
    <definedName name="VarID_11369">'db'!#REF!</definedName>
    <definedName name="VarID_11370">'db'!#REF!</definedName>
    <definedName name="VarID_11371">'db'!$A$125</definedName>
    <definedName name="VarID_11372">'db'!#REF!</definedName>
    <definedName name="VarID_11373">'db'!#REF!</definedName>
    <definedName name="VarID_11374">'db'!#REF!</definedName>
    <definedName name="VarID_11375">'db'!#REF!</definedName>
    <definedName name="VarID_11376">'db'!#REF!</definedName>
    <definedName name="VarID_11377">'db'!#REF!</definedName>
    <definedName name="VarID_11378">'db'!#REF!</definedName>
    <definedName name="VarID_11379">'db'!#REF!</definedName>
    <definedName name="VarID_11380">'db'!#REF!</definedName>
    <definedName name="VarID_11381">'db'!#REF!</definedName>
    <definedName name="VarID_11382">'db'!#REF!</definedName>
    <definedName name="VarID_11383">'db'!#REF!</definedName>
    <definedName name="VarID_11384">'db'!#REF!</definedName>
    <definedName name="VarID_11385">'db'!#REF!</definedName>
    <definedName name="VarID_11386">'db'!#REF!</definedName>
    <definedName name="VarID_11387">'db'!#REF!</definedName>
    <definedName name="VarID_11388">'db'!#REF!</definedName>
    <definedName name="VarID_11389">'db'!#REF!</definedName>
    <definedName name="VarID_11390">'db'!#REF!</definedName>
    <definedName name="VarID_11391">'db'!#REF!</definedName>
    <definedName name="VarID_11392">'db'!#REF!</definedName>
    <definedName name="VarID_11393">'db'!#REF!</definedName>
    <definedName name="VarID_11394">'db'!#REF!</definedName>
    <definedName name="VarID_11395">'db'!#REF!</definedName>
    <definedName name="VarID_11396">'db'!#REF!</definedName>
    <definedName name="VarID_11397">'db'!#REF!</definedName>
    <definedName name="VarID_11398">'db'!#REF!</definedName>
    <definedName name="VarID_11399">'db'!$A$152</definedName>
    <definedName name="VarID_11400">'db'!#REF!</definedName>
    <definedName name="VarID_11401">'db'!#REF!</definedName>
    <definedName name="VarID_11402">'db'!#REF!</definedName>
    <definedName name="VarID_11403">'db'!#REF!</definedName>
    <definedName name="VarID_11404">'db'!#REF!</definedName>
    <definedName name="VarID_11405">'db'!#REF!</definedName>
    <definedName name="VarID_11406">'db'!#REF!</definedName>
    <definedName name="VarID_11493">'db'!$A$149</definedName>
    <definedName name="VarID_13444">'db'!$A$71</definedName>
    <definedName name="VarID_13445">'db'!$A$70</definedName>
    <definedName name="VarID_13446">'db'!$A$23</definedName>
    <definedName name="VarID_13447">'db'!$A$22</definedName>
    <definedName name="VarID_13448">'db'!$A$7</definedName>
    <definedName name="VarID_13449">'db'!$A$6</definedName>
    <definedName name="VarID_13451">'db'!$A$13</definedName>
    <definedName name="VarID_13454">'db'!$A$16</definedName>
    <definedName name="VarID_13455">'db'!$A$15</definedName>
    <definedName name="VarID_13456">'db'!$A$14</definedName>
    <definedName name="VarID_13457">'db'!$A$12</definedName>
    <definedName name="VarID_13458">'db'!$A$11</definedName>
    <definedName name="VarID_13459">'db'!$A$21</definedName>
    <definedName name="VarID_13460">'db'!$A$38</definedName>
    <definedName name="VarID_13461">'db'!$A$32</definedName>
    <definedName name="VarID_13464">'db'!$A$35</definedName>
    <definedName name="VarID_13465">'db'!$A$34</definedName>
    <definedName name="VarID_13466">'db'!$A$33</definedName>
    <definedName name="VarID_13467">'db'!$A$31</definedName>
    <definedName name="VarID_13468">'db'!$A$39</definedName>
    <definedName name="VarID_13469">'db'!$A$30</definedName>
    <definedName name="VarID_13470">'db'!$A$29</definedName>
    <definedName name="VarID_13475">'db'!$A$53</definedName>
    <definedName name="VarID_13476">'db'!$A$50</definedName>
    <definedName name="VarID_13479">'db'!$A$78</definedName>
    <definedName name="VarID_13482">'db'!$A$81</definedName>
    <definedName name="VarID_13483">'db'!$A$80</definedName>
    <definedName name="VarID_13485">'db'!$A$79</definedName>
    <definedName name="VarID_13486">'db'!$A$77</definedName>
    <definedName name="VarID_13487">'db'!$A$85</definedName>
    <definedName name="VarID_13488">'db'!$A$84</definedName>
    <definedName name="VarID_13490">'db'!$A$86</definedName>
    <definedName name="VarID_13492">'db'!$A$87</definedName>
    <definedName name="VarID_13494">'db'!$A$48</definedName>
    <definedName name="VarID_13495">'db'!$A$57</definedName>
    <definedName name="VarID_13496">'db'!$A$56</definedName>
    <definedName name="VarID_13499">'db'!$A$88</definedName>
    <definedName name="VarID_13500">'db'!$A$74</definedName>
    <definedName name="VarID_13502">'db'!$A$49</definedName>
    <definedName name="VarID_13503">'db'!$A$26</definedName>
    <definedName name="VarID_13504">'db'!$A$10</definedName>
    <definedName name="VarID_13506">'db'!$A$58</definedName>
    <definedName name="VarID_13507">'db'!$A$61</definedName>
    <definedName name="VarID_13508">'db'!$A$73</definedName>
    <definedName name="VarID_13509">'db'!$A$72</definedName>
    <definedName name="VarID_13510">'db'!$A$25</definedName>
    <definedName name="VarID_13511">'db'!$A$24</definedName>
    <definedName name="VarID_13512">'db'!$A$9</definedName>
    <definedName name="VarID_13513">'db'!$A$8</definedName>
    <definedName name="VarID_14115">'db'!$A$59</definedName>
    <definedName name="VarID_14117">'db'!$A$60</definedName>
    <definedName name="VarID_16252">'db'!#REF!</definedName>
    <definedName name="VarID_16254">'db'!$A$18</definedName>
    <definedName name="VarID_16257">'db'!$A$37</definedName>
    <definedName name="VarID_16259">'db'!$A$83</definedName>
    <definedName name="VarID_16260">'db'!$A$36</definedName>
    <definedName name="VarID_16261">'db'!$A$82</definedName>
    <definedName name="VarID_16262">'db'!$A$17</definedName>
    <definedName name="VarID_17876">'db'!$A$19</definedName>
    <definedName name="VarID_17877">'db'!$A$40</definedName>
    <definedName name="VarID_17878">'db'!$A$27</definedName>
    <definedName name="VarID_17879">'db'!$A$42</definedName>
    <definedName name="VarID_17880">'db'!$A$44</definedName>
    <definedName name="VarID_17881">'db'!$A$46</definedName>
    <definedName name="VarID_17882">'db'!$A$62</definedName>
    <definedName name="VarID_17883">'db'!$A$64</definedName>
    <definedName name="VarID_17884">'db'!$A$52</definedName>
    <definedName name="VarID_17885">'db'!$A$51</definedName>
    <definedName name="VarID_17886">'db'!$A$55</definedName>
    <definedName name="VarID_17887">'db'!$A$54</definedName>
    <definedName name="VarID_17888">'db'!#REF!</definedName>
    <definedName name="VarID_17889">'db'!#REF!</definedName>
    <definedName name="VarID_17890">'db'!#REF!</definedName>
    <definedName name="VarID_17891">'db'!$A$66</definedName>
    <definedName name="VarID_17892">'db'!$A$68</definedName>
    <definedName name="VarID_17893">'db'!$A$75</definedName>
    <definedName name="VarID_17896">'db'!$A$94</definedName>
    <definedName name="VarID_17897">'db'!$A$116</definedName>
    <definedName name="VarID_17898">'db'!$A$114</definedName>
    <definedName name="VarID_17899">'db'!$A$98</definedName>
    <definedName name="VarID_17900">'db'!$A$96</definedName>
    <definedName name="VarID_17901">'db'!$A$106</definedName>
    <definedName name="VarID_17902">'db'!$A$104</definedName>
    <definedName name="VarID_17903">'db'!$A$100</definedName>
    <definedName name="VarID_17904">'db'!$A$102</definedName>
    <definedName name="VarID_17905">'db'!$A$108</definedName>
    <definedName name="VarID_17906">'db'!$A$5</definedName>
    <definedName name="VarID_17907">'db'!$A$20</definedName>
    <definedName name="VarID_17908">'db'!$A$41</definedName>
    <definedName name="VarID_17909">'db'!$A$28</definedName>
    <definedName name="VarID_17910">'db'!$A$43</definedName>
    <definedName name="VarID_17911">'db'!$A$45</definedName>
    <definedName name="VarID_17912">'db'!$A$47</definedName>
    <definedName name="VarID_17913">'db'!$A$63</definedName>
    <definedName name="VarID_17914">'db'!$A$65</definedName>
    <definedName name="VarID_17916">'db'!#REF!</definedName>
    <definedName name="VarID_17917">'db'!$A$67</definedName>
    <definedName name="VarID_17918">'db'!$A$69</definedName>
    <definedName name="VarID_17919">'db'!$A$89</definedName>
    <definedName name="VarID_17920">'db'!$A$2</definedName>
    <definedName name="VarID_17921">'db'!$A$4</definedName>
    <definedName name="VarID_17922">'db'!$A$95</definedName>
    <definedName name="VarID_17923">'db'!$A$90</definedName>
    <definedName name="VarID_17924">'db'!$A$91</definedName>
    <definedName name="VarID_17925">'db'!$A$92</definedName>
    <definedName name="VarID_17926">'db'!$A$93</definedName>
    <definedName name="VarID_17927">'db'!$A$3</definedName>
    <definedName name="VarID_17928">'db'!$A$117</definedName>
    <definedName name="VarID_17929">'db'!$A$115</definedName>
    <definedName name="VarID_17936">'db'!$A$110</definedName>
    <definedName name="VarID_17937">'db'!$A$112</definedName>
    <definedName name="VarID_17938">'db'!$A$113</definedName>
    <definedName name="VarID_17939">'db'!$A$99</definedName>
    <definedName name="VarID_17940">'db'!$A$97</definedName>
    <definedName name="VarID_17941">'db'!$A$107</definedName>
    <definedName name="VarID_17942">'db'!$A$105</definedName>
    <definedName name="VarID_17943">'db'!$A$101</definedName>
    <definedName name="VarID_17944">'db'!$A$103</definedName>
    <definedName name="VarID_17945">'db'!$A$119</definedName>
    <definedName name="VarID_17946">'db'!$A$121</definedName>
    <definedName name="VarID_17947">'db'!$A$118</definedName>
    <definedName name="VarID_17948">'db'!$A$120</definedName>
    <definedName name="VarID_17949">'db'!$A$122</definedName>
    <definedName name="VarID_17950">'db'!#REF!</definedName>
    <definedName name="VarID_17951">'db'!$A$111</definedName>
    <definedName name="VarID_17952">'db'!$A$109</definedName>
    <definedName name="VarID_17953">'db'!$A$123</definedName>
    <definedName name="VarID_17954">'db'!$A$126</definedName>
    <definedName name="VarID_20182">'db'!$A$192</definedName>
    <definedName name="VarID_20183">'db'!$A$193</definedName>
    <definedName name="VarID_20184">'db'!$A$194</definedName>
    <definedName name="VarID_20185">'db'!$A$198</definedName>
    <definedName name="VarID_20186">'db'!$A$196</definedName>
    <definedName name="VarID_20187">'db'!$A$195</definedName>
    <definedName name="VarID_20188">'db'!$A$197</definedName>
    <definedName name="VarID_20191">'db'!$A$199</definedName>
    <definedName name="VarID_20192">'db'!$A$201</definedName>
    <definedName name="VarID_20193">'db'!$A$202</definedName>
    <definedName name="VarID_20194">'db'!$A$200</definedName>
    <definedName name="VarID_20199">'db'!$A$190</definedName>
    <definedName name="VarID_20200">'db'!$A$189</definedName>
    <definedName name="VarID_20201">'db'!$A$187</definedName>
    <definedName name="VarID_20202">'db'!$A$188</definedName>
    <definedName name="VarID_20203">'db'!$A$186</definedName>
    <definedName name="VarID_20212">'db'!$A$191</definedName>
    <definedName name="VarID_20213">'db'!$A$203</definedName>
    <definedName name="VarID_20214">'db'!$A$205</definedName>
    <definedName name="VarID_20215">'db'!$A$206</definedName>
    <definedName name="VarID_20216">'db'!$A$204</definedName>
    <definedName name="VarID_20217">'db'!$A$207</definedName>
  </definedNames>
  <calcPr fullCalcOnLoad="1"/>
</workbook>
</file>

<file path=xl/sharedStrings.xml><?xml version="1.0" encoding="utf-8"?>
<sst xmlns="http://schemas.openxmlformats.org/spreadsheetml/2006/main" count="3686" uniqueCount="1196">
  <si>
    <t>A8. Derivat (pos)'!Inm_17923</t>
  </si>
  <si>
    <t>P1K1</t>
  </si>
  <si>
    <t>A8. Derivat (pos)'!Inm_17924</t>
  </si>
  <si>
    <t>P1K2</t>
  </si>
  <si>
    <t>A8. Derivat (pos)'!Inm_17925</t>
  </si>
  <si>
    <t>P1K3</t>
  </si>
  <si>
    <t>Övriga underliggand, (S1) Nationell ekon</t>
  </si>
  <si>
    <t>A8. Derivat (pos)'!Inm_17926</t>
  </si>
  <si>
    <t>P1K4</t>
  </si>
  <si>
    <t>A8. Derivat (pos)'!Inm_17896</t>
  </si>
  <si>
    <t>A8. Derivat (pos)'!Inm_17922</t>
  </si>
  <si>
    <t>B1. Vissa skulder'!Inm_17900</t>
  </si>
  <si>
    <t>B1. Vissa skulder'!Inm_17940</t>
  </si>
  <si>
    <t>B1. Vissa skulder'!Inm_17899</t>
  </si>
  <si>
    <t>B1. Vissa skulder'!Inm_17939</t>
  </si>
  <si>
    <t>B1. Vissa skulder'!Inm_17903</t>
  </si>
  <si>
    <t>B1. Vissa skulder'!Inm_17943</t>
  </si>
  <si>
    <t>B1. Vissa skulder'!Inm_17904</t>
  </si>
  <si>
    <t>B1. Vissa skulder'!Inm_17944</t>
  </si>
  <si>
    <t>Skulder, Nek ex Banker,Boins</t>
  </si>
  <si>
    <t>B1. Vissa skulder'!Inm_17902</t>
  </si>
  <si>
    <t>B1. Vissa skulder'!Inm_17942</t>
  </si>
  <si>
    <t>B1. Vissa skulder'!Inm_17901</t>
  </si>
  <si>
    <t>B1. Vissa skulder'!Inm_17941</t>
  </si>
  <si>
    <t>B1. Vissa skulder'!Inm_17905</t>
  </si>
  <si>
    <t>P2E1</t>
  </si>
  <si>
    <t>B1. Vissa skulder'!Inm_17952</t>
  </si>
  <si>
    <t>B2. Derivat (neg)'!Inm_17936</t>
  </si>
  <si>
    <t>P2D1</t>
  </si>
  <si>
    <t>B2. Derivat (neg)'!Inm_17951</t>
  </si>
  <si>
    <t>P2D2</t>
  </si>
  <si>
    <t>B2. Derivat (neg)'!Inm_17937</t>
  </si>
  <si>
    <t>P2D3</t>
  </si>
  <si>
    <t>B2. Derivat (neg)'!Inm_17938</t>
  </si>
  <si>
    <t>P2D4</t>
  </si>
  <si>
    <t>B2. Derivat (neg)'!Inm_17898</t>
  </si>
  <si>
    <t>B2. Derivat (neg)'!Inm_17929</t>
  </si>
  <si>
    <t>B2. Derivat (neg)'!Inm_17897</t>
  </si>
  <si>
    <t>B2. Derivat (neg)'!Inm_17928</t>
  </si>
  <si>
    <t>Hyresintäkter från , (S1) Nationell ekon</t>
  </si>
  <si>
    <t>C. Avkastning'!Inm_17947</t>
  </si>
  <si>
    <t>R</t>
  </si>
  <si>
    <t>P31</t>
  </si>
  <si>
    <t>Driftskostnader frå, (S1) Nationell ekon</t>
  </si>
  <si>
    <t>C. Avkastning'!Inm_17945</t>
  </si>
  <si>
    <t>C</t>
  </si>
  <si>
    <t>P32</t>
  </si>
  <si>
    <t>Ränteintäkter m.m., (S1) Nationell ekon</t>
  </si>
  <si>
    <t>C. Avkastning'!Inm_17948</t>
  </si>
  <si>
    <t>P33</t>
  </si>
  <si>
    <t>Räntekostnader m.m., (S1) Nationell ekon</t>
  </si>
  <si>
    <t>C. Avkastning'!Inm_17946</t>
  </si>
  <si>
    <t>P34</t>
  </si>
  <si>
    <t>Utdelning på aktier, (S1) Nationell ekon</t>
  </si>
  <si>
    <t>C. Avkastning'!Inm_17949</t>
  </si>
  <si>
    <t>P35</t>
  </si>
  <si>
    <t>Utdelning på aktier och andelar</t>
  </si>
  <si>
    <t>*)</t>
  </si>
  <si>
    <t>Driftskostnader och räntekostnader ska anges med negativt tecken.</t>
  </si>
  <si>
    <t xml:space="preserve">KI                   </t>
  </si>
  <si>
    <t xml:space="preserve">CG                   </t>
  </si>
  <si>
    <t xml:space="preserve">HR                   </t>
  </si>
  <si>
    <t xml:space="preserve">KW                   </t>
  </si>
  <si>
    <t xml:space="preserve">LA                   </t>
  </si>
  <si>
    <t xml:space="preserve">7K                   </t>
  </si>
  <si>
    <t xml:space="preserve">LS                   </t>
  </si>
  <si>
    <t xml:space="preserve">LV                   </t>
  </si>
  <si>
    <t xml:space="preserve">LB                   </t>
  </si>
  <si>
    <t xml:space="preserve">LR                   </t>
  </si>
  <si>
    <t xml:space="preserve">LY                   </t>
  </si>
  <si>
    <t xml:space="preserve">LI                   </t>
  </si>
  <si>
    <t xml:space="preserve">LT                   </t>
  </si>
  <si>
    <t xml:space="preserve">LU                   </t>
  </si>
  <si>
    <t xml:space="preserve">MO                   </t>
  </si>
  <si>
    <t xml:space="preserve">MG                   </t>
  </si>
  <si>
    <t xml:space="preserve">MK                   </t>
  </si>
  <si>
    <t xml:space="preserve">MW                   </t>
  </si>
  <si>
    <t xml:space="preserve">MY                   </t>
  </si>
  <si>
    <t xml:space="preserve">MV                   </t>
  </si>
  <si>
    <t xml:space="preserve">ML                   </t>
  </si>
  <si>
    <t xml:space="preserve">MT                   </t>
  </si>
  <si>
    <t xml:space="preserve">MA                   </t>
  </si>
  <si>
    <t xml:space="preserve">MR                   </t>
  </si>
  <si>
    <t xml:space="preserve">MU                   </t>
  </si>
  <si>
    <t xml:space="preserve">MX                   </t>
  </si>
  <si>
    <t xml:space="preserve">MD                   </t>
  </si>
  <si>
    <t xml:space="preserve">2E                   </t>
  </si>
  <si>
    <t xml:space="preserve">MN                   </t>
  </si>
  <si>
    <t xml:space="preserve">MZ                   </t>
  </si>
  <si>
    <t xml:space="preserve">MM                   </t>
  </si>
  <si>
    <t xml:space="preserve">NA                   </t>
  </si>
  <si>
    <t xml:space="preserve">NR                   </t>
  </si>
  <si>
    <t xml:space="preserve">AN                   </t>
  </si>
  <si>
    <t xml:space="preserve">NP                   </t>
  </si>
  <si>
    <t xml:space="preserve">NI                   </t>
  </si>
  <si>
    <t xml:space="preserve">NE                   </t>
  </si>
  <si>
    <t xml:space="preserve">NG                   </t>
  </si>
  <si>
    <t xml:space="preserve">KP                   </t>
  </si>
  <si>
    <t xml:space="preserve">NO                   </t>
  </si>
  <si>
    <t xml:space="preserve">NC                   </t>
  </si>
  <si>
    <t xml:space="preserve">NZ                   </t>
  </si>
  <si>
    <t xml:space="preserve">1N                   </t>
  </si>
  <si>
    <t xml:space="preserve">5M                   </t>
  </si>
  <si>
    <t xml:space="preserve">5T                   </t>
  </si>
  <si>
    <t xml:space="preserve">OM                   </t>
  </si>
  <si>
    <t xml:space="preserve">PK                   </t>
  </si>
  <si>
    <t xml:space="preserve">PS                   </t>
  </si>
  <si>
    <t xml:space="preserve">PA                   </t>
  </si>
  <si>
    <t xml:space="preserve">PG                   </t>
  </si>
  <si>
    <t xml:space="preserve">PY                   </t>
  </si>
  <si>
    <t xml:space="preserve">PE                   </t>
  </si>
  <si>
    <t xml:space="preserve">PL                   </t>
  </si>
  <si>
    <t xml:space="preserve">PT                   </t>
  </si>
  <si>
    <t xml:space="preserve">QA                   </t>
  </si>
  <si>
    <t xml:space="preserve">2W                   </t>
  </si>
  <si>
    <t xml:space="preserve">2O                   </t>
  </si>
  <si>
    <t xml:space="preserve">2B                   </t>
  </si>
  <si>
    <t xml:space="preserve">2S                   </t>
  </si>
  <si>
    <t xml:space="preserve">2T                   </t>
  </si>
  <si>
    <t xml:space="preserve">2U                   </t>
  </si>
  <si>
    <t xml:space="preserve">2H                   </t>
  </si>
  <si>
    <t xml:space="preserve">RW                   </t>
  </si>
  <si>
    <t xml:space="preserve">RO                   </t>
  </si>
  <si>
    <t xml:space="preserve">RU                   </t>
  </si>
  <si>
    <t xml:space="preserve">SB                   </t>
  </si>
  <si>
    <t xml:space="preserve">SM                   </t>
  </si>
  <si>
    <t xml:space="preserve">ST                   </t>
  </si>
  <si>
    <t xml:space="preserve">SA                   </t>
  </si>
  <si>
    <t xml:space="preserve">CH                   </t>
  </si>
  <si>
    <t xml:space="preserve">SN                   </t>
  </si>
  <si>
    <t xml:space="preserve">SC                   </t>
  </si>
  <si>
    <t xml:space="preserve">SL                   </t>
  </si>
  <si>
    <t xml:space="preserve">SG                   </t>
  </si>
  <si>
    <t xml:space="preserve">SK                   </t>
  </si>
  <si>
    <t xml:space="preserve">SI                   </t>
  </si>
  <si>
    <t xml:space="preserve">SO                   </t>
  </si>
  <si>
    <t xml:space="preserve">ES                   </t>
  </si>
  <si>
    <t xml:space="preserve">LK                   </t>
  </si>
  <si>
    <t xml:space="preserve">SH                   </t>
  </si>
  <si>
    <t xml:space="preserve">LC                   </t>
  </si>
  <si>
    <t xml:space="preserve">VC                   </t>
  </si>
  <si>
    <t xml:space="preserve">U1                   </t>
  </si>
  <si>
    <t xml:space="preserve">GB                   </t>
  </si>
  <si>
    <t xml:space="preserve">SD                   </t>
  </si>
  <si>
    <t xml:space="preserve">SR                   </t>
  </si>
  <si>
    <t xml:space="preserve">3A                   </t>
  </si>
  <si>
    <t xml:space="preserve">1E                   </t>
  </si>
  <si>
    <t xml:space="preserve">SZ                   </t>
  </si>
  <si>
    <t xml:space="preserve">ZA                   </t>
  </si>
  <si>
    <t xml:space="preserve">KR                   </t>
  </si>
  <si>
    <t xml:space="preserve">SY                   </t>
  </si>
  <si>
    <t xml:space="preserve">TJ                   </t>
  </si>
  <si>
    <t xml:space="preserve">TW                   </t>
  </si>
  <si>
    <t xml:space="preserve">TZ                   </t>
  </si>
  <si>
    <t xml:space="preserve">TD                   </t>
  </si>
  <si>
    <t xml:space="preserve">TH                   </t>
  </si>
  <si>
    <t xml:space="preserve">CZ                   </t>
  </si>
  <si>
    <t xml:space="preserve">TG                   </t>
  </si>
  <si>
    <t xml:space="preserve">TO                   </t>
  </si>
  <si>
    <t xml:space="preserve">5J                   </t>
  </si>
  <si>
    <t xml:space="preserve">TT                   </t>
  </si>
  <si>
    <t xml:space="preserve">TN                   </t>
  </si>
  <si>
    <t xml:space="preserve">TR                   </t>
  </si>
  <si>
    <t xml:space="preserve">TM                   </t>
  </si>
  <si>
    <t xml:space="preserve">TC                   </t>
  </si>
  <si>
    <t>Ränteintäkter, (S1) Nationell ekon</t>
  </si>
  <si>
    <t>A1. Kapitalplaceringar'!Inm_11281</t>
  </si>
  <si>
    <t>P1L1</t>
  </si>
  <si>
    <t>A3. Obligationer'!Inm_11054</t>
  </si>
  <si>
    <t>A3. Obligationer'!Inm_11050</t>
  </si>
  <si>
    <t>A3. Obligationer'!Inm_11052</t>
  </si>
  <si>
    <t>A3. Obligationer'!Inm_11048</t>
  </si>
  <si>
    <t>A3. Obligationer'!Inm_11292</t>
  </si>
  <si>
    <t>A3. Obligationer'!Inm_11187</t>
  </si>
  <si>
    <t>A3. Obligationer'!Inm_11186</t>
  </si>
  <si>
    <t>A3. Obligationer'!Inm_11156</t>
  </si>
  <si>
    <t>A3. Obligationer'!Inm_11139</t>
  </si>
  <si>
    <t>A3. Obligationer'!Inm_11138</t>
  </si>
  <si>
    <t>A3. Obligationer'!Inm_11137</t>
  </si>
  <si>
    <t>A3. Obligationer'!Inm_11136</t>
  </si>
  <si>
    <t>A3. Obligationer'!Inm_11192</t>
  </si>
  <si>
    <t>A3. Obligationer'!Inm_11171</t>
  </si>
  <si>
    <t>A8. Derivat (pos)'!Inm_11061</t>
  </si>
  <si>
    <t>A8. Derivat (pos)'!Inm_11283</t>
  </si>
  <si>
    <t xml:space="preserve">TV                   </t>
  </si>
  <si>
    <t xml:space="preserve">DE                   </t>
  </si>
  <si>
    <t xml:space="preserve">UG                   </t>
  </si>
  <si>
    <t xml:space="preserve">UA                   </t>
  </si>
  <si>
    <t xml:space="preserve">HU                   </t>
  </si>
  <si>
    <t xml:space="preserve">UY                   </t>
  </si>
  <si>
    <t>Blankettversion enligt FFFS 2008:17 och FFFS 1999:6</t>
  </si>
  <si>
    <t xml:space="preserve">Blanketten tillämpas från och med rapporteringen avseende första </t>
  </si>
  <si>
    <t xml:space="preserve">kvartalet 2009 och skall vara Statistiska centralbyrån tillhanda 30 april, </t>
  </si>
  <si>
    <t>10 augusti, 31 oktober samt 31 januari.</t>
  </si>
  <si>
    <t xml:space="preserve">US                   </t>
  </si>
  <si>
    <t xml:space="preserve">PU                   </t>
  </si>
  <si>
    <t xml:space="preserve">6C                   </t>
  </si>
  <si>
    <t xml:space="preserve">6B                   </t>
  </si>
  <si>
    <t xml:space="preserve">3P                   </t>
  </si>
  <si>
    <t xml:space="preserve">4Y                   </t>
  </si>
  <si>
    <t xml:space="preserve">4U                   </t>
  </si>
  <si>
    <t xml:space="preserve">4W                   </t>
  </si>
  <si>
    <t xml:space="preserve">3C                   </t>
  </si>
  <si>
    <t xml:space="preserve">UZ                   </t>
  </si>
  <si>
    <t xml:space="preserve">VU                   </t>
  </si>
  <si>
    <t xml:space="preserve">VA                   </t>
  </si>
  <si>
    <t xml:space="preserve">VE                   </t>
  </si>
  <si>
    <t xml:space="preserve">VN                   </t>
  </si>
  <si>
    <t xml:space="preserve">BY                   </t>
  </si>
  <si>
    <t xml:space="preserve">1Z                   </t>
  </si>
  <si>
    <t xml:space="preserve">WS                   </t>
  </si>
  <si>
    <t xml:space="preserve">WF                   </t>
  </si>
  <si>
    <t xml:space="preserve">YE                   </t>
  </si>
  <si>
    <t xml:space="preserve">ZM                   </t>
  </si>
  <si>
    <t xml:space="preserve">ZW                   </t>
  </si>
  <si>
    <t xml:space="preserve">AT                   </t>
  </si>
  <si>
    <t xml:space="preserve">7I                   </t>
  </si>
  <si>
    <t xml:space="preserve">7M                   </t>
  </si>
  <si>
    <t xml:space="preserve">7N                   </t>
  </si>
  <si>
    <t xml:space="preserve">5B                   </t>
  </si>
  <si>
    <t xml:space="preserve">6D                   </t>
  </si>
  <si>
    <t xml:space="preserve">7H                   </t>
  </si>
  <si>
    <t xml:space="preserve">7J                   </t>
  </si>
  <si>
    <t xml:space="preserve">7L                   </t>
  </si>
  <si>
    <t xml:space="preserve">7C                   </t>
  </si>
  <si>
    <t xml:space="preserve">7G                   </t>
  </si>
  <si>
    <t xml:space="preserve">ATS Österrikiska schilling               </t>
  </si>
  <si>
    <t xml:space="preserve">AUD Australiensisk dollar                </t>
  </si>
  <si>
    <t xml:space="preserve">EEK Estländska kronor                    </t>
  </si>
  <si>
    <t xml:space="preserve">Ej specificerad                          </t>
  </si>
  <si>
    <t xml:space="preserve">ESP Spansk peseta                        </t>
  </si>
  <si>
    <t xml:space="preserve">Euro                                     </t>
  </si>
  <si>
    <t xml:space="preserve">FIM Finska mark                          </t>
  </si>
  <si>
    <t xml:space="preserve">GRD Grekiska drachmer                    </t>
  </si>
  <si>
    <t xml:space="preserve">HKD Hong Kong-dollar                     </t>
  </si>
  <si>
    <t xml:space="preserve">IEP Irländska pund                       </t>
  </si>
  <si>
    <t xml:space="preserve">KYD Kajmanö-dollar                       </t>
  </si>
  <si>
    <t xml:space="preserve">LTL Litauiska lit                        </t>
  </si>
  <si>
    <t xml:space="preserve">LUF Luxemburgska franc                   </t>
  </si>
  <si>
    <t xml:space="preserve">LVL Lettiska lat                         </t>
  </si>
  <si>
    <t xml:space="preserve">NOK Norska kronor                        </t>
  </si>
  <si>
    <t xml:space="preserve">PLN Polska zloty                         </t>
  </si>
  <si>
    <t xml:space="preserve">PTE Portugisiska escudos                 </t>
  </si>
  <si>
    <t xml:space="preserve">SGD Singapore-dollar                     </t>
  </si>
  <si>
    <t xml:space="preserve">Utländska valutor utom Euro och EMU-valu </t>
  </si>
  <si>
    <t xml:space="preserve">ATS                  </t>
  </si>
  <si>
    <t xml:space="preserve">AUD                  </t>
  </si>
  <si>
    <t xml:space="preserve">BEF                  </t>
  </si>
  <si>
    <t xml:space="preserve">CHF                  </t>
  </si>
  <si>
    <t xml:space="preserve">DEM                  </t>
  </si>
  <si>
    <t xml:space="preserve">DKK                  </t>
  </si>
  <si>
    <t xml:space="preserve">EEK                  </t>
  </si>
  <si>
    <t xml:space="preserve">X                    </t>
  </si>
  <si>
    <t xml:space="preserve">ESP                  </t>
  </si>
  <si>
    <t xml:space="preserve">VU1                  </t>
  </si>
  <si>
    <t xml:space="preserve">VU2                  </t>
  </si>
  <si>
    <t xml:space="preserve">EUR                  </t>
  </si>
  <si>
    <t xml:space="preserve">VU4                  </t>
  </si>
  <si>
    <t xml:space="preserve">FIM                  </t>
  </si>
  <si>
    <t xml:space="preserve">FRF                  </t>
  </si>
  <si>
    <t xml:space="preserve">GBP                  </t>
  </si>
  <si>
    <t xml:space="preserve">GRD                  </t>
  </si>
  <si>
    <t xml:space="preserve">HKD                  </t>
  </si>
  <si>
    <t xml:space="preserve">IEP                  </t>
  </si>
  <si>
    <t xml:space="preserve">ITL                  </t>
  </si>
  <si>
    <t xml:space="preserve">JPY                  </t>
  </si>
  <si>
    <t xml:space="preserve">KYD                  </t>
  </si>
  <si>
    <t xml:space="preserve">LTL                  </t>
  </si>
  <si>
    <t xml:space="preserve">LUF                  </t>
  </si>
  <si>
    <t xml:space="preserve">LVL                  </t>
  </si>
  <si>
    <t xml:space="preserve">NLG                  </t>
  </si>
  <si>
    <t xml:space="preserve">NOK                  </t>
  </si>
  <si>
    <t xml:space="preserve">PLN                  </t>
  </si>
  <si>
    <t xml:space="preserve">PTE                  </t>
  </si>
  <si>
    <t xml:space="preserve">SEK                  </t>
  </si>
  <si>
    <t xml:space="preserve">SGD                  </t>
  </si>
  <si>
    <t xml:space="preserve">USD                  </t>
  </si>
  <si>
    <t xml:space="preserve">VU6                  </t>
  </si>
  <si>
    <t xml:space="preserve">VU5                  </t>
  </si>
  <si>
    <t xml:space="preserve">VU3                  </t>
  </si>
  <si>
    <t xml:space="preserve">V                    </t>
  </si>
  <si>
    <t xml:space="preserve">OVR                  </t>
  </si>
  <si>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</si>
  <si>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</si>
  <si>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</si>
  <si>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</si>
  <si>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</si>
  <si>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</si>
  <si>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</si>
  <si>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</si>
  <si>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</si>
  <si>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Typ</t>
  </si>
  <si>
    <t>1.1</t>
  </si>
  <si>
    <t>1.2</t>
  </si>
  <si>
    <t>2.1</t>
  </si>
  <si>
    <t>2.2</t>
  </si>
  <si>
    <t>1.</t>
  </si>
  <si>
    <t>Staten</t>
  </si>
  <si>
    <t>2.</t>
  </si>
  <si>
    <t>3.</t>
  </si>
  <si>
    <t>4.</t>
  </si>
  <si>
    <t>5.</t>
  </si>
  <si>
    <t>6.</t>
  </si>
  <si>
    <t>7.</t>
  </si>
  <si>
    <t>8.</t>
  </si>
  <si>
    <t>Staten, realränteobligationer</t>
  </si>
  <si>
    <t>Staten, övriga obligationer</t>
  </si>
  <si>
    <t>Lån. Belopp i tkr.</t>
  </si>
  <si>
    <t>Obligationer. Belopp i tkr.</t>
  </si>
  <si>
    <t>Penningmarknadsinstrument. Belopp i tkr.</t>
  </si>
  <si>
    <t>Kapitalplaceringar, sammanställning. Belopp i tkr.</t>
  </si>
  <si>
    <t>9.</t>
  </si>
  <si>
    <t>10.</t>
  </si>
  <si>
    <t>Övriga svenska låntagare</t>
  </si>
  <si>
    <t>Utländska låntagare</t>
  </si>
  <si>
    <t>Svenska</t>
  </si>
  <si>
    <t>Utländska</t>
  </si>
  <si>
    <t>6.1</t>
  </si>
  <si>
    <t>6.2</t>
  </si>
  <si>
    <t>A</t>
  </si>
  <si>
    <t>X</t>
  </si>
  <si>
    <t>5J</t>
  </si>
  <si>
    <t>N</t>
  </si>
  <si>
    <t>V</t>
  </si>
  <si>
    <t>B</t>
  </si>
  <si>
    <t>M</t>
  </si>
  <si>
    <t>P1</t>
  </si>
  <si>
    <t>1E</t>
  </si>
  <si>
    <t>N1211121</t>
  </si>
  <si>
    <t>3P</t>
  </si>
  <si>
    <t>Byggnader och mark, (S1) Nationell ekon</t>
  </si>
  <si>
    <t>P1H</t>
  </si>
  <si>
    <t>Lån, (S1) Nationell ekon</t>
  </si>
  <si>
    <t>P1G</t>
  </si>
  <si>
    <t>SEK</t>
  </si>
  <si>
    <t>VU</t>
  </si>
  <si>
    <t>Lån, 4 (S1313) Kommuner</t>
  </si>
  <si>
    <t>N23</t>
  </si>
  <si>
    <t>Lån, (S212) Banker (utom</t>
  </si>
  <si>
    <t>Lån, 214 Bostadsinstitut</t>
  </si>
  <si>
    <t>N121121</t>
  </si>
  <si>
    <t xml:space="preserve">Lån, 215 Andra monetära </t>
  </si>
  <si>
    <t>N121122</t>
  </si>
  <si>
    <t>Lån, 1 (S11)  Icke-finan</t>
  </si>
  <si>
    <t>N11</t>
  </si>
  <si>
    <t>Lån, Nek ex St,Ko,MFI,Öv</t>
  </si>
  <si>
    <t>NXX</t>
  </si>
  <si>
    <t>Noterade aktier, Företagssektor</t>
  </si>
  <si>
    <t>P1E1</t>
  </si>
  <si>
    <t>N1</t>
  </si>
  <si>
    <t>Noterade aktier, 2 (S12) Finansiella</t>
  </si>
  <si>
    <t>N12</t>
  </si>
  <si>
    <t>Noterade aktier, 1 (S11)  Icke-finan</t>
  </si>
  <si>
    <t>Onoterade aktier, Företagssektor</t>
  </si>
  <si>
    <t>P1E2</t>
  </si>
  <si>
    <t>Onoterade aktier, 2 (S12) Finansiella</t>
  </si>
  <si>
    <t>Onoterade aktier, 1 (S11)  Icke-finan</t>
  </si>
  <si>
    <t>Teckningsoptioner, Företagssektor</t>
  </si>
  <si>
    <t>P1E4</t>
  </si>
  <si>
    <t>Aktier och andelar, Företagssektor</t>
  </si>
  <si>
    <t>P1E</t>
  </si>
  <si>
    <t>N12A</t>
  </si>
  <si>
    <t>P1D</t>
  </si>
  <si>
    <t>N12F</t>
  </si>
  <si>
    <t>NXY</t>
  </si>
  <si>
    <t>Förlagsbevis, (S1) Nationell ekon</t>
  </si>
  <si>
    <t>Obligationer, (S1) Nationell ekon</t>
  </si>
  <si>
    <t>P1C</t>
  </si>
  <si>
    <t>Statsobligationer, , 3 (S1311) Staten</t>
  </si>
  <si>
    <t>P1C1</t>
  </si>
  <si>
    <t>N21</t>
  </si>
  <si>
    <t>P1C2</t>
  </si>
  <si>
    <t>Obligationer, 4 (S1313) Kommuner</t>
  </si>
  <si>
    <t>Obligationer, (S212) Banker (utom</t>
  </si>
  <si>
    <t>Obligationer, 214 Bostadsinstitut</t>
  </si>
  <si>
    <t xml:space="preserve">Obligationer, 215 Andra monetära </t>
  </si>
  <si>
    <t>Obligationer, 1 (S11)  Icke-finan</t>
  </si>
  <si>
    <t>Obligationer, Nek ex St,Ko,MFI,Öv</t>
  </si>
  <si>
    <t>Penningmarknadsinst, (S1) Nationell ekon</t>
  </si>
  <si>
    <t>P1B</t>
  </si>
  <si>
    <t>Penningmarknadsinst, 3 (S1311) Staten</t>
  </si>
  <si>
    <t>Penningmarknadsinst, 4 (S1313) Kommuner</t>
  </si>
  <si>
    <t>Penningmarknadsinst, (S212) Banker (utom</t>
  </si>
  <si>
    <t>Penningmarknadsinst, 214 Bostadsinstitut</t>
  </si>
  <si>
    <t xml:space="preserve">Penningmarknadsinst, 215 Andra monetära </t>
  </si>
  <si>
    <t>Penningmarknadsinst, 1 (S11)  Icke-finan</t>
  </si>
  <si>
    <t>Obligationslån, (S1) Nationell ekon</t>
  </si>
  <si>
    <t>L</t>
  </si>
  <si>
    <t>P2A</t>
  </si>
  <si>
    <t>Efterställda skulde, (S1) Nationell ekon</t>
  </si>
  <si>
    <t>P2B</t>
  </si>
  <si>
    <t>Skulder, (S212) Banker (utom</t>
  </si>
  <si>
    <t>P2C</t>
  </si>
  <si>
    <t>Skulder, Mon kreditmarkftg o</t>
  </si>
  <si>
    <t>Derivat, (S1) Nationell ekon</t>
  </si>
  <si>
    <t>P2D</t>
  </si>
  <si>
    <t>Skulder, (S1) Nationell ekon</t>
  </si>
  <si>
    <t>NXG</t>
  </si>
  <si>
    <t>P1K</t>
  </si>
  <si>
    <t>P1A-C</t>
  </si>
  <si>
    <t>11.</t>
  </si>
  <si>
    <t>Obligationslån</t>
  </si>
  <si>
    <t>Efterställda skulder</t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</si>
  <si>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</si>
  <si>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</si>
  <si>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</si>
  <si>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</si>
  <si>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</si>
  <si>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</si>
  <si>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</si>
  <si>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</si>
  <si>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</si>
  <si>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</si>
  <si>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</si>
  <si>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</si>
  <si>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</si>
  <si>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</si>
  <si>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</si>
  <si>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</si>
  <si>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</si>
  <si>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</si>
  <si>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</si>
  <si>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</si>
  <si>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</si>
  <si>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</si>
  <si>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Valuta</t>
  </si>
  <si>
    <t xml:space="preserve">Andorra                                  </t>
  </si>
  <si>
    <t xml:space="preserve">Förenade Arabemiraten                    </t>
  </si>
  <si>
    <t xml:space="preserve">Afghanistan                              </t>
  </si>
  <si>
    <t xml:space="preserve">Albanien                                 </t>
  </si>
  <si>
    <t xml:space="preserve">Armenien                                 </t>
  </si>
  <si>
    <t xml:space="preserve">Nederländska Antillerna                  </t>
  </si>
  <si>
    <t xml:space="preserve">Angola                                   </t>
  </si>
  <si>
    <t xml:space="preserve">Argentina                                </t>
  </si>
  <si>
    <t xml:space="preserve">Österrike                                </t>
  </si>
  <si>
    <t xml:space="preserve">Australien                               </t>
  </si>
  <si>
    <t xml:space="preserve">Aruba                                    </t>
  </si>
  <si>
    <t xml:space="preserve">Azerbadjan                               </t>
  </si>
  <si>
    <t xml:space="preserve">Barbados                                 </t>
  </si>
  <si>
    <t xml:space="preserve">Bangladesh                               </t>
  </si>
  <si>
    <t>A1. Kapitalplaceringar'!Inm_17953</t>
  </si>
  <si>
    <t>Kassa och banktillg, (S212) Banker (utom</t>
  </si>
  <si>
    <t>A1. Kapitalplaceringar'!Inm_11169</t>
  </si>
  <si>
    <t>P1A</t>
  </si>
  <si>
    <t>Banktillgodohavande, (S212) Banker (utom</t>
  </si>
  <si>
    <t>A1. Kapitalplaceringar'!Inm_11371</t>
  </si>
  <si>
    <t>P1A1</t>
  </si>
  <si>
    <t>A1. Kapitalplaceringar'!Inm_17954</t>
  </si>
  <si>
    <t>A2. Penningm.instrument'!Inm_11045</t>
  </si>
  <si>
    <t>A2. Penningm.instrument'!Inm_11058</t>
  </si>
  <si>
    <t>A2. Penningm.instrument'!Inm_11044</t>
  </si>
  <si>
    <t>A2. Penningm.instrument'!Inm_11057</t>
  </si>
  <si>
    <t>A2. Penningm.instrument'!Inm_11291</t>
  </si>
  <si>
    <t>A2. Penningm.instrument'!Inm_11141</t>
  </si>
  <si>
    <t>A2. Penningm.instrument'!Inm_11140</t>
  </si>
  <si>
    <t>GRANSKN</t>
  </si>
  <si>
    <t>A2. Penningm.instrument'!Inm_11147</t>
  </si>
  <si>
    <t>A2. Penningm.instrument'!Inm_11146</t>
  </si>
  <si>
    <t>A2. Penningm.instrument'!Inm_11145</t>
  </si>
  <si>
    <t>A2. Penningm.instrument'!Inm_11144</t>
  </si>
  <si>
    <t>A2. Penningm.instrument'!Inm_11046</t>
  </si>
  <si>
    <t>A4. Förlagsbevis'!Inm_11206</t>
  </si>
  <si>
    <t>A4. Förlagsbevis'!Inm_11288</t>
  </si>
  <si>
    <t>A5. Aktier och andelar'!Inm_11177</t>
  </si>
  <si>
    <t>A5. Aktier och andelar'!Inm_11181</t>
  </si>
  <si>
    <t>A5. Aktier och andelar'!Inm_11179</t>
  </si>
  <si>
    <t>A5. Aktier och andelar'!Inm_11176</t>
  </si>
  <si>
    <t>A5. Aktier och andelar'!Inm_11180</t>
  </si>
  <si>
    <t>A5. Aktier och andelar'!Inm_11178</t>
  </si>
  <si>
    <t>A5. Aktier och andelar'!Inm_11200</t>
  </si>
  <si>
    <t>A5. Aktier och andelar'!Inm_11199</t>
  </si>
  <si>
    <t>A5. Aktier och andelar'!Inm_11493</t>
  </si>
  <si>
    <t>A5. Aktier och andelar'!Inm_11174</t>
  </si>
  <si>
    <t>A5. Aktier och andelar'!Inm_11198</t>
  </si>
  <si>
    <t>A5. Aktier och andelar'!Inm_11399</t>
  </si>
  <si>
    <t>A6. Lån'!Inm_11042</t>
  </si>
  <si>
    <t>A6. Lån'!Inm_11056</t>
  </si>
  <si>
    <t>A6. Lån'!Inm_11041</t>
  </si>
  <si>
    <t>A6. Lån'!Inm_11055</t>
  </si>
  <si>
    <t>A6. Lån'!Inm_11299</t>
  </si>
  <si>
    <t>A6. Lån'!Inm_11148</t>
  </si>
  <si>
    <t>A6. Lån'!Inm_11155</t>
  </si>
  <si>
    <t>A6. Lån'!Inm_11154</t>
  </si>
  <si>
    <t>A6. Lån'!Inm_11153</t>
  </si>
  <si>
    <t>A6. Lån'!Inm_11152</t>
  </si>
  <si>
    <t>A6. Lån'!Inm_11191</t>
  </si>
  <si>
    <t>A6. Lån'!Inm_11043</t>
  </si>
  <si>
    <t>A7. Byggnader o Mark'!Inm_11172</t>
  </si>
  <si>
    <t>A7. Byggnader o Mark'!Inm_11204</t>
  </si>
  <si>
    <t>A7. Byggnader o Mark'!Inm_11300</t>
  </si>
  <si>
    <t xml:space="preserve">Belgien                                  </t>
  </si>
  <si>
    <t xml:space="preserve">Burkina Faso                             </t>
  </si>
  <si>
    <t xml:space="preserve">Bulgarien                                </t>
  </si>
  <si>
    <t xml:space="preserve">Bahrain                                  </t>
  </si>
  <si>
    <t xml:space="preserve">Burundi                                  </t>
  </si>
  <si>
    <t xml:space="preserve">Benin                                    </t>
  </si>
  <si>
    <t xml:space="preserve">Bermuda                                  </t>
  </si>
  <si>
    <t xml:space="preserve">Brunei Darussalam                        </t>
  </si>
  <si>
    <t xml:space="preserve">Bolivia                                  </t>
  </si>
  <si>
    <t xml:space="preserve">Brasilien                                </t>
  </si>
  <si>
    <t xml:space="preserve">Bahamas                                  </t>
  </si>
  <si>
    <t xml:space="preserve">Bhutan                                   </t>
  </si>
  <si>
    <t xml:space="preserve">Botswana                                 </t>
  </si>
  <si>
    <t xml:space="preserve">Vitryssland                              </t>
  </si>
  <si>
    <t xml:space="preserve">Belize                                   </t>
  </si>
  <si>
    <t xml:space="preserve">Kanada                                   </t>
  </si>
  <si>
    <t xml:space="preserve">Demokratiska republiken Kongo            </t>
  </si>
  <si>
    <t xml:space="preserve">Centralafrikanska republiken             </t>
  </si>
  <si>
    <t xml:space="preserve">Kongo, folkrepubliken                    </t>
  </si>
  <si>
    <t xml:space="preserve">Elfenbenskusten                          </t>
  </si>
  <si>
    <t xml:space="preserve">Chile                                    </t>
  </si>
  <si>
    <t xml:space="preserve">Kamerun                                  </t>
  </si>
  <si>
    <t xml:space="preserve">Kina                                     </t>
  </si>
  <si>
    <t xml:space="preserve">Colombia                                 </t>
  </si>
  <si>
    <t xml:space="preserve">Costa Rica                               </t>
  </si>
  <si>
    <t xml:space="preserve">Cuba                                     </t>
  </si>
  <si>
    <t xml:space="preserve">Kap Verde                                </t>
  </si>
  <si>
    <t xml:space="preserve">Cypern                                   </t>
  </si>
  <si>
    <t xml:space="preserve">Tjeckien                                 </t>
  </si>
  <si>
    <t xml:space="preserve">Djibouti                                 </t>
  </si>
  <si>
    <t xml:space="preserve">Dominica                                 </t>
  </si>
  <si>
    <t xml:space="preserve">Dominikanska Republiken                  </t>
  </si>
  <si>
    <t xml:space="preserve">Algeriet                                 </t>
  </si>
  <si>
    <t xml:space="preserve">Ecuador                                  </t>
  </si>
  <si>
    <t xml:space="preserve">Estland                                  </t>
  </si>
  <si>
    <t xml:space="preserve">Egypten                                  </t>
  </si>
  <si>
    <t xml:space="preserve">Eritrea                                  </t>
  </si>
  <si>
    <t xml:space="preserve">Spanien                                  </t>
  </si>
  <si>
    <t xml:space="preserve">Etiopien                                 </t>
  </si>
  <si>
    <t xml:space="preserve">Finland                                  </t>
  </si>
  <si>
    <t xml:space="preserve">Fiji                                     </t>
  </si>
  <si>
    <t xml:space="preserve">Falklandsöarna                           </t>
  </si>
  <si>
    <t xml:space="preserve">Gabon                                    </t>
  </si>
  <si>
    <t xml:space="preserve">Grenada                                  </t>
  </si>
  <si>
    <t xml:space="preserve">Georgien                                 </t>
  </si>
  <si>
    <t xml:space="preserve">Guernsey                                 </t>
  </si>
  <si>
    <t xml:space="preserve">Ghana                                    </t>
  </si>
  <si>
    <t xml:space="preserve">Gibraltar                                </t>
  </si>
  <si>
    <t xml:space="preserve">Gambia                                   </t>
  </si>
  <si>
    <t xml:space="preserve">Guinea                                   </t>
  </si>
  <si>
    <t xml:space="preserve">Ekvatorialguinea                         </t>
  </si>
  <si>
    <t xml:space="preserve">Grekland                                 </t>
  </si>
  <si>
    <t xml:space="preserve">Guatemala                                </t>
  </si>
  <si>
    <t xml:space="preserve">Guinea-Bissau                            </t>
  </si>
  <si>
    <t xml:space="preserve">Guyana                                   </t>
  </si>
  <si>
    <t xml:space="preserve">Hong Kong                                </t>
  </si>
  <si>
    <t xml:space="preserve">Honduras                                 </t>
  </si>
  <si>
    <t xml:space="preserve">Kroatien                                 </t>
  </si>
  <si>
    <t xml:space="preserve">Haiti                                    </t>
  </si>
  <si>
    <t xml:space="preserve">Ungern                                   </t>
  </si>
  <si>
    <t xml:space="preserve">Indonesien                               </t>
  </si>
  <si>
    <t xml:space="preserve">Irland                                   </t>
  </si>
  <si>
    <t xml:space="preserve">Isle of Man                              </t>
  </si>
  <si>
    <t xml:space="preserve">Indien                                   </t>
  </si>
  <si>
    <t xml:space="preserve">Irak                                     </t>
  </si>
  <si>
    <t xml:space="preserve">Iran                                     </t>
  </si>
  <si>
    <t xml:space="preserve">Island                                   </t>
  </si>
  <si>
    <t xml:space="preserve">Jersey                                   </t>
  </si>
  <si>
    <t xml:space="preserve">Jamaica                                  </t>
  </si>
  <si>
    <t xml:space="preserve">Japan                                    </t>
  </si>
  <si>
    <t xml:space="preserve">Kenya                                    </t>
  </si>
  <si>
    <t xml:space="preserve">Kirgizistan                              </t>
  </si>
  <si>
    <t xml:space="preserve">Kambodja                                 </t>
  </si>
  <si>
    <t xml:space="preserve">Kiribati                                 </t>
  </si>
  <si>
    <t xml:space="preserve">Comorerna                                </t>
  </si>
  <si>
    <t xml:space="preserve">Nordkorea                                </t>
  </si>
  <si>
    <t xml:space="preserve">Sydkorea                                 </t>
  </si>
  <si>
    <t xml:space="preserve">Kuwait                                   </t>
  </si>
  <si>
    <t xml:space="preserve">Caymanöarna                              </t>
  </si>
  <si>
    <t xml:space="preserve">Kazakstan                                </t>
  </si>
  <si>
    <t xml:space="preserve">Laos                                     </t>
  </si>
  <si>
    <t xml:space="preserve">Libanon                                  </t>
  </si>
  <si>
    <t xml:space="preserve">Liechtenstein                            </t>
  </si>
  <si>
    <t xml:space="preserve">Sri Lanka                                </t>
  </si>
  <si>
    <t xml:space="preserve">Liberia                                  </t>
  </si>
  <si>
    <t xml:space="preserve">Lesotho                                  </t>
  </si>
  <si>
    <t xml:space="preserve">Litauen                                  </t>
  </si>
  <si>
    <t xml:space="preserve">Luxemburg                                </t>
  </si>
  <si>
    <t xml:space="preserve">Lettland                                 </t>
  </si>
  <si>
    <t xml:space="preserve">Libyen                                   </t>
  </si>
  <si>
    <t xml:space="preserve">Marocko                                  </t>
  </si>
  <si>
    <t xml:space="preserve">Monaco                                   </t>
  </si>
  <si>
    <t xml:space="preserve">Madagaskar                               </t>
  </si>
  <si>
    <t xml:space="preserve">Makedonien                               </t>
  </si>
  <si>
    <t xml:space="preserve">Mali                                     </t>
  </si>
  <si>
    <t xml:space="preserve">Myanmar                                  </t>
  </si>
  <si>
    <t xml:space="preserve">Mongoliet                                </t>
  </si>
  <si>
    <t xml:space="preserve">Macao                                    </t>
  </si>
  <si>
    <t xml:space="preserve">Mauritanien                              </t>
  </si>
  <si>
    <t xml:space="preserve">Malta                                    </t>
  </si>
  <si>
    <t xml:space="preserve">Mauritius                                </t>
  </si>
  <si>
    <t xml:space="preserve"> Gulmarkerade celler ska inte fyllas i utan hämtas automatiskt ifrån specifikationsflikarna</t>
  </si>
  <si>
    <t xml:space="preserve">Maldiverna                               </t>
  </si>
  <si>
    <t xml:space="preserve">Malawi                                   </t>
  </si>
  <si>
    <t xml:space="preserve">Mexico                                   </t>
  </si>
  <si>
    <t xml:space="preserve">Mozambique                               </t>
  </si>
  <si>
    <t xml:space="preserve">Namibia                                  </t>
  </si>
  <si>
    <t xml:space="preserve">Nya Kaledonien                           </t>
  </si>
  <si>
    <t xml:space="preserve">Niger                                    </t>
  </si>
  <si>
    <t xml:space="preserve">Nigeria                                  </t>
  </si>
  <si>
    <t xml:space="preserve">Nicaragua                                </t>
  </si>
  <si>
    <t xml:space="preserve">Holland                                  </t>
  </si>
  <si>
    <t xml:space="preserve">Norge                                    </t>
  </si>
  <si>
    <t xml:space="preserve">Nepal                                    </t>
  </si>
  <si>
    <t xml:space="preserve">Nauru                                    </t>
  </si>
  <si>
    <t xml:space="preserve">Nya Zeeland                              </t>
  </si>
  <si>
    <t xml:space="preserve">Oman                                     </t>
  </si>
  <si>
    <t xml:space="preserve">Panama                                   </t>
  </si>
  <si>
    <t xml:space="preserve">Peru                                     </t>
  </si>
  <si>
    <t xml:space="preserve">Franska Polynesien                       </t>
  </si>
  <si>
    <t xml:space="preserve">Filippinerna                             </t>
  </si>
  <si>
    <t xml:space="preserve">Pakistan                                 </t>
  </si>
  <si>
    <t xml:space="preserve">Polen                                    </t>
  </si>
  <si>
    <t xml:space="preserve">Portugal                                 </t>
  </si>
  <si>
    <t xml:space="preserve">Paraguay                                 </t>
  </si>
  <si>
    <t xml:space="preserve">Qatar                                    </t>
  </si>
  <si>
    <t xml:space="preserve">Ryssland                                 </t>
  </si>
  <si>
    <t xml:space="preserve">Ruanda                                   </t>
  </si>
  <si>
    <t xml:space="preserve">Saudiarabien                             </t>
  </si>
  <si>
    <t xml:space="preserve">Salomonöarna                             </t>
  </si>
  <si>
    <t xml:space="preserve">Seychellerna                             </t>
  </si>
  <si>
    <t xml:space="preserve">Sudan                                    </t>
  </si>
  <si>
    <t xml:space="preserve">Singapore                                </t>
  </si>
  <si>
    <t xml:space="preserve">Slovenien                                </t>
  </si>
  <si>
    <t xml:space="preserve">Slovakien                                </t>
  </si>
  <si>
    <t xml:space="preserve">Sierra Leone                             </t>
  </si>
  <si>
    <t xml:space="preserve">Senegal                                  </t>
  </si>
  <si>
    <t xml:space="preserve">Somalia                                  </t>
  </si>
  <si>
    <t xml:space="preserve">Surinam                                  </t>
  </si>
  <si>
    <t xml:space="preserve">São Tomé och Príncipe                    </t>
  </si>
  <si>
    <t xml:space="preserve">El Salvador                              </t>
  </si>
  <si>
    <t xml:space="preserve">Syrien                                   </t>
  </si>
  <si>
    <t xml:space="preserve">Swaziland                                </t>
  </si>
  <si>
    <t xml:space="preserve">Turks och Caicosöarna                    </t>
  </si>
  <si>
    <t xml:space="preserve">Tchad                                    </t>
  </si>
  <si>
    <t xml:space="preserve">Togo                                     </t>
  </si>
  <si>
    <t xml:space="preserve">Thailand                                 </t>
  </si>
  <si>
    <t xml:space="preserve">Tadzjikistan                             </t>
  </si>
  <si>
    <t xml:space="preserve">Turkmenistan                             </t>
  </si>
  <si>
    <t xml:space="preserve">Tunisien                                 </t>
  </si>
  <si>
    <t xml:space="preserve">Tonga                                    </t>
  </si>
  <si>
    <t xml:space="preserve">Turkiet                                  </t>
  </si>
  <si>
    <t xml:space="preserve">Trinidad och Tobago                      </t>
  </si>
  <si>
    <t xml:space="preserve">Tuvalu                                   </t>
  </si>
  <si>
    <t xml:space="preserve">Taiwan                                   </t>
  </si>
  <si>
    <t xml:space="preserve">Tanzania                                 </t>
  </si>
  <si>
    <t xml:space="preserve">Övriga EU                                </t>
  </si>
  <si>
    <t xml:space="preserve">Utlandet exkl. EU                        </t>
  </si>
  <si>
    <t xml:space="preserve">EMU                                      </t>
  </si>
  <si>
    <t xml:space="preserve">Utlandet exkl. EMU                       </t>
  </si>
  <si>
    <t xml:space="preserve">Övriga EU utom EMU                       </t>
  </si>
  <si>
    <t xml:space="preserve">BIS-rapportörer                          </t>
  </si>
  <si>
    <t xml:space="preserve">Industriländer                           </t>
  </si>
  <si>
    <t xml:space="preserve">Övriga rapporterande länder              </t>
  </si>
  <si>
    <t xml:space="preserve">Övriga Västeuropa                        </t>
  </si>
  <si>
    <t xml:space="preserve">Övriga industriländer                    </t>
  </si>
  <si>
    <t xml:space="preserve">Östeuropa                                </t>
  </si>
  <si>
    <t xml:space="preserve">Övriga Karibiska området                 </t>
  </si>
  <si>
    <t xml:space="preserve">Latinamerika                             </t>
  </si>
  <si>
    <t xml:space="preserve">Övriga Mellersta Östern                  </t>
  </si>
  <si>
    <t xml:space="preserve">Övriga Afrika                            </t>
  </si>
  <si>
    <t xml:space="preserve">Övriga Asien                             </t>
  </si>
  <si>
    <t xml:space="preserve">Internationella institutioner            </t>
  </si>
  <si>
    <t xml:space="preserve">Ukraina                                  </t>
  </si>
  <si>
    <t xml:space="preserve">Uganda                                   </t>
  </si>
  <si>
    <t xml:space="preserve">USA                                      </t>
  </si>
  <si>
    <t xml:space="preserve">Uruguay                                  </t>
  </si>
  <si>
    <t xml:space="preserve">Uzbekistan                               </t>
  </si>
  <si>
    <t xml:space="preserve">Vatikanstaten                            </t>
  </si>
  <si>
    <t xml:space="preserve">Venezuela                                </t>
  </si>
  <si>
    <t xml:space="preserve">Vietnam                                  </t>
  </si>
  <si>
    <t xml:space="preserve">Vanuatu                                  </t>
  </si>
  <si>
    <t xml:space="preserve">Wallis, Futuna                           </t>
  </si>
  <si>
    <t xml:space="preserve">Västsamoa                                </t>
  </si>
  <si>
    <t xml:space="preserve">Ofördelat                                </t>
  </si>
  <si>
    <t xml:space="preserve">Yemen                                    </t>
  </si>
  <si>
    <t xml:space="preserve">Sydafrika                                </t>
  </si>
  <si>
    <t xml:space="preserve">Zambia                                   </t>
  </si>
  <si>
    <t xml:space="preserve">Zimbabwe                                 </t>
  </si>
  <si>
    <t xml:space="preserve">BEF                                      </t>
  </si>
  <si>
    <t xml:space="preserve">CHF                                      </t>
  </si>
  <si>
    <t xml:space="preserve">DEM                                      </t>
  </si>
  <si>
    <t xml:space="preserve">DKK                                      </t>
  </si>
  <si>
    <t xml:space="preserve">Euro och EMU-valutor                     </t>
  </si>
  <si>
    <t xml:space="preserve">FRF                                      </t>
  </si>
  <si>
    <t xml:space="preserve">GBP                                      </t>
  </si>
  <si>
    <t xml:space="preserve">ITL                                      </t>
  </si>
  <si>
    <t xml:space="preserve">JPY                                      </t>
  </si>
  <si>
    <t xml:space="preserve">NLG                                      </t>
  </si>
  <si>
    <t xml:space="preserve">Övriga valutor                           </t>
  </si>
  <si>
    <t xml:space="preserve">SEK                                      </t>
  </si>
  <si>
    <t xml:space="preserve">USD                                      </t>
  </si>
  <si>
    <t xml:space="preserve">Valutor, totalt                          </t>
  </si>
  <si>
    <t xml:space="preserve">Utländsk valuta                          </t>
  </si>
  <si>
    <t xml:space="preserve">EU-valutor andra än SEK                  </t>
  </si>
  <si>
    <t xml:space="preserve">EU-valutor andra än SEK och Euro mm      </t>
  </si>
  <si>
    <t xml:space="preserve">Utländska valutor, ej EU                 </t>
  </si>
  <si>
    <t xml:space="preserve">Utländska valutor utom Euro mm, USD, JPY </t>
  </si>
  <si>
    <t>VALFRI</t>
  </si>
  <si>
    <t xml:space="preserve">BIS-Industriländer                       </t>
  </si>
  <si>
    <t xml:space="preserve">Bosnien - Herzegovina                    </t>
  </si>
  <si>
    <t xml:space="preserve">British Overseas Territories             </t>
  </si>
  <si>
    <t xml:space="preserve">Danmark (exkl. Färöarna och Grönland)    </t>
  </si>
  <si>
    <t xml:space="preserve">Danmark inkl. Färöarna och Grönland      </t>
  </si>
  <si>
    <t xml:space="preserve">ECB                                      </t>
  </si>
  <si>
    <t xml:space="preserve">EURO                                     </t>
  </si>
  <si>
    <t xml:space="preserve">Frankrike (inkl. Monaco)                 </t>
  </si>
  <si>
    <t xml:space="preserve">Frankrike exkl. Monaco                   </t>
  </si>
  <si>
    <t xml:space="preserve">Färöarna                                 </t>
  </si>
  <si>
    <t xml:space="preserve">Före detta Sovjetunionen                 </t>
  </si>
  <si>
    <t xml:space="preserve">Före detta Tjeckoslovakien               </t>
  </si>
  <si>
    <t xml:space="preserve">Före detta Östtyskland                   </t>
  </si>
  <si>
    <t xml:space="preserve">Grönland                                 </t>
  </si>
  <si>
    <t xml:space="preserve">Internationella organisationer (exkl. BI </t>
  </si>
  <si>
    <t xml:space="preserve">Israel (exkl. Palestina)                 </t>
  </si>
  <si>
    <t xml:space="preserve">Israel inkl. Palestina                   </t>
  </si>
  <si>
    <t xml:space="preserve">Italien (exkl. San Marino)               </t>
  </si>
  <si>
    <t xml:space="preserve">Italien inkl. San Marino                 </t>
  </si>
  <si>
    <t xml:space="preserve">Jordan                                   </t>
  </si>
  <si>
    <t xml:space="preserve">Jugoslavien (Serbien och Montenegro)     </t>
  </si>
  <si>
    <t xml:space="preserve">Malaysien                                </t>
  </si>
  <si>
    <t xml:space="preserve">Moldovien                                </t>
  </si>
  <si>
    <t>Omvända repor och repor ska redovisas separat på denna spec och B1. Vissa skulder, dvs. ej nettoredovisas.</t>
  </si>
  <si>
    <t>Repor och omvända repor ska redovisas separat på denna spec och A1. Tillgångar, dvs. ej nettoredovisas.</t>
  </si>
  <si>
    <t xml:space="preserve">Offshore centers                         </t>
  </si>
  <si>
    <t xml:space="preserve">Ofördelat Totalt                         </t>
  </si>
  <si>
    <t xml:space="preserve">Palestina                                </t>
  </si>
  <si>
    <t xml:space="preserve">Papua New Guinea                         </t>
  </si>
  <si>
    <t xml:space="preserve">Residual Afrika och Mellersta Östern     </t>
  </si>
  <si>
    <t xml:space="preserve">Residual Asien och Stilla havet          </t>
  </si>
  <si>
    <t xml:space="preserve">Residual Europa (inkl. IBEC)             </t>
  </si>
  <si>
    <t xml:space="preserve">Residual före detta Jugoslavien          </t>
  </si>
  <si>
    <t xml:space="preserve">Residual före detta Sovjet Unionen       </t>
  </si>
  <si>
    <t xml:space="preserve">Residual före detta Tjeckoslovakien      </t>
  </si>
  <si>
    <t xml:space="preserve">Residual Latinamerika och Karibien       </t>
  </si>
  <si>
    <t xml:space="preserve">Rumänien                                 </t>
  </si>
  <si>
    <t xml:space="preserve">San Marino                               </t>
  </si>
  <si>
    <t xml:space="preserve">Schweiz (inkl. BIS)                      </t>
  </si>
  <si>
    <t xml:space="preserve">St. Helena                               </t>
  </si>
  <si>
    <t xml:space="preserve">St. Lucia                                </t>
  </si>
  <si>
    <t xml:space="preserve">St. Vincent                              </t>
  </si>
  <si>
    <t xml:space="preserve">Storbritannien (exkl. Guernsey, Isle of  </t>
  </si>
  <si>
    <t xml:space="preserve">Storbritannien (inkl. Guernsey, Isle of  </t>
  </si>
  <si>
    <t xml:space="preserve">Sverige och utlandet utom EU             </t>
  </si>
  <si>
    <t xml:space="preserve">Sverige/Inlänningar                      </t>
  </si>
  <si>
    <t xml:space="preserve">Totalt                                   </t>
  </si>
  <si>
    <t xml:space="preserve">Tyskland (inkl. ECB)                     </t>
  </si>
  <si>
    <t xml:space="preserve">USA-besittningar i Stilla havet          </t>
  </si>
  <si>
    <t xml:space="preserve">Utlandet Totalt/Utlänningar              </t>
  </si>
  <si>
    <t xml:space="preserve">Utvecklingsländer i  Asien och Stilla ha </t>
  </si>
  <si>
    <t xml:space="preserve">Utvecklingsländer i  Latinamerika och Ka </t>
  </si>
  <si>
    <t xml:space="preserve">Utvecklingsländer i Afrika och Mellersta </t>
  </si>
  <si>
    <t xml:space="preserve">Utvecklingsländer i Europa               </t>
  </si>
  <si>
    <t xml:space="preserve">Västindien UK                            </t>
  </si>
  <si>
    <t xml:space="preserve">AF                   </t>
  </si>
  <si>
    <t xml:space="preserve">AL                   </t>
  </si>
  <si>
    <t xml:space="preserve">DZ                   </t>
  </si>
  <si>
    <t xml:space="preserve">AD                   </t>
  </si>
  <si>
    <t xml:space="preserve">AO                   </t>
  </si>
  <si>
    <t xml:space="preserve">AR                   </t>
  </si>
  <si>
    <t xml:space="preserve">AM                   </t>
  </si>
  <si>
    <t xml:space="preserve">AW                   </t>
  </si>
  <si>
    <t xml:space="preserve">AU                   </t>
  </si>
  <si>
    <t xml:space="preserve">AZ                   </t>
  </si>
  <si>
    <t xml:space="preserve">BS                   </t>
  </si>
  <si>
    <t xml:space="preserve">BH                   </t>
  </si>
  <si>
    <t xml:space="preserve">BD                   </t>
  </si>
  <si>
    <t xml:space="preserve">BB                   </t>
  </si>
  <si>
    <t xml:space="preserve">BE                   </t>
  </si>
  <si>
    <t xml:space="preserve">BZ                   </t>
  </si>
  <si>
    <t xml:space="preserve">BJ                   </t>
  </si>
  <si>
    <t xml:space="preserve">BM                   </t>
  </si>
  <si>
    <t xml:space="preserve">BT                   </t>
  </si>
  <si>
    <t xml:space="preserve">7B                   </t>
  </si>
  <si>
    <t xml:space="preserve">7A                   </t>
  </si>
  <si>
    <t xml:space="preserve">BO                   </t>
  </si>
  <si>
    <t xml:space="preserve">BA                   </t>
  </si>
  <si>
    <t xml:space="preserve">BW                   </t>
  </si>
  <si>
    <t xml:space="preserve">BR                   </t>
  </si>
  <si>
    <t xml:space="preserve">1W                   </t>
  </si>
  <si>
    <t xml:space="preserve">BN                   </t>
  </si>
  <si>
    <t xml:space="preserve">BG                   </t>
  </si>
  <si>
    <t xml:space="preserve">BF                   </t>
  </si>
  <si>
    <t xml:space="preserve">BI                   </t>
  </si>
  <si>
    <t xml:space="preserve">KY                   </t>
  </si>
  <si>
    <t xml:space="preserve">CF                   </t>
  </si>
  <si>
    <t xml:space="preserve">CL                   </t>
  </si>
  <si>
    <t xml:space="preserve">CO                   </t>
  </si>
  <si>
    <t xml:space="preserve">KM                   </t>
  </si>
  <si>
    <t xml:space="preserve">CR                   </t>
  </si>
  <si>
    <t xml:space="preserve">CU                   </t>
  </si>
  <si>
    <t xml:space="preserve">CY                   </t>
  </si>
  <si>
    <t xml:space="preserve">DK                   </t>
  </si>
  <si>
    <t xml:space="preserve">2C                   </t>
  </si>
  <si>
    <t xml:space="preserve">CD                   </t>
  </si>
  <si>
    <t xml:space="preserve">DJ                   </t>
  </si>
  <si>
    <t xml:space="preserve">DM                   </t>
  </si>
  <si>
    <t xml:space="preserve">DO                   </t>
  </si>
  <si>
    <t xml:space="preserve">1X                   </t>
  </si>
  <si>
    <t xml:space="preserve">EC                   </t>
  </si>
  <si>
    <t xml:space="preserve">EG                   </t>
  </si>
  <si>
    <t xml:space="preserve">GQ                   </t>
  </si>
  <si>
    <t xml:space="preserve">SV                   </t>
  </si>
  <si>
    <t xml:space="preserve">CI                   </t>
  </si>
  <si>
    <t xml:space="preserve">5C                   </t>
  </si>
  <si>
    <t xml:space="preserve">ER                   </t>
  </si>
  <si>
    <t xml:space="preserve">EE                   </t>
  </si>
  <si>
    <t xml:space="preserve">ET                   </t>
  </si>
  <si>
    <t xml:space="preserve">5D                   </t>
  </si>
  <si>
    <t xml:space="preserve">FK                   </t>
  </si>
  <si>
    <t xml:space="preserve">FJ                   </t>
  </si>
  <si>
    <t xml:space="preserve">PH                   </t>
  </si>
  <si>
    <t xml:space="preserve">FI                   </t>
  </si>
  <si>
    <t xml:space="preserve">FR                   </t>
  </si>
  <si>
    <t xml:space="preserve">2D                   </t>
  </si>
  <si>
    <t xml:space="preserve">PF                   </t>
  </si>
  <si>
    <t xml:space="preserve">FO                   </t>
  </si>
  <si>
    <t xml:space="preserve">SU                   </t>
  </si>
  <si>
    <t xml:space="preserve">CS                   </t>
  </si>
  <si>
    <t xml:space="preserve">DD                   </t>
  </si>
  <si>
    <t xml:space="preserve">AE                   </t>
  </si>
  <si>
    <t xml:space="preserve">GA                   </t>
  </si>
  <si>
    <t xml:space="preserve">GM                   </t>
  </si>
  <si>
    <t xml:space="preserve">GE                   </t>
  </si>
  <si>
    <t xml:space="preserve">GH                   </t>
  </si>
  <si>
    <t xml:space="preserve">GI                   </t>
  </si>
  <si>
    <t xml:space="preserve">GR                   </t>
  </si>
  <si>
    <t xml:space="preserve">GD                   </t>
  </si>
  <si>
    <t xml:space="preserve">GL                   </t>
  </si>
  <si>
    <t xml:space="preserve">GT                   </t>
  </si>
  <si>
    <t xml:space="preserve">GG                   </t>
  </si>
  <si>
    <t xml:space="preserve">GN                   </t>
  </si>
  <si>
    <t xml:space="preserve">GW                   </t>
  </si>
  <si>
    <t xml:space="preserve">GY                   </t>
  </si>
  <si>
    <t xml:space="preserve">HT                   </t>
  </si>
  <si>
    <t xml:space="preserve">NL                   </t>
  </si>
  <si>
    <t xml:space="preserve">HN                   </t>
  </si>
  <si>
    <t xml:space="preserve">HK                   </t>
  </si>
  <si>
    <t xml:space="preserve">IN                   </t>
  </si>
  <si>
    <t xml:space="preserve">ID                   </t>
  </si>
  <si>
    <t xml:space="preserve">5R                   </t>
  </si>
  <si>
    <t xml:space="preserve">1F                   </t>
  </si>
  <si>
    <t xml:space="preserve">1C                   </t>
  </si>
  <si>
    <t xml:space="preserve">IQ                   </t>
  </si>
  <si>
    <t xml:space="preserve">IR                   </t>
  </si>
  <si>
    <t xml:space="preserve">IE                   </t>
  </si>
  <si>
    <t xml:space="preserve">IS                   </t>
  </si>
  <si>
    <t xml:space="preserve">IM                   </t>
  </si>
  <si>
    <t xml:space="preserve">IL                   </t>
  </si>
  <si>
    <t xml:space="preserve">2G                   </t>
  </si>
  <si>
    <t xml:space="preserve">IT                   </t>
  </si>
  <si>
    <t xml:space="preserve">2F                   </t>
  </si>
  <si>
    <t xml:space="preserve">JM                   </t>
  </si>
  <si>
    <t xml:space="preserve">JP                   </t>
  </si>
  <si>
    <t xml:space="preserve">JE                   </t>
  </si>
  <si>
    <t xml:space="preserve">JO                   </t>
  </si>
  <si>
    <t xml:space="preserve">YU                   </t>
  </si>
  <si>
    <t xml:space="preserve">KH                   </t>
  </si>
  <si>
    <t xml:space="preserve">CM                   </t>
  </si>
  <si>
    <t xml:space="preserve">CA                   </t>
  </si>
  <si>
    <t xml:space="preserve">CV                   </t>
  </si>
  <si>
    <t xml:space="preserve">KZ                   </t>
  </si>
  <si>
    <t xml:space="preserve">KE                   </t>
  </si>
  <si>
    <t xml:space="preserve">CN                   </t>
  </si>
  <si>
    <t xml:space="preserve">KG                   </t>
  </si>
  <si>
    <t>Kapitalplaceringar, skulder och kapitalavkastning</t>
  </si>
  <si>
    <t>Här lämnade uppgifter erhåller sekretesskydd för Finansinspektionen enligt 8 kap 5§ och för Statistiska centralbyrån enligt 9 kap 4§ sekretesslagen (SFS 1980:100)</t>
  </si>
  <si>
    <t>Användare. Finansinspektionen, Sveriges Riksbank,</t>
  </si>
  <si>
    <t>Statistiska Centralbyrån (SCB)</t>
  </si>
  <si>
    <t>A1. Kapitalplaceringar</t>
  </si>
  <si>
    <t xml:space="preserve">Nettotransaktioner under perioden </t>
  </si>
  <si>
    <t>Marknadsvärde</t>
  </si>
  <si>
    <r>
      <t xml:space="preserve">Penningmarknadsinstrument </t>
    </r>
    <r>
      <rPr>
        <i/>
        <sz val="10"/>
        <rFont val="Arial"/>
        <family val="2"/>
      </rPr>
      <t>(länk Spec A2)</t>
    </r>
  </si>
  <si>
    <r>
      <t>Obligationer</t>
    </r>
    <r>
      <rPr>
        <i/>
        <sz val="10"/>
        <rFont val="Arial"/>
        <family val="2"/>
      </rPr>
      <t xml:space="preserve"> (länk Spec A3)</t>
    </r>
  </si>
  <si>
    <r>
      <t xml:space="preserve">Förlagsbevis och konverteringslån </t>
    </r>
    <r>
      <rPr>
        <i/>
        <sz val="10"/>
        <rFont val="Arial"/>
        <family val="2"/>
      </rPr>
      <t>(länk Spec A4)</t>
    </r>
  </si>
  <si>
    <r>
      <t xml:space="preserve">Aktier och andelar </t>
    </r>
    <r>
      <rPr>
        <i/>
        <sz val="10"/>
        <rFont val="Arial"/>
        <family val="2"/>
      </rPr>
      <t>(länk Spec A5)</t>
    </r>
  </si>
  <si>
    <r>
      <t xml:space="preserve">Lån </t>
    </r>
    <r>
      <rPr>
        <i/>
        <sz val="10"/>
        <rFont val="Arial"/>
        <family val="2"/>
      </rPr>
      <t>(länk Spec A6)</t>
    </r>
  </si>
  <si>
    <r>
      <t xml:space="preserve">Byggnader och mark </t>
    </r>
    <r>
      <rPr>
        <i/>
        <sz val="10"/>
        <rFont val="Arial"/>
        <family val="2"/>
      </rPr>
      <t>(länk Spec A7)</t>
    </r>
  </si>
  <si>
    <r>
      <t xml:space="preserve">Derivat med positiva marknadsvärden </t>
    </r>
    <r>
      <rPr>
        <i/>
        <sz val="10"/>
        <rFont val="Arial"/>
        <family val="2"/>
      </rPr>
      <t>(länk Spec A8)</t>
    </r>
  </si>
  <si>
    <t>Repor *)</t>
  </si>
  <si>
    <r>
      <t>Kassa, banktillgodohavanden</t>
    </r>
    <r>
      <rPr>
        <i/>
        <sz val="10"/>
        <rFont val="Arial"/>
        <family val="2"/>
      </rPr>
      <t xml:space="preserve"> (summa 9.1 : 9.2)</t>
    </r>
  </si>
  <si>
    <t>9.1</t>
  </si>
  <si>
    <t>9.2</t>
  </si>
  <si>
    <t>Upplupna ränteintäkter</t>
  </si>
  <si>
    <t>Upplupna hyresintäkter</t>
  </si>
  <si>
    <t>12.</t>
  </si>
  <si>
    <t>Övriga finansiella placeringar</t>
  </si>
  <si>
    <t>13.</t>
  </si>
  <si>
    <t>Summa Kapitalplaceringar</t>
  </si>
  <si>
    <t>14.</t>
  </si>
  <si>
    <t xml:space="preserve">*) </t>
  </si>
  <si>
    <t xml:space="preserve">Erlagd köpeskilling från s.k. äkta återköpsavtal (repor). </t>
  </si>
  <si>
    <t>A2. Penningmarknadsinstrument</t>
  </si>
  <si>
    <t>Emittent</t>
  </si>
  <si>
    <t>Svenska låntagare i SEK</t>
  </si>
  <si>
    <t>Utländska låntagare i SEK</t>
  </si>
  <si>
    <t>Svenska låntagare i utländsk valuta</t>
  </si>
  <si>
    <t>Utländska låntagare i utländsk valuta</t>
  </si>
  <si>
    <t>Summa Penningmarknadsinstrument</t>
  </si>
  <si>
    <t>Specifikation av beloppen på rad 1. och 3. Belopp i tkr.</t>
  </si>
  <si>
    <t>Kommuner och landsting</t>
  </si>
  <si>
    <t>Banker (MFI)</t>
  </si>
  <si>
    <t>Bostadsinstitut (MFI)</t>
  </si>
  <si>
    <t>Övriga MFI</t>
  </si>
  <si>
    <t>Summa Svenska lånt i SEK och utl val</t>
  </si>
  <si>
    <t>A3. Obligationer</t>
  </si>
  <si>
    <t>Summa Obligationer</t>
  </si>
  <si>
    <t>15.</t>
  </si>
  <si>
    <t>16.</t>
  </si>
  <si>
    <t>17.</t>
  </si>
  <si>
    <t>A4. Förlagsbevis och konverteringslån</t>
  </si>
  <si>
    <t>Förlagsbevis och konverteringslån (inklusive partial - och lånebevis). Belopp i tkr.</t>
  </si>
  <si>
    <t>Svenska MFI</t>
  </si>
  <si>
    <t>Summa Förlagsbevis och konverteringslån</t>
  </si>
  <si>
    <t>A5. Aktier och andelar</t>
  </si>
  <si>
    <t>Aktier och andelar. Belopp i tkr.</t>
  </si>
  <si>
    <r>
      <t xml:space="preserve">Svenska aktier noterade </t>
    </r>
    <r>
      <rPr>
        <i/>
        <sz val="10"/>
        <rFont val="Arial"/>
        <family val="2"/>
      </rPr>
      <t>(summa 1.1 : 1.2)</t>
    </r>
  </si>
  <si>
    <r>
      <t xml:space="preserve">Svenska aktier ej noterade </t>
    </r>
    <r>
      <rPr>
        <i/>
        <sz val="10"/>
        <rFont val="Arial"/>
        <family val="2"/>
      </rPr>
      <t>(summa 2.1 : 2.2)</t>
    </r>
  </si>
  <si>
    <t>Utländska noterade aktier *</t>
  </si>
  <si>
    <t xml:space="preserve">Utländska ej noterade aktier </t>
  </si>
  <si>
    <t xml:space="preserve">  Registrerade i Sverige</t>
  </si>
  <si>
    <t xml:space="preserve">  Registrerade i utlandet</t>
  </si>
  <si>
    <r>
      <t xml:space="preserve">Teckningsoptioner och andra ägarandelar** </t>
    </r>
    <r>
      <rPr>
        <i/>
        <sz val="10"/>
        <rFont val="Arial"/>
        <family val="2"/>
      </rPr>
      <t>(summa 6.1 : 6.2)</t>
    </r>
  </si>
  <si>
    <t xml:space="preserve">  Sverige</t>
  </si>
  <si>
    <t xml:space="preserve">  Utlandet</t>
  </si>
  <si>
    <t xml:space="preserve">Summa Aktier och andelar </t>
  </si>
  <si>
    <t xml:space="preserve">  Varav aktier i helägda fastighetsbolag</t>
  </si>
  <si>
    <t xml:space="preserve">  Varav fondtillgångar där livförsäkringstagaren bär placeringsrisken (fondförsäkring)</t>
  </si>
  <si>
    <t xml:space="preserve">  Varav placeringar i korta och långa räntefonder</t>
  </si>
  <si>
    <t xml:space="preserve"> Gulmarkerade celler ska inte fyllas i utan autosummeras</t>
  </si>
  <si>
    <t>Rad 3. Utländska bolag innefattar även depåbevis och utländska bolags parallellnotering på svensk marknadsplats</t>
  </si>
  <si>
    <t xml:space="preserve">**) </t>
  </si>
  <si>
    <t>Rad 6. Andra ägarandelar, exempelvis i riskkapitalfonder</t>
  </si>
  <si>
    <t>A6. Lån</t>
  </si>
  <si>
    <t>Låntagare</t>
  </si>
  <si>
    <t>Lån till svenska låntagare i SEK</t>
  </si>
  <si>
    <t>Lån till utländska låntagare i SEK</t>
  </si>
  <si>
    <t>Lån till svenska låntagare i utländsk valuta</t>
  </si>
  <si>
    <t>Lån till utländska låntagare i utländsk valuta</t>
  </si>
  <si>
    <t>Summa Lån *)</t>
  </si>
  <si>
    <t>Summa Lån till sv lånt i SEK och utl val *)</t>
  </si>
  <si>
    <t>Lån inkluderar även livförsäkringslån</t>
  </si>
  <si>
    <t>A7. Byggnader och mark</t>
  </si>
  <si>
    <t>Direktägda byggnader och mark. Belopp i tkr.</t>
  </si>
  <si>
    <t>Summa Byggnader och mark</t>
  </si>
  <si>
    <t xml:space="preserve">  Varav för egna verksamheten</t>
  </si>
  <si>
    <t>A8. Derivat med positiva marknadsvärden</t>
  </si>
  <si>
    <t>Derivat med underliggande tillgång aktier och andelar</t>
  </si>
  <si>
    <t>Derivat med underliggande tillgång räntebärande papper</t>
  </si>
  <si>
    <t>Derivat med underliggande tillgång valuta</t>
  </si>
  <si>
    <t>Derivat med övriga underliggande tillgångar</t>
  </si>
  <si>
    <t>Summa Derivat med positiva marknadsvärden *)</t>
  </si>
  <si>
    <t xml:space="preserve">  Varav kontrakt med svenska motparter **)</t>
  </si>
  <si>
    <t>Omfattar de derivat som redovisas på balansräkningen. Uppgifterna avser värdet på själva derivatkontraktet och ej värdet på underliggande tillgång.</t>
  </si>
  <si>
    <t>Derivatets motpart avser derivatavtalets motpart, inte handelsmotpart (köpare/säljare) eller utgivare av underliggande instrument.</t>
  </si>
  <si>
    <t>B1. Vissa skulder</t>
  </si>
  <si>
    <t>Vissa skulder. Belopp i tkr.</t>
  </si>
  <si>
    <t>Skulder till svenska MFI</t>
  </si>
  <si>
    <t>Skulder till övriga svenska långivare</t>
  </si>
  <si>
    <t>Skulder till utländska långivare</t>
  </si>
  <si>
    <t>Omvända repor *)</t>
  </si>
  <si>
    <r>
      <t xml:space="preserve">Derivat med negativa marknadsvärden </t>
    </r>
    <r>
      <rPr>
        <i/>
        <sz val="10"/>
        <rFont val="Arial"/>
        <family val="2"/>
      </rPr>
      <t>(länk Spec B2)</t>
    </r>
  </si>
  <si>
    <t xml:space="preserve">Erhållen köpeskilling från s.k. äkta återköpsavtal (repor). </t>
  </si>
  <si>
    <t>B2. Derivat med negativa marknadsvärden</t>
  </si>
  <si>
    <t>Derivat med negativa marknadsvärden. Belopp i tkr.</t>
  </si>
  <si>
    <t>Summa Derivat med negativa marknadsvärden *)</t>
  </si>
  <si>
    <t>C. Avkastning</t>
  </si>
  <si>
    <t>Avkastning. Belopp i tkr.</t>
  </si>
  <si>
    <t>Ackumulerade värden från årets början</t>
  </si>
  <si>
    <t>Hyresintäkter och andra intäkter från byggnader och mark</t>
  </si>
  <si>
    <t>Driftskostnader från byggnader och mark *)</t>
  </si>
  <si>
    <t>Ränteintäkter m.m.</t>
  </si>
  <si>
    <t>Räntekostnader m.m. *)</t>
  </si>
  <si>
    <t>Repor, (S1) Nationell ekon</t>
  </si>
  <si>
    <t>A1. Kapitalplaceringar'!Inm_17920</t>
  </si>
  <si>
    <t>P1J1</t>
  </si>
  <si>
    <t>Hyresintäkter, (S1) Nationell ekon</t>
  </si>
  <si>
    <t>A1. Kapitalplaceringar'!Inm_17927</t>
  </si>
  <si>
    <t>P1L2</t>
  </si>
  <si>
    <t>Övriga exkl. repor, (S1) Nationell ekon</t>
  </si>
  <si>
    <t>A1. Kapitalplaceringar'!Inm_17921</t>
  </si>
  <si>
    <t>P1J2</t>
  </si>
  <si>
    <t>Summa kapitalplacer, Egna filialer i utl</t>
  </si>
  <si>
    <t>A1. Kapitalplaceringar'!Inm_17906</t>
  </si>
  <si>
    <t>EF</t>
  </si>
  <si>
    <t>A2. Penningm.instrument'!Inm_13449</t>
  </si>
  <si>
    <t>A2. Penningm.instrument'!Inm_13448</t>
  </si>
  <si>
    <t>A2. Penningm.instrument'!Inm_13513</t>
  </si>
  <si>
    <t>A2. Penningm.instrument'!Inm_13512</t>
  </si>
  <si>
    <t>A2. Penningm.instrument'!Inm_13504</t>
  </si>
  <si>
    <t>A2. Penningm.instrument'!Inm_13458</t>
  </si>
  <si>
    <t>A2. Penningm.instrument'!Inm_13457</t>
  </si>
  <si>
    <t>A2. Penningm.instrument'!Inm_13451</t>
  </si>
  <si>
    <t>A2. Penningm.instrument'!Inm_13456</t>
  </si>
  <si>
    <t>A2. Penningm.instrument'!Inm_13455</t>
  </si>
  <si>
    <t>A2. Penningm.instrument'!Inm_13454</t>
  </si>
  <si>
    <t>Penningmarknadsinst, Icke-monetära finan</t>
  </si>
  <si>
    <t>A2. Penningm.instrument'!Inm_16262</t>
  </si>
  <si>
    <t>N122</t>
  </si>
  <si>
    <t>A2. Penningm.instrument'!Inm_16254</t>
  </si>
  <si>
    <t>Penningmarknadsinst, Nek ex St,Ko,MFI,Öv</t>
  </si>
  <si>
    <t>A2. Penningm.instrument'!Inm_17876</t>
  </si>
  <si>
    <t>A2. Penningm.instrument'!Inm_17907</t>
  </si>
  <si>
    <t>A2. Penningm.instrument'!Inm_13459</t>
  </si>
  <si>
    <t>A3. Obligationer'!Inm_13447</t>
  </si>
  <si>
    <t>A3. Obligationer'!Inm_13446</t>
  </si>
  <si>
    <t>A3. Obligationer'!Inm_13511</t>
  </si>
  <si>
    <t>A3. Obligationer'!Inm_13510</t>
  </si>
  <si>
    <t>Summa kapitalplacer, (S1) Nationell ekon</t>
  </si>
  <si>
    <t>A1. Kapitalplaceringar'!Inm_11290</t>
  </si>
  <si>
    <t>A3. Obligationer'!Inm_13503</t>
  </si>
  <si>
    <t>Aktieindexobligatio, (S1) Nationell ekon</t>
  </si>
  <si>
    <t>A3. Obligationer'!Inm_17878</t>
  </si>
  <si>
    <t>P1C3</t>
  </si>
  <si>
    <t>A3. Obligationer'!Inm_17909</t>
  </si>
  <si>
    <t>A3. Obligationer'!Inm_13470</t>
  </si>
  <si>
    <t>A3. Obligationer'!Inm_13469</t>
  </si>
  <si>
    <t>A3. Obligationer'!Inm_13467</t>
  </si>
  <si>
    <t>A3. Obligationer'!Inm_13461</t>
  </si>
  <si>
    <t>A3. Obligationer'!Inm_13466</t>
  </si>
  <si>
    <t>A3. Obligationer'!Inm_13465</t>
  </si>
  <si>
    <t>A3. Obligationer'!Inm_13464</t>
  </si>
  <si>
    <t>Obligationer, Icke-monetära finan</t>
  </si>
  <si>
    <t>A3. Obligationer'!Inm_16260</t>
  </si>
  <si>
    <t>A3. Obligationer'!Inm_16257</t>
  </si>
  <si>
    <t>A3. Obligationer'!Inm_13460</t>
  </si>
  <si>
    <t>A3. Obligationer'!Inm_13468</t>
  </si>
  <si>
    <t>A3. Obligationer'!Inm_17877</t>
  </si>
  <si>
    <t>A3. Obligationer'!Inm_17908</t>
  </si>
  <si>
    <t>Förlagsbevis, 21 Monetära finansi</t>
  </si>
  <si>
    <t>A4. Förlagsbevis'!Inm_17879</t>
  </si>
  <si>
    <t>N121</t>
  </si>
  <si>
    <t>A4. Förlagsbevis'!Inm_17910</t>
  </si>
  <si>
    <t>Förlagsbevis, Icke-monetära finan</t>
  </si>
  <si>
    <t>A4. Förlagsbevis'!Inm_17880</t>
  </si>
  <si>
    <t>A4. Förlagsbevis'!Inm_17911</t>
  </si>
  <si>
    <t>Förlagsbevis, Nationell ekonomi e</t>
  </si>
  <si>
    <t>A4. Förlagsbevis'!Inm_17881</t>
  </si>
  <si>
    <t>A4. Förlagsbevis'!Inm_17912</t>
  </si>
  <si>
    <t>A4. Förlagsbevis'!Inm_13494</t>
  </si>
  <si>
    <t>A4. Förlagsbevis'!Inm_13502</t>
  </si>
  <si>
    <t>A5. Aktier och andelar'!Inm_13476</t>
  </si>
  <si>
    <t>A5. Aktier och andelar'!Inm_17885</t>
  </si>
  <si>
    <t>A5. Aktier och andelar'!Inm_17884</t>
  </si>
  <si>
    <t>A5. Aktier och andelar'!Inm_13475</t>
  </si>
  <si>
    <t>A5. Aktier och andelar'!Inm_17887</t>
  </si>
  <si>
    <t>A5. Aktier och andelar'!Inm_17886</t>
  </si>
  <si>
    <t>A5. Aktier och andelar'!Inm_13496</t>
  </si>
  <si>
    <t>A5. Aktier och andelar'!Inm_13495</t>
  </si>
  <si>
    <t>A5. Aktier och andelar'!Inm_13506</t>
  </si>
  <si>
    <t>A5. Aktier och andelar'!Inm_14115</t>
  </si>
  <si>
    <t>A5. Aktier och andelar'!Inm_14117</t>
  </si>
  <si>
    <t>A5. Aktier och andelar'!Inm_13507</t>
  </si>
  <si>
    <t>Aktier och andelar, Koncernföretag, int</t>
  </si>
  <si>
    <t>A5. Aktier och andelar'!Inm_17882</t>
  </si>
  <si>
    <t>N1A</t>
  </si>
  <si>
    <t>A5. Aktier och andelar'!Inm_17913</t>
  </si>
  <si>
    <t>Aktier och andelar, Helägda fastighetsb</t>
  </si>
  <si>
    <t>A5. Aktier och andelar'!Inm_17883</t>
  </si>
  <si>
    <t>N1A1E1</t>
  </si>
  <si>
    <t>A5. Aktier och andelar'!Inm_17914</t>
  </si>
  <si>
    <t>Fondförsäkring, 216+222 Värdepapper</t>
  </si>
  <si>
    <t>A5. Aktier och andelar'!Inm_17891</t>
  </si>
  <si>
    <t>P1E31</t>
  </si>
  <si>
    <t>A5. Aktier och andelar'!Inm_17917</t>
  </si>
  <si>
    <t>Andelar i räntefond, 216+222 Värdepapper</t>
  </si>
  <si>
    <t>A5. Aktier och andelar'!Inm_17892</t>
  </si>
  <si>
    <t>P1E3A</t>
  </si>
  <si>
    <t>A5. Aktier och andelar'!Inm_17918</t>
  </si>
  <si>
    <t>A6. Lån'!Inm_13445</t>
  </si>
  <si>
    <t>A6. Lån'!Inm_13444</t>
  </si>
  <si>
    <t>A6. Lån'!Inm_13509</t>
  </si>
  <si>
    <t>A6. Lån'!Inm_13508</t>
  </si>
  <si>
    <t>A6. Lån'!Inm_13500</t>
  </si>
  <si>
    <t>Lån, 3 (S1311) Staten</t>
  </si>
  <si>
    <t>A6. Lån'!Inm_17893</t>
  </si>
  <si>
    <t>A6. Lån'!Inm_11149</t>
  </si>
  <si>
    <t>A6. Lån'!Inm_13486</t>
  </si>
  <si>
    <t>A6. Lån'!Inm_13479</t>
  </si>
  <si>
    <t>A6. Lån'!Inm_13485</t>
  </si>
  <si>
    <t>A6. Lån'!Inm_13483</t>
  </si>
  <si>
    <t>A6. Lån'!Inm_13482</t>
  </si>
  <si>
    <t>Lån, Icke-monetära finan</t>
  </si>
  <si>
    <t>A6. Lån'!Inm_16261</t>
  </si>
  <si>
    <t>A6. Lån'!Inm_16259</t>
  </si>
  <si>
    <t>A6. Lån'!Inm_13488</t>
  </si>
  <si>
    <t>A6. Lån'!Inm_13487</t>
  </si>
  <si>
    <t>A7. Byggnader o Mark'!Inm_13490</t>
  </si>
  <si>
    <t>A7. Byggnader o Mark'!Inm_13492</t>
  </si>
  <si>
    <t>A7. Byggnader o Mark'!Inm_13499</t>
  </si>
  <si>
    <t>A7. Byggnader o Mark'!Inm_17919</t>
  </si>
  <si>
    <t>KF</t>
  </si>
  <si>
    <t>Underliggande tillg, (S1) Nationell ekon</t>
  </si>
  <si>
    <t>Rad 7. SCB:s sektorkod 131110,  131120, 131130</t>
  </si>
  <si>
    <t>Rad 8. SCB:s sektorkod 131311, 131312, 131313 - 131321, 131322, 131323</t>
  </si>
  <si>
    <t>Rad 9. SCB:s sektorkod 111000, 112000, 113000, 114000</t>
  </si>
  <si>
    <t xml:space="preserve">Rad 10. SCB:s sektorkod 122100, 122200 </t>
  </si>
  <si>
    <t>Rad 11. SCB:s sektorkod 122300</t>
  </si>
  <si>
    <t>Rad 12. SCB:s sektorkod 121000, 122400, 122500, 122900, 123000</t>
  </si>
  <si>
    <t>Rad 13. SCB:s sektorkod 124000, 125100, 125200, 125300, 125400, 125900, 126100, 126200, 127000, 128100, 128200, 128300, 129100, 129200, 129300, 129400</t>
  </si>
  <si>
    <t>Rad 14. SCB:s sektorkod 131400, 141000, 142000, 143000, 144100, 144200, 144300, 151000, 152100, 152200</t>
  </si>
  <si>
    <t>Icke-finansiella bolag</t>
  </si>
  <si>
    <t>Finansiella bolag, ej MFI</t>
  </si>
  <si>
    <t>Svenska finansiella bolag, ej MFI</t>
  </si>
  <si>
    <t xml:space="preserve">  Finansiella bolag</t>
  </si>
  <si>
    <t xml:space="preserve">  Icke-finansiella bolag</t>
  </si>
  <si>
    <t xml:space="preserve">  Varav koncern eller intressebolag</t>
  </si>
  <si>
    <t>Skulder till svenska finansiella bolag, ej MFI</t>
  </si>
  <si>
    <t>Rad 8. och Rad 9. SCB:s sektorkod 131110,  131120, 131130</t>
  </si>
  <si>
    <t>Rad 10. SCB:s sektorkod 131311, 131312, 131313 - 131321, 131322, 131323</t>
  </si>
  <si>
    <t>Rad 11. SCB:s sektorkod 111000, 112000, 113000, 114000</t>
  </si>
  <si>
    <t xml:space="preserve">Rad 12. SCB:s sektorkod 122100, 122200 </t>
  </si>
  <si>
    <t>Rad 13. SCB:s sektorkod 122300</t>
  </si>
  <si>
    <t>Rad 14. SCB:s sektorkod  121000, 122400, 122500, 122900, 123000</t>
  </si>
  <si>
    <t>Rad 15. SCB:s sektorkod 124000, 125100, 125200, 125300, 125400, 125900, 126100, 126200, 127000, 128100, 128200, 128300, 129100, 129200, 129300, 129400</t>
  </si>
  <si>
    <t>Rad 16. SCB:s sektorkod 131400, 141000, 142000, 143000, 144100, 144200, 144300, 151000, 152100, 152200</t>
  </si>
  <si>
    <t>Rad 1. SCB:s sektorkod 121000, 122100, 122200, 122300, 122400, 122500, 122900, 123000</t>
  </si>
  <si>
    <t>Rad 2. SCB:s sektorkod 124000, 125100, 125200, 125300, 125400, 125900, 126100, 126200, 127000, 128100, 128200, 128300, 129100, 129200, 129300, 129400</t>
  </si>
  <si>
    <t xml:space="preserve">  Varav placeringar i riskkapitalfonder/private equity</t>
  </si>
  <si>
    <t xml:space="preserve">  Varav aktie- ochfondtillgångar där livförsäkringstagaren bär placeringsrisken (depåförsäkring)</t>
  </si>
  <si>
    <t>Rad 5a. SCB:s sektorkod 123000</t>
  </si>
  <si>
    <t>Rad 5b. SCB:s sektorkod 124000</t>
  </si>
  <si>
    <t>Rad 6. SCB:s sektorkod 131110,  131120, 131130</t>
  </si>
  <si>
    <t>Rad 7. SCB:s sektorkod 131311, 131312, 131313 - 131321, 131322, 131323</t>
  </si>
  <si>
    <t>Rad 8. SCB:s sektorkod 111000, 112000, 113000, 114000</t>
  </si>
  <si>
    <t xml:space="preserve">Rad 9. SCB:s sektorkod 122100, 122200 </t>
  </si>
  <si>
    <t>Rad 10. SCB:s sektorkod 122300</t>
  </si>
  <si>
    <t>Rad 11. SCB:s sektorkod 121000, 122400, 122500, 122900, 123000</t>
  </si>
  <si>
    <t>Rad 12. SCB:s sektorkod 124000, 125100, 125200, 125300, 125400, 125900, 126100, 126200, 127000, 128100, 128200, 128300, 129100, 129200, 129300, 129400</t>
  </si>
  <si>
    <t>Rad 13. SCB:s sektorkod 131400, 141000, 142000, 143000, 144100, 144200, 144300, 151000, 152100, 152200</t>
  </si>
  <si>
    <t>Rad 3. SCB:s sektorkod 121000, 122100, 122200, 122300, 122400, 122500, 122900, 123000</t>
  </si>
  <si>
    <t>Rad 4. SCB:s sektorkod 124000, 125100, 125200, 125300, 125400, 125900, 126100, 126200, 127000, 128100, 128200, 128300, 129100, 129200, 129300, 129400</t>
  </si>
  <si>
    <t>Belopp anges i tkr</t>
  </si>
  <si>
    <t>18.</t>
  </si>
  <si>
    <t>5a.</t>
  </si>
  <si>
    <t>5a.1</t>
  </si>
  <si>
    <t>5a.2</t>
  </si>
  <si>
    <t>5b.</t>
  </si>
  <si>
    <t>5b.1</t>
  </si>
  <si>
    <t>5b.2</t>
  </si>
  <si>
    <t>Depåförsäkring, (S1) Nationell ekon</t>
  </si>
  <si>
    <t>A1. Kapitalplaceringar'!Inm_20203</t>
  </si>
  <si>
    <t>P1M</t>
  </si>
  <si>
    <t>EJ_GRANSKN</t>
  </si>
  <si>
    <t>PMI depåförsäkring , (S1) Nationell ekon</t>
  </si>
  <si>
    <t>A2. Penningm.instrument'!Inm_20201</t>
  </si>
  <si>
    <t>P11A</t>
  </si>
  <si>
    <t>A2. Penningm.instrument'!Inm_20202</t>
  </si>
  <si>
    <t>Obligationer depåfö, (S1) Nationell ekon</t>
  </si>
  <si>
    <t>A3. Obligationer'!Inm_20200</t>
  </si>
  <si>
    <t>P11B</t>
  </si>
  <si>
    <t>A3. Obligationer'!Inm_20199</t>
  </si>
  <si>
    <t>Andelar i penningma, 216+222 Värdepapper</t>
  </si>
  <si>
    <t>A5. Aktier och andelar'!Inm_20212</t>
  </si>
  <si>
    <t>P1E3B</t>
  </si>
  <si>
    <t>Andelar PMI-fond, 1E, MV</t>
  </si>
  <si>
    <t>A5. Aktier och andelar'!Inm_20182</t>
  </si>
  <si>
    <t>Andel i PMI-fond, 3P, trans</t>
  </si>
  <si>
    <t>A5. Aktier och andelar'!Inm_20183</t>
  </si>
  <si>
    <t>Andel i PMI-fond, 3P, MV</t>
  </si>
  <si>
    <t>A5. Aktier och andelar'!Inm_20184</t>
  </si>
  <si>
    <t>Andel i VP-fond, utom PMI, 1E, trans</t>
  </si>
  <si>
    <t>A5. Aktier och andelar'!Inm_20187</t>
  </si>
  <si>
    <t>P1E3C</t>
  </si>
  <si>
    <t>Andel i VP-fond, utom PMI, 1E, MV</t>
  </si>
  <si>
    <t>A5. Aktier och andelar'!Inm_20186</t>
  </si>
  <si>
    <t>Andel i VP-fond, utom PMI, 3P, trans</t>
  </si>
  <si>
    <t>A5. Aktier och andelar'!Inm_20188</t>
  </si>
  <si>
    <t>Andel i VP-fond, utom PMI, 3P, MV</t>
  </si>
  <si>
    <t>A5. Aktier och andelar'!Inm_20185</t>
  </si>
  <si>
    <t>Riskkapitalfonder, (S1) Nationell ekon</t>
  </si>
  <si>
    <t>A5. Aktier och andelar'!Inm_20191</t>
  </si>
  <si>
    <t>P1E6</t>
  </si>
  <si>
    <t>A5. Aktier och andelar'!Inm_20194</t>
  </si>
  <si>
    <t>A5. Aktier och andelar'!Inm_20192</t>
  </si>
  <si>
    <t>P1E5</t>
  </si>
  <si>
    <t>A5. Aktier och andelar'!Inm_20193</t>
  </si>
  <si>
    <t>Andel PMI-fond trans, tot</t>
  </si>
  <si>
    <t>A5. Aktier och andelar'!Inm_20213</t>
  </si>
  <si>
    <t>Andel PMI-fond, MV, tot</t>
  </si>
  <si>
    <t>A5. Aktier och andelar'!Inm_20216</t>
  </si>
  <si>
    <t>Andel VP-fond, ej PMI. trans, tot</t>
  </si>
  <si>
    <t>A5. Aktier och andelar'!Inm_20214</t>
  </si>
  <si>
    <t>Andel VP-fond, ej PMI, MV, tot</t>
  </si>
  <si>
    <t>A5. Aktier och andelar'!Inm_20215</t>
  </si>
  <si>
    <t xml:space="preserve"> Kassa, svenska banker</t>
  </si>
  <si>
    <t xml:space="preserve"> Kassa, utländska banker</t>
  </si>
  <si>
    <t xml:space="preserve"> varav aktieindexobligationer</t>
  </si>
  <si>
    <t xml:space="preserve"> varav tillgångar i depåförsäkring</t>
  </si>
  <si>
    <t xml:space="preserve"> varav kapitalplaceringar som ägs via utländsk filial</t>
  </si>
  <si>
    <t xml:space="preserve"> varav depåförsäkring</t>
  </si>
  <si>
    <r>
      <t xml:space="preserve">Andelar i värdepappersfonder och specialfonder </t>
    </r>
    <r>
      <rPr>
        <b/>
        <i/>
        <sz val="10"/>
        <rFont val="Arial"/>
        <family val="2"/>
      </rPr>
      <t xml:space="preserve">utom penningmarknadsfonder </t>
    </r>
    <r>
      <rPr>
        <i/>
        <sz val="10"/>
        <rFont val="Arial"/>
        <family val="2"/>
      </rPr>
      <t>(summa 5b.1 : 5b.2)</t>
    </r>
  </si>
  <si>
    <r>
      <t xml:space="preserve">Andelar i </t>
    </r>
    <r>
      <rPr>
        <b/>
        <i/>
        <sz val="10"/>
        <rFont val="Arial"/>
        <family val="2"/>
      </rPr>
      <t xml:space="preserve">penningmarknadsfonder </t>
    </r>
    <r>
      <rPr>
        <i/>
        <sz val="10"/>
        <rFont val="Arial"/>
        <family val="2"/>
      </rPr>
      <t>(summa 5a.1 : 5a.2)</t>
    </r>
  </si>
  <si>
    <t>Rad 3. SCB:s sektorkod 131400, 141000, 142000, 143000, 144100, 144200, 144300, 151000, 152100, 152200</t>
  </si>
  <si>
    <t>Rad 4. SCB:s sektorkod 211100, 212100, 212100, 212200 och 220000</t>
  </si>
  <si>
    <t>A1. Kapitalplaceringar'!Inm_20217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</si>
</sst>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d/mmm"/>
    <numFmt numFmtId="183" formatCode="h\.mm"/>
    <numFmt numFmtId="184" formatCode="0.0%"/>
    <numFmt numFmtId="185" formatCode="?"/>
    <numFmt numFmtId="186" formatCode="#\ ###\ ##0"/>
  </numFmts>
  <fonts count="70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b/>
      <sz val="10"/>
      <name val="Arial"/>
      <family val="2"/>
    </font>
    <font>
      <sz val="8"/>
      <color indexed="12"/>
      <name val="Helvetica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Helvetica"/>
      <family val="2"/>
    </font>
    <font>
      <sz val="8"/>
      <name val="Helvetica"/>
      <family val="2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2"/>
    </font>
    <font>
      <sz val="16"/>
      <color indexed="5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5"/>
      <name val="Arial"/>
      <family val="2"/>
    </font>
    <font>
      <b/>
      <sz val="14"/>
      <color indexed="5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CG Times (W1)"/>
      <family val="0"/>
    </font>
    <font>
      <sz val="10"/>
      <name val="CG Times (WN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1" fillId="0" borderId="0" xfId="52">
      <alignment/>
      <protection/>
    </xf>
    <xf numFmtId="0" fontId="1" fillId="33" borderId="0" xfId="52" applyFill="1">
      <alignment/>
      <protection/>
    </xf>
    <xf numFmtId="0" fontId="1" fillId="34" borderId="0" xfId="52" applyFill="1">
      <alignment/>
      <protection/>
    </xf>
    <xf numFmtId="0" fontId="1" fillId="35" borderId="0" xfId="52" applyFill="1">
      <alignment/>
      <protection/>
    </xf>
    <xf numFmtId="0" fontId="1" fillId="36" borderId="0" xfId="52" applyFill="1">
      <alignment/>
      <protection/>
    </xf>
    <xf numFmtId="0" fontId="1" fillId="37" borderId="0" xfId="52" applyFill="1">
      <alignment/>
      <protection/>
    </xf>
    <xf numFmtId="0" fontId="1" fillId="38" borderId="0" xfId="52" applyFill="1">
      <alignment/>
      <protection/>
    </xf>
    <xf numFmtId="0" fontId="1" fillId="39" borderId="0" xfId="52" applyFill="1">
      <alignment/>
      <protection/>
    </xf>
    <xf numFmtId="0" fontId="0" fillId="0" borderId="0" xfId="51" applyFont="1">
      <alignment/>
      <protection/>
    </xf>
    <xf numFmtId="0" fontId="3" fillId="0" borderId="0" xfId="0" applyFont="1" applyAlignment="1">
      <alignment/>
    </xf>
    <xf numFmtId="0" fontId="5" fillId="36" borderId="0" xfId="52" applyFont="1" applyFill="1">
      <alignment/>
      <protection/>
    </xf>
    <xf numFmtId="0" fontId="5" fillId="37" borderId="0" xfId="52" applyFont="1" applyFill="1">
      <alignment/>
      <protection/>
    </xf>
    <xf numFmtId="0" fontId="5" fillId="33" borderId="0" xfId="52" applyFont="1" applyFill="1">
      <alignment/>
      <protection/>
    </xf>
    <xf numFmtId="0" fontId="5" fillId="34" borderId="0" xfId="52" applyFont="1" applyFill="1">
      <alignment/>
      <protection/>
    </xf>
    <xf numFmtId="0" fontId="5" fillId="35" borderId="0" xfId="52" applyFont="1" applyFill="1">
      <alignment/>
      <protection/>
    </xf>
    <xf numFmtId="0" fontId="5" fillId="38" borderId="0" xfId="52" applyFont="1" applyFill="1">
      <alignment/>
      <protection/>
    </xf>
    <xf numFmtId="0" fontId="5" fillId="39" borderId="0" xfId="52" applyFont="1" applyFill="1">
      <alignment/>
      <protection/>
    </xf>
    <xf numFmtId="0" fontId="5" fillId="0" borderId="0" xfId="52" applyFont="1">
      <alignment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9" fillId="40" borderId="0" xfId="0" applyFont="1" applyFill="1" applyBorder="1" applyAlignment="1" applyProtection="1">
      <alignment horizontal="left"/>
      <protection/>
    </xf>
    <xf numFmtId="0" fontId="11" fillId="40" borderId="0" xfId="0" applyFont="1" applyFill="1" applyBorder="1" applyAlignment="1">
      <alignment horizontal="left"/>
    </xf>
    <xf numFmtId="14" fontId="11" fillId="40" borderId="0" xfId="0" applyNumberFormat="1" applyFont="1" applyFill="1" applyBorder="1" applyAlignment="1">
      <alignment horizontal="left"/>
    </xf>
    <xf numFmtId="22" fontId="11" fillId="40" borderId="0" xfId="0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13" fillId="40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>
      <alignment wrapText="1"/>
    </xf>
    <xf numFmtId="0" fontId="14" fillId="40" borderId="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14" fontId="4" fillId="40" borderId="17" xfId="0" applyNumberFormat="1" applyFont="1" applyFill="1" applyBorder="1" applyAlignment="1" applyProtection="1">
      <alignment horizontal="left"/>
      <protection/>
    </xf>
    <xf numFmtId="0" fontId="4" fillId="40" borderId="17" xfId="0" applyFont="1" applyFill="1" applyBorder="1" applyAlignment="1" applyProtection="1">
      <alignment/>
      <protection/>
    </xf>
    <xf numFmtId="0" fontId="7" fillId="40" borderId="17" xfId="0" applyFont="1" applyFill="1" applyBorder="1" applyAlignment="1" applyProtection="1">
      <alignment horizontal="left"/>
      <protection/>
    </xf>
    <xf numFmtId="0" fontId="8" fillId="40" borderId="17" xfId="0" applyFont="1" applyFill="1" applyBorder="1" applyAlignment="1" applyProtection="1">
      <alignment horizontal="left"/>
      <protection/>
    </xf>
    <xf numFmtId="0" fontId="4" fillId="40" borderId="17" xfId="0" applyFont="1" applyFill="1" applyBorder="1" applyAlignment="1" applyProtection="1">
      <alignment horizontal="left"/>
      <protection/>
    </xf>
    <xf numFmtId="0" fontId="10" fillId="40" borderId="16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12" fillId="40" borderId="19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16" fillId="40" borderId="0" xfId="0" applyFont="1" applyFill="1" applyAlignment="1">
      <alignment/>
    </xf>
    <xf numFmtId="0" fontId="18" fillId="40" borderId="0" xfId="0" applyFont="1" applyFill="1" applyBorder="1" applyAlignment="1" applyProtection="1">
      <alignment/>
      <protection/>
    </xf>
    <xf numFmtId="0" fontId="3" fillId="40" borderId="21" xfId="0" applyNumberFormat="1" applyFont="1" applyFill="1" applyBorder="1" applyAlignment="1" applyProtection="1">
      <alignment horizontal="left"/>
      <protection/>
    </xf>
    <xf numFmtId="3" fontId="19" fillId="40" borderId="0" xfId="0" applyNumberFormat="1" applyFont="1" applyFill="1" applyBorder="1" applyAlignment="1" applyProtection="1">
      <alignment horizontal="center"/>
      <protection/>
    </xf>
    <xf numFmtId="0" fontId="3" fillId="40" borderId="22" xfId="0" applyNumberFormat="1" applyFont="1" applyFill="1" applyBorder="1" applyAlignment="1">
      <alignment horizontal="left"/>
    </xf>
    <xf numFmtId="0" fontId="3" fillId="40" borderId="23" xfId="0" applyNumberFormat="1" applyFont="1" applyFill="1" applyBorder="1" applyAlignment="1" applyProtection="1">
      <alignment horizontal="left"/>
      <protection/>
    </xf>
    <xf numFmtId="0" fontId="20" fillId="40" borderId="0" xfId="0" applyFont="1" applyFill="1" applyBorder="1" applyAlignment="1" applyProtection="1">
      <alignment horizontal="left" vertical="center"/>
      <protection/>
    </xf>
    <xf numFmtId="3" fontId="21" fillId="40" borderId="0" xfId="0" applyNumberFormat="1" applyFont="1" applyFill="1" applyBorder="1" applyAlignment="1" applyProtection="1">
      <alignment/>
      <protection/>
    </xf>
    <xf numFmtId="3" fontId="21" fillId="40" borderId="0" xfId="0" applyNumberFormat="1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>
      <alignment/>
    </xf>
    <xf numFmtId="3" fontId="21" fillId="40" borderId="24" xfId="0" applyNumberFormat="1" applyFont="1" applyFill="1" applyBorder="1" applyAlignment="1" applyProtection="1">
      <alignment horizontal="left"/>
      <protection/>
    </xf>
    <xf numFmtId="3" fontId="21" fillId="40" borderId="25" xfId="0" applyNumberFormat="1" applyFont="1" applyFill="1" applyBorder="1" applyAlignment="1" applyProtection="1">
      <alignment horizontal="left"/>
      <protection/>
    </xf>
    <xf numFmtId="0" fontId="17" fillId="40" borderId="26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15" fillId="40" borderId="10" xfId="0" applyFont="1" applyFill="1" applyBorder="1" applyAlignment="1" applyProtection="1">
      <alignment horizontal="left"/>
      <protection/>
    </xf>
    <xf numFmtId="3" fontId="21" fillId="40" borderId="0" xfId="0" applyNumberFormat="1" applyFont="1" applyFill="1" applyBorder="1" applyAlignment="1" applyProtection="1">
      <alignment horizontal="left"/>
      <protection/>
    </xf>
    <xf numFmtId="3" fontId="21" fillId="40" borderId="27" xfId="0" applyNumberFormat="1" applyFont="1" applyFill="1" applyBorder="1" applyAlignment="1" applyProtection="1">
      <alignment horizontal="left"/>
      <protection/>
    </xf>
    <xf numFmtId="0" fontId="17" fillId="40" borderId="23" xfId="0" applyFont="1" applyFill="1" applyBorder="1" applyAlignment="1" applyProtection="1">
      <alignment horizontal="left"/>
      <protection/>
    </xf>
    <xf numFmtId="0" fontId="17" fillId="40" borderId="0" xfId="0" applyFont="1" applyFill="1" applyBorder="1" applyAlignment="1" applyProtection="1">
      <alignment horizontal="left"/>
      <protection/>
    </xf>
    <xf numFmtId="0" fontId="21" fillId="40" borderId="0" xfId="0" applyFont="1" applyFill="1" applyBorder="1" applyAlignment="1" applyProtection="1">
      <alignment horizontal="left"/>
      <protection/>
    </xf>
    <xf numFmtId="0" fontId="10" fillId="40" borderId="0" xfId="0" applyFont="1" applyFill="1" applyBorder="1" applyAlignment="1" applyProtection="1">
      <alignment horizontal="left"/>
      <protection/>
    </xf>
    <xf numFmtId="0" fontId="18" fillId="40" borderId="0" xfId="0" applyFont="1" applyFill="1" applyBorder="1" applyAlignment="1">
      <alignment horizontal="left"/>
    </xf>
    <xf numFmtId="0" fontId="21" fillId="40" borderId="0" xfId="0" applyFont="1" applyFill="1" applyAlignment="1" applyProtection="1">
      <alignment horizontal="left"/>
      <protection/>
    </xf>
    <xf numFmtId="0" fontId="0" fillId="40" borderId="0" xfId="0" applyFont="1" applyFill="1" applyBorder="1" applyAlignment="1" applyProtection="1">
      <alignment horizontal="left"/>
      <protection/>
    </xf>
    <xf numFmtId="0" fontId="0" fillId="40" borderId="0" xfId="0" applyFont="1" applyFill="1" applyBorder="1" applyAlignment="1">
      <alignment horizontal="left"/>
    </xf>
    <xf numFmtId="0" fontId="17" fillId="40" borderId="26" xfId="0" applyFont="1" applyFill="1" applyBorder="1" applyAlignment="1" applyProtection="1">
      <alignment horizontal="left"/>
      <protection/>
    </xf>
    <xf numFmtId="0" fontId="21" fillId="40" borderId="28" xfId="0" applyFont="1" applyFill="1" applyBorder="1" applyAlignment="1" applyProtection="1">
      <alignment horizontal="left"/>
      <protection/>
    </xf>
    <xf numFmtId="0" fontId="22" fillId="40" borderId="0" xfId="0" applyFont="1" applyFill="1" applyBorder="1" applyAlignment="1" applyProtection="1">
      <alignment horizontal="left"/>
      <protection/>
    </xf>
    <xf numFmtId="0" fontId="1" fillId="37" borderId="0" xfId="52" applyFill="1" quotePrefix="1">
      <alignment/>
      <protection/>
    </xf>
    <xf numFmtId="0" fontId="23" fillId="4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182" fontId="23" fillId="40" borderId="0" xfId="0" applyNumberFormat="1" applyFont="1" applyFill="1" applyAlignment="1" applyProtection="1">
      <alignment/>
      <protection/>
    </xf>
    <xf numFmtId="0" fontId="23" fillId="40" borderId="0" xfId="0" applyFont="1" applyFill="1" applyAlignment="1">
      <alignment/>
    </xf>
    <xf numFmtId="0" fontId="17" fillId="42" borderId="29" xfId="0" applyFont="1" applyFill="1" applyBorder="1" applyAlignment="1" applyProtection="1">
      <alignment/>
      <protection/>
    </xf>
    <xf numFmtId="0" fontId="15" fillId="42" borderId="26" xfId="0" applyFont="1" applyFill="1" applyBorder="1" applyAlignment="1" applyProtection="1">
      <alignment horizontal="left"/>
      <protection/>
    </xf>
    <xf numFmtId="0" fontId="15" fillId="42" borderId="10" xfId="0" applyFont="1" applyFill="1" applyBorder="1" applyAlignment="1" applyProtection="1">
      <alignment horizontal="left"/>
      <protection/>
    </xf>
    <xf numFmtId="0" fontId="17" fillId="42" borderId="29" xfId="0" applyFont="1" applyFill="1" applyBorder="1" applyAlignment="1" applyProtection="1">
      <alignment horizontal="left"/>
      <protection/>
    </xf>
    <xf numFmtId="0" fontId="17" fillId="42" borderId="24" xfId="0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/>
    </xf>
    <xf numFmtId="3" fontId="0" fillId="40" borderId="30" xfId="0" applyNumberFormat="1" applyFont="1" applyFill="1" applyBorder="1" applyAlignment="1" applyProtection="1">
      <alignment horizontal="left"/>
      <protection locked="0"/>
    </xf>
    <xf numFmtId="3" fontId="0" fillId="40" borderId="0" xfId="0" applyNumberFormat="1" applyFont="1" applyFill="1" applyBorder="1" applyAlignment="1" applyProtection="1">
      <alignment horizontal="left"/>
      <protection locked="0"/>
    </xf>
    <xf numFmtId="0" fontId="0" fillId="40" borderId="30" xfId="0" applyFont="1" applyFill="1" applyBorder="1" applyAlignment="1" applyProtection="1">
      <alignment/>
      <protection/>
    </xf>
    <xf numFmtId="183" fontId="0" fillId="40" borderId="30" xfId="0" applyNumberFormat="1" applyFont="1" applyFill="1" applyBorder="1" applyAlignment="1" applyProtection="1">
      <alignment/>
      <protection/>
    </xf>
    <xf numFmtId="0" fontId="3" fillId="40" borderId="31" xfId="0" applyFont="1" applyFill="1" applyBorder="1" applyAlignment="1" applyProtection="1">
      <alignment/>
      <protection/>
    </xf>
    <xf numFmtId="0" fontId="0" fillId="40" borderId="32" xfId="0" applyFont="1" applyFill="1" applyBorder="1" applyAlignment="1" applyProtection="1">
      <alignment horizontal="left"/>
      <protection/>
    </xf>
    <xf numFmtId="20" fontId="0" fillId="40" borderId="0" xfId="0" applyNumberFormat="1" applyFont="1" applyFill="1" applyBorder="1" applyAlignment="1" applyProtection="1">
      <alignment horizontal="left"/>
      <protection/>
    </xf>
    <xf numFmtId="0" fontId="0" fillId="40" borderId="30" xfId="0" applyFont="1" applyFill="1" applyBorder="1" applyAlignment="1" applyProtection="1">
      <alignment horizontal="left"/>
      <protection/>
    </xf>
    <xf numFmtId="0" fontId="3" fillId="40" borderId="33" xfId="0" applyFont="1" applyFill="1" applyBorder="1" applyAlignment="1" applyProtection="1">
      <alignment horizontal="left"/>
      <protection/>
    </xf>
    <xf numFmtId="0" fontId="3" fillId="40" borderId="0" xfId="0" applyFont="1" applyFill="1" applyBorder="1" applyAlignment="1" applyProtection="1">
      <alignment horizontal="left"/>
      <protection/>
    </xf>
    <xf numFmtId="0" fontId="0" fillId="40" borderId="0" xfId="0" applyFont="1" applyFill="1" applyAlignment="1">
      <alignment horizontal="left"/>
    </xf>
    <xf numFmtId="0" fontId="3" fillId="40" borderId="33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 locked="0"/>
    </xf>
    <xf numFmtId="0" fontId="1" fillId="43" borderId="0" xfId="52" applyFill="1">
      <alignment/>
      <protection/>
    </xf>
    <xf numFmtId="0" fontId="1" fillId="0" borderId="0" xfId="52" applyFill="1">
      <alignment/>
      <protection/>
    </xf>
    <xf numFmtId="0" fontId="24" fillId="40" borderId="0" xfId="0" applyFont="1" applyFill="1" applyAlignment="1" applyProtection="1">
      <alignment horizontal="left"/>
      <protection/>
    </xf>
    <xf numFmtId="0" fontId="17" fillId="42" borderId="34" xfId="0" applyFont="1" applyFill="1" applyBorder="1" applyAlignment="1" applyProtection="1">
      <alignment/>
      <protection/>
    </xf>
    <xf numFmtId="0" fontId="18" fillId="42" borderId="35" xfId="0" applyFont="1" applyFill="1" applyBorder="1" applyAlignment="1" applyProtection="1">
      <alignment/>
      <protection/>
    </xf>
    <xf numFmtId="0" fontId="17" fillId="42" borderId="34" xfId="0" applyFont="1" applyFill="1" applyBorder="1" applyAlignment="1">
      <alignment horizontal="left"/>
    </xf>
    <xf numFmtId="0" fontId="0" fillId="40" borderId="0" xfId="0" applyFont="1" applyFill="1" applyAlignment="1">
      <alignment/>
    </xf>
    <xf numFmtId="0" fontId="16" fillId="40" borderId="0" xfId="0" applyFont="1" applyFill="1" applyAlignment="1">
      <alignment horizontal="right"/>
    </xf>
    <xf numFmtId="0" fontId="25" fillId="40" borderId="0" xfId="0" applyFont="1" applyFill="1" applyAlignment="1">
      <alignment/>
    </xf>
    <xf numFmtId="0" fontId="26" fillId="0" borderId="36" xfId="0" applyFont="1" applyBorder="1" applyAlignment="1">
      <alignment/>
    </xf>
    <xf numFmtId="0" fontId="26" fillId="40" borderId="0" xfId="0" applyFont="1" applyFill="1" applyAlignment="1">
      <alignment/>
    </xf>
    <xf numFmtId="0" fontId="26" fillId="40" borderId="0" xfId="0" applyFont="1" applyFill="1" applyBorder="1" applyAlignment="1">
      <alignment/>
    </xf>
    <xf numFmtId="0" fontId="27" fillId="40" borderId="0" xfId="0" applyFont="1" applyFill="1" applyBorder="1" applyAlignment="1">
      <alignment/>
    </xf>
    <xf numFmtId="0" fontId="28" fillId="40" borderId="0" xfId="0" applyFont="1" applyFill="1" applyBorder="1" applyAlignment="1">
      <alignment/>
    </xf>
    <xf numFmtId="0" fontId="29" fillId="40" borderId="0" xfId="0" applyFont="1" applyFill="1" applyBorder="1" applyAlignment="1">
      <alignment/>
    </xf>
    <xf numFmtId="0" fontId="17" fillId="40" borderId="0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5" fillId="40" borderId="0" xfId="0" applyFont="1" applyFill="1" applyAlignment="1" applyProtection="1">
      <alignment/>
      <protection/>
    </xf>
    <xf numFmtId="3" fontId="0" fillId="40" borderId="0" xfId="0" applyNumberFormat="1" applyFont="1" applyFill="1" applyBorder="1" applyAlignment="1" applyProtection="1">
      <alignment/>
      <protection/>
    </xf>
    <xf numFmtId="3" fontId="3" fillId="40" borderId="10" xfId="0" applyNumberFormat="1" applyFont="1" applyFill="1" applyBorder="1" applyAlignment="1" applyProtection="1">
      <alignment horizontal="right"/>
      <protection locked="0"/>
    </xf>
    <xf numFmtId="0" fontId="15" fillId="40" borderId="10" xfId="0" applyFont="1" applyFill="1" applyBorder="1" applyAlignment="1" applyProtection="1">
      <alignment/>
      <protection/>
    </xf>
    <xf numFmtId="0" fontId="15" fillId="40" borderId="0" xfId="0" applyFont="1" applyFill="1" applyBorder="1" applyAlignment="1" applyProtection="1">
      <alignment/>
      <protection/>
    </xf>
    <xf numFmtId="0" fontId="15" fillId="42" borderId="37" xfId="0" applyFont="1" applyFill="1" applyBorder="1" applyAlignment="1" applyProtection="1">
      <alignment/>
      <protection/>
    </xf>
    <xf numFmtId="0" fontId="17" fillId="42" borderId="24" xfId="0" applyFont="1" applyFill="1" applyBorder="1" applyAlignment="1">
      <alignment horizontal="left"/>
    </xf>
    <xf numFmtId="0" fontId="15" fillId="42" borderId="26" xfId="0" applyFont="1" applyFill="1" applyBorder="1" applyAlignment="1" applyProtection="1">
      <alignment/>
      <protection/>
    </xf>
    <xf numFmtId="3" fontId="15" fillId="42" borderId="10" xfId="0" applyNumberFormat="1" applyFont="1" applyFill="1" applyBorder="1" applyAlignment="1" applyProtection="1">
      <alignment horizontal="right"/>
      <protection locked="0"/>
    </xf>
    <xf numFmtId="0" fontId="18" fillId="42" borderId="38" xfId="0" applyFont="1" applyFill="1" applyBorder="1" applyAlignment="1" applyProtection="1">
      <alignment/>
      <protection/>
    </xf>
    <xf numFmtId="3" fontId="0" fillId="33" borderId="39" xfId="0" applyNumberFormat="1" applyFont="1" applyFill="1" applyBorder="1" applyAlignment="1" applyProtection="1">
      <alignment horizontal="right"/>
      <protection/>
    </xf>
    <xf numFmtId="3" fontId="0" fillId="33" borderId="40" xfId="0" applyNumberFormat="1" applyFont="1" applyFill="1" applyBorder="1" applyAlignment="1" applyProtection="1">
      <alignment horizontal="right"/>
      <protection/>
    </xf>
    <xf numFmtId="0" fontId="28" fillId="40" borderId="0" xfId="0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3" fontId="0" fillId="33" borderId="41" xfId="0" applyNumberFormat="1" applyFont="1" applyFill="1" applyBorder="1" applyAlignment="1" applyProtection="1">
      <alignment horizontal="right"/>
      <protection/>
    </xf>
    <xf numFmtId="3" fontId="0" fillId="33" borderId="42" xfId="0" applyNumberFormat="1" applyFont="1" applyFill="1" applyBorder="1" applyAlignment="1" applyProtection="1">
      <alignment horizontal="right"/>
      <protection/>
    </xf>
    <xf numFmtId="0" fontId="3" fillId="40" borderId="22" xfId="0" applyNumberFormat="1" applyFont="1" applyFill="1" applyBorder="1" applyAlignment="1" applyProtection="1">
      <alignment horizontal="left"/>
      <protection/>
    </xf>
    <xf numFmtId="183" fontId="0" fillId="40" borderId="3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21" xfId="0" applyNumberFormat="1" applyFont="1" applyFill="1" applyBorder="1" applyAlignment="1" applyProtection="1">
      <alignment horizontal="left"/>
      <protection/>
    </xf>
    <xf numFmtId="3" fontId="0" fillId="39" borderId="43" xfId="0" applyNumberFormat="1" applyFont="1" applyFill="1" applyBorder="1" applyAlignment="1" applyProtection="1">
      <alignment horizontal="right"/>
      <protection/>
    </xf>
    <xf numFmtId="3" fontId="0" fillId="39" borderId="44" xfId="0" applyNumberFormat="1" applyFont="1" applyFill="1" applyBorder="1" applyAlignment="1" applyProtection="1">
      <alignment horizontal="right"/>
      <protection/>
    </xf>
    <xf numFmtId="1" fontId="28" fillId="40" borderId="0" xfId="0" applyNumberFormat="1" applyFont="1" applyFill="1" applyBorder="1" applyAlignment="1" applyProtection="1">
      <alignment horizontal="left" vertical="top"/>
      <protection/>
    </xf>
    <xf numFmtId="0" fontId="3" fillId="40" borderId="31" xfId="0" applyFont="1" applyFill="1" applyBorder="1" applyAlignment="1" applyProtection="1">
      <alignment horizontal="left"/>
      <protection/>
    </xf>
    <xf numFmtId="3" fontId="0" fillId="39" borderId="45" xfId="0" applyNumberFormat="1" applyFont="1" applyFill="1" applyBorder="1" applyAlignment="1" applyProtection="1">
      <alignment horizontal="right"/>
      <protection/>
    </xf>
    <xf numFmtId="0" fontId="0" fillId="40" borderId="33" xfId="0" applyFont="1" applyFill="1" applyBorder="1" applyAlignment="1" applyProtection="1">
      <alignment/>
      <protection/>
    </xf>
    <xf numFmtId="3" fontId="0" fillId="39" borderId="46" xfId="0" applyNumberFormat="1" applyFont="1" applyFill="1" applyBorder="1" applyAlignment="1" applyProtection="1">
      <alignment horizontal="right"/>
      <protection/>
    </xf>
    <xf numFmtId="0" fontId="3" fillId="40" borderId="0" xfId="0" applyFont="1" applyFill="1" applyBorder="1" applyAlignment="1" applyProtection="1">
      <alignment/>
      <protection/>
    </xf>
    <xf numFmtId="0" fontId="31" fillId="40" borderId="0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 horizontal="left"/>
      <protection/>
    </xf>
    <xf numFmtId="0" fontId="27" fillId="40" borderId="0" xfId="0" applyFont="1" applyFill="1" applyAlignment="1">
      <alignment/>
    </xf>
    <xf numFmtId="0" fontId="0" fillId="40" borderId="0" xfId="0" applyFont="1" applyFill="1" applyAlignment="1" applyProtection="1">
      <alignment/>
      <protection/>
    </xf>
    <xf numFmtId="3" fontId="0" fillId="40" borderId="0" xfId="0" applyNumberFormat="1" applyFont="1" applyFill="1" applyAlignment="1" applyProtection="1">
      <alignment/>
      <protection/>
    </xf>
    <xf numFmtId="0" fontId="3" fillId="40" borderId="10" xfId="0" applyFont="1" applyFill="1" applyBorder="1" applyAlignment="1" applyProtection="1">
      <alignment/>
      <protection/>
    </xf>
    <xf numFmtId="0" fontId="17" fillId="42" borderId="37" xfId="0" applyFont="1" applyFill="1" applyBorder="1" applyAlignment="1" applyProtection="1">
      <alignment/>
      <protection/>
    </xf>
    <xf numFmtId="0" fontId="15" fillId="42" borderId="10" xfId="0" applyFont="1" applyFill="1" applyBorder="1" applyAlignment="1" applyProtection="1">
      <alignment/>
      <protection/>
    </xf>
    <xf numFmtId="0" fontId="3" fillId="40" borderId="23" xfId="0" applyFont="1" applyFill="1" applyBorder="1" applyAlignment="1" applyProtection="1">
      <alignment/>
      <protection/>
    </xf>
    <xf numFmtId="0" fontId="3" fillId="40" borderId="47" xfId="0" applyFont="1" applyFill="1" applyBorder="1" applyAlignment="1" applyProtection="1">
      <alignment/>
      <protection/>
    </xf>
    <xf numFmtId="0" fontId="3" fillId="40" borderId="29" xfId="0" applyFont="1" applyFill="1" applyBorder="1" applyAlignment="1" applyProtection="1" quotePrefix="1">
      <alignment/>
      <protection/>
    </xf>
    <xf numFmtId="0" fontId="3" fillId="40" borderId="24" xfId="0" applyFont="1" applyFill="1" applyBorder="1" applyAlignment="1" applyProtection="1">
      <alignment/>
      <protection/>
    </xf>
    <xf numFmtId="0" fontId="15" fillId="40" borderId="28" xfId="0" applyFont="1" applyFill="1" applyBorder="1" applyAlignment="1" applyProtection="1">
      <alignment horizontal="left"/>
      <protection/>
    </xf>
    <xf numFmtId="0" fontId="18" fillId="42" borderId="38" xfId="0" applyFont="1" applyFill="1" applyBorder="1" applyAlignment="1" applyProtection="1">
      <alignment horizontal="left"/>
      <protection/>
    </xf>
    <xf numFmtId="20" fontId="3" fillId="40" borderId="21" xfId="0" applyNumberFormat="1" applyFont="1" applyFill="1" applyBorder="1" applyAlignment="1" applyProtection="1">
      <alignment horizontal="left"/>
      <protection/>
    </xf>
    <xf numFmtId="20" fontId="3" fillId="40" borderId="31" xfId="0" applyNumberFormat="1" applyFont="1" applyFill="1" applyBorder="1" applyAlignment="1" applyProtection="1">
      <alignment horizontal="left"/>
      <protection/>
    </xf>
    <xf numFmtId="0" fontId="27" fillId="40" borderId="0" xfId="0" applyFont="1" applyFill="1" applyBorder="1" applyAlignment="1">
      <alignment horizontal="left"/>
    </xf>
    <xf numFmtId="0" fontId="28" fillId="40" borderId="0" xfId="0" applyFont="1" applyFill="1" applyBorder="1" applyAlignment="1">
      <alignment horizontal="left"/>
    </xf>
    <xf numFmtId="0" fontId="15" fillId="40" borderId="0" xfId="0" applyFont="1" applyFill="1" applyBorder="1" applyAlignment="1">
      <alignment horizontal="left"/>
    </xf>
    <xf numFmtId="0" fontId="17" fillId="42" borderId="37" xfId="0" applyFont="1" applyFill="1" applyBorder="1" applyAlignment="1" applyProtection="1">
      <alignment horizontal="left"/>
      <protection/>
    </xf>
    <xf numFmtId="0" fontId="17" fillId="42" borderId="34" xfId="0" applyFont="1" applyFill="1" applyBorder="1" applyAlignment="1" applyProtection="1">
      <alignment horizontal="left"/>
      <protection/>
    </xf>
    <xf numFmtId="0" fontId="18" fillId="42" borderId="35" xfId="0" applyFont="1" applyFill="1" applyBorder="1" applyAlignment="1" applyProtection="1">
      <alignment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3" fillId="40" borderId="21" xfId="0" applyFont="1" applyFill="1" applyBorder="1" applyAlignment="1" applyProtection="1">
      <alignment horizontal="left"/>
      <protection/>
    </xf>
    <xf numFmtId="0" fontId="0" fillId="40" borderId="33" xfId="0" applyFont="1" applyFill="1" applyBorder="1" applyAlignment="1" applyProtection="1">
      <alignment horizontal="left"/>
      <protection/>
    </xf>
    <xf numFmtId="20" fontId="3" fillId="40" borderId="23" xfId="0" applyNumberFormat="1" applyFont="1" applyFill="1" applyBorder="1" applyAlignment="1" applyProtection="1" quotePrefix="1">
      <alignment horizontal="left"/>
      <protection/>
    </xf>
    <xf numFmtId="0" fontId="15" fillId="40" borderId="0" xfId="0" applyFont="1" applyFill="1" applyBorder="1" applyAlignment="1" applyProtection="1">
      <alignment horizontal="left"/>
      <protection/>
    </xf>
    <xf numFmtId="0" fontId="15" fillId="40" borderId="27" xfId="0" applyFont="1" applyFill="1" applyBorder="1" applyAlignment="1" applyProtection="1">
      <alignment horizontal="left"/>
      <protection/>
    </xf>
    <xf numFmtId="0" fontId="27" fillId="40" borderId="0" xfId="0" applyFont="1" applyFill="1" applyAlignment="1">
      <alignment horizontal="left"/>
    </xf>
    <xf numFmtId="0" fontId="17" fillId="42" borderId="48" xfId="0" applyFont="1" applyFill="1" applyBorder="1" applyAlignment="1">
      <alignment horizontal="left"/>
    </xf>
    <xf numFmtId="0" fontId="18" fillId="40" borderId="0" xfId="0" applyFont="1" applyFill="1" applyBorder="1" applyAlignment="1" applyProtection="1">
      <alignment/>
      <protection/>
    </xf>
    <xf numFmtId="20" fontId="3" fillId="40" borderId="23" xfId="0" applyNumberFormat="1" applyFont="1" applyFill="1" applyBorder="1" applyAlignment="1" applyProtection="1">
      <alignment horizontal="left"/>
      <protection/>
    </xf>
    <xf numFmtId="3" fontId="0" fillId="40" borderId="0" xfId="0" applyNumberFormat="1" applyFont="1" applyFill="1" applyBorder="1" applyAlignment="1" applyProtection="1">
      <alignment horizontal="right"/>
      <protection locked="0"/>
    </xf>
    <xf numFmtId="0" fontId="0" fillId="40" borderId="0" xfId="0" applyFont="1" applyFill="1" applyAlignment="1" applyProtection="1">
      <alignment horizontal="right"/>
      <protection/>
    </xf>
    <xf numFmtId="0" fontId="0" fillId="4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42" borderId="22" xfId="0" applyFont="1" applyFill="1" applyBorder="1" applyAlignment="1" applyProtection="1">
      <alignment horizontal="left"/>
      <protection/>
    </xf>
    <xf numFmtId="0" fontId="3" fillId="42" borderId="49" xfId="0" applyFont="1" applyFill="1" applyBorder="1" applyAlignment="1" applyProtection="1">
      <alignment horizontal="left"/>
      <protection/>
    </xf>
    <xf numFmtId="0" fontId="18" fillId="42" borderId="0" xfId="0" applyFont="1" applyFill="1" applyBorder="1" applyAlignment="1" applyProtection="1">
      <alignment horizontal="center"/>
      <protection/>
    </xf>
    <xf numFmtId="0" fontId="18" fillId="42" borderId="35" xfId="0" applyFont="1" applyFill="1" applyBorder="1" applyAlignment="1" applyProtection="1">
      <alignment horizontal="center"/>
      <protection/>
    </xf>
    <xf numFmtId="0" fontId="3" fillId="40" borderId="50" xfId="0" applyFont="1" applyFill="1" applyBorder="1" applyAlignment="1" applyProtection="1">
      <alignment horizontal="left"/>
      <protection/>
    </xf>
    <xf numFmtId="21" fontId="3" fillId="40" borderId="21" xfId="0" applyNumberFormat="1" applyFont="1" applyFill="1" applyBorder="1" applyAlignment="1" applyProtection="1">
      <alignment horizontal="left"/>
      <protection/>
    </xf>
    <xf numFmtId="0" fontId="0" fillId="40" borderId="51" xfId="0" applyFont="1" applyFill="1" applyBorder="1" applyAlignment="1" applyProtection="1">
      <alignment horizontal="left"/>
      <protection/>
    </xf>
    <xf numFmtId="0" fontId="0" fillId="40" borderId="37" xfId="0" applyFont="1" applyFill="1" applyBorder="1" applyAlignment="1" applyProtection="1">
      <alignment horizontal="left"/>
      <protection/>
    </xf>
    <xf numFmtId="21" fontId="3" fillId="40" borderId="23" xfId="0" applyNumberFormat="1" applyFont="1" applyFill="1" applyBorder="1" applyAlignment="1" applyProtection="1">
      <alignment horizontal="left"/>
      <protection/>
    </xf>
    <xf numFmtId="0" fontId="0" fillId="40" borderId="36" xfId="0" applyFont="1" applyFill="1" applyBorder="1" applyAlignment="1" applyProtection="1">
      <alignment horizontal="left"/>
      <protection/>
    </xf>
    <xf numFmtId="21" fontId="0" fillId="40" borderId="0" xfId="0" applyNumberFormat="1" applyFont="1" applyFill="1" applyBorder="1" applyAlignment="1" applyProtection="1">
      <alignment horizontal="left"/>
      <protection/>
    </xf>
    <xf numFmtId="3" fontId="0" fillId="40" borderId="0" xfId="0" applyNumberFormat="1" applyFont="1" applyFill="1" applyBorder="1" applyAlignment="1" applyProtection="1">
      <alignment horizontal="right"/>
      <protection/>
    </xf>
    <xf numFmtId="3" fontId="0" fillId="40" borderId="0" xfId="0" applyNumberFormat="1" applyFont="1" applyFill="1" applyAlignment="1" applyProtection="1">
      <alignment horizontal="left"/>
      <protection/>
    </xf>
    <xf numFmtId="0" fontId="17" fillId="42" borderId="48" xfId="0" applyFont="1" applyFill="1" applyBorder="1" applyAlignment="1">
      <alignment horizontal="center"/>
    </xf>
    <xf numFmtId="0" fontId="17" fillId="42" borderId="26" xfId="0" applyFont="1" applyFill="1" applyBorder="1" applyAlignment="1" applyProtection="1">
      <alignment horizontal="left"/>
      <protection/>
    </xf>
    <xf numFmtId="0" fontId="17" fillId="42" borderId="49" xfId="0" applyFont="1" applyFill="1" applyBorder="1" applyAlignment="1" applyProtection="1">
      <alignment horizontal="left"/>
      <protection/>
    </xf>
    <xf numFmtId="20" fontId="3" fillId="40" borderId="29" xfId="0" applyNumberFormat="1" applyFont="1" applyFill="1" applyBorder="1" applyAlignment="1" applyProtection="1" quotePrefix="1">
      <alignment horizontal="left"/>
      <protection/>
    </xf>
    <xf numFmtId="0" fontId="3" fillId="40" borderId="24" xfId="0" applyFont="1" applyFill="1" applyBorder="1" applyAlignment="1" applyProtection="1">
      <alignment horizontal="left"/>
      <protection/>
    </xf>
    <xf numFmtId="0" fontId="18" fillId="40" borderId="10" xfId="0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 horizontal="left" vertical="top"/>
      <protection/>
    </xf>
    <xf numFmtId="0" fontId="15" fillId="42" borderId="49" xfId="0" applyFont="1" applyFill="1" applyBorder="1" applyAlignment="1" applyProtection="1">
      <alignment horizontal="left"/>
      <protection/>
    </xf>
    <xf numFmtId="20" fontId="3" fillId="40" borderId="22" xfId="0" applyNumberFormat="1" applyFont="1" applyFill="1" applyBorder="1" applyAlignment="1" applyProtection="1">
      <alignment horizontal="left"/>
      <protection/>
    </xf>
    <xf numFmtId="3" fontId="15" fillId="40" borderId="0" xfId="0" applyNumberFormat="1" applyFont="1" applyFill="1" applyBorder="1" applyAlignment="1" applyProtection="1">
      <alignment horizontal="left"/>
      <protection/>
    </xf>
    <xf numFmtId="0" fontId="17" fillId="42" borderId="34" xfId="0" applyFont="1" applyFill="1" applyBorder="1" applyAlignment="1" applyProtection="1">
      <alignment/>
      <protection/>
    </xf>
    <xf numFmtId="0" fontId="18" fillId="42" borderId="49" xfId="0" applyFont="1" applyFill="1" applyBorder="1" applyAlignment="1" applyProtection="1">
      <alignment horizontal="center"/>
      <protection/>
    </xf>
    <xf numFmtId="0" fontId="18" fillId="42" borderId="35" xfId="0" applyFont="1" applyFill="1" applyBorder="1" applyAlignment="1" applyProtection="1">
      <alignment horizontal="left"/>
      <protection/>
    </xf>
    <xf numFmtId="0" fontId="0" fillId="0" borderId="50" xfId="0" applyFont="1" applyBorder="1" applyAlignment="1">
      <alignment/>
    </xf>
    <xf numFmtId="0" fontId="0" fillId="39" borderId="45" xfId="0" applyFont="1" applyFill="1" applyBorder="1" applyAlignment="1">
      <alignment/>
    </xf>
    <xf numFmtId="0" fontId="15" fillId="42" borderId="24" xfId="0" applyFont="1" applyFill="1" applyBorder="1" applyAlignment="1" applyProtection="1">
      <alignment/>
      <protection/>
    </xf>
    <xf numFmtId="0" fontId="3" fillId="0" borderId="52" xfId="0" applyNumberFormat="1" applyFont="1" applyFill="1" applyBorder="1" applyAlignment="1" applyProtection="1">
      <alignment horizontal="left"/>
      <protection/>
    </xf>
    <xf numFmtId="0" fontId="0" fillId="40" borderId="53" xfId="0" applyFont="1" applyFill="1" applyBorder="1" applyAlignment="1" applyProtection="1">
      <alignment/>
      <protection/>
    </xf>
    <xf numFmtId="3" fontId="0" fillId="39" borderId="54" xfId="0" applyNumberFormat="1" applyFont="1" applyFill="1" applyBorder="1" applyAlignment="1" applyProtection="1">
      <alignment horizontal="right"/>
      <protection/>
    </xf>
    <xf numFmtId="0" fontId="3" fillId="0" borderId="26" xfId="0" applyNumberFormat="1" applyFont="1" applyFill="1" applyBorder="1" applyAlignment="1" applyProtection="1">
      <alignment horizontal="left"/>
      <protection/>
    </xf>
    <xf numFmtId="0" fontId="0" fillId="40" borderId="1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4" fontId="0" fillId="40" borderId="0" xfId="0" applyNumberFormat="1" applyFont="1" applyFill="1" applyAlignment="1" applyProtection="1">
      <alignment horizontal="left"/>
      <protection/>
    </xf>
    <xf numFmtId="0" fontId="15" fillId="42" borderId="35" xfId="0" applyFont="1" applyFill="1" applyBorder="1" applyAlignment="1" applyProtection="1">
      <alignment horizontal="left"/>
      <protection/>
    </xf>
    <xf numFmtId="0" fontId="28" fillId="40" borderId="0" xfId="0" applyFont="1" applyFill="1" applyAlignment="1" applyProtection="1">
      <alignment horizontal="left" vertical="top"/>
      <protection/>
    </xf>
    <xf numFmtId="20" fontId="3" fillId="40" borderId="52" xfId="0" applyNumberFormat="1" applyFont="1" applyFill="1" applyBorder="1" applyAlignment="1" applyProtection="1">
      <alignment horizontal="left"/>
      <protection/>
    </xf>
    <xf numFmtId="0" fontId="0" fillId="40" borderId="53" xfId="0" applyFont="1" applyFill="1" applyBorder="1" applyAlignment="1" applyProtection="1">
      <alignment horizontal="left"/>
      <protection/>
    </xf>
    <xf numFmtId="0" fontId="18" fillId="40" borderId="0" xfId="0" applyFont="1" applyFill="1" applyBorder="1" applyAlignment="1" applyProtection="1">
      <alignment horizontal="left"/>
      <protection/>
    </xf>
    <xf numFmtId="0" fontId="10" fillId="40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/>
    </xf>
    <xf numFmtId="0" fontId="17" fillId="42" borderId="24" xfId="0" applyFont="1" applyFill="1" applyBorder="1" applyAlignment="1">
      <alignment/>
    </xf>
    <xf numFmtId="0" fontId="3" fillId="0" borderId="31" xfId="0" applyNumberFormat="1" applyFont="1" applyFill="1" applyBorder="1" applyAlignment="1" applyProtection="1">
      <alignment horizontal="left"/>
      <protection/>
    </xf>
    <xf numFmtId="0" fontId="33" fillId="40" borderId="0" xfId="0" applyFont="1" applyFill="1" applyAlignment="1" applyProtection="1">
      <alignment horizontal="left"/>
      <protection/>
    </xf>
    <xf numFmtId="0" fontId="10" fillId="42" borderId="26" xfId="0" applyFont="1" applyFill="1" applyBorder="1" applyAlignment="1" applyProtection="1">
      <alignment horizontal="left"/>
      <protection/>
    </xf>
    <xf numFmtId="0" fontId="10" fillId="42" borderId="1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3" fillId="0" borderId="52" xfId="0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left"/>
      <protection/>
    </xf>
    <xf numFmtId="184" fontId="15" fillId="40" borderId="0" xfId="0" applyNumberFormat="1" applyFont="1" applyFill="1" applyBorder="1" applyAlignment="1" applyProtection="1">
      <alignment horizontal="left"/>
      <protection/>
    </xf>
    <xf numFmtId="3" fontId="0" fillId="40" borderId="55" xfId="0" applyNumberFormat="1" applyFont="1" applyFill="1" applyBorder="1" applyAlignment="1" applyProtection="1">
      <alignment horizontal="right"/>
      <protection locked="0"/>
    </xf>
    <xf numFmtId="3" fontId="25" fillId="40" borderId="55" xfId="0" applyNumberFormat="1" applyFont="1" applyFill="1" applyBorder="1" applyAlignment="1" applyProtection="1">
      <alignment horizontal="right"/>
      <protection locked="0"/>
    </xf>
    <xf numFmtId="3" fontId="0" fillId="40" borderId="42" xfId="0" applyNumberFormat="1" applyFont="1" applyFill="1" applyBorder="1" applyAlignment="1" applyProtection="1">
      <alignment horizontal="right"/>
      <protection locked="0"/>
    </xf>
    <xf numFmtId="3" fontId="34" fillId="40" borderId="56" xfId="0" applyNumberFormat="1" applyFont="1" applyFill="1" applyBorder="1" applyAlignment="1" applyProtection="1">
      <alignment horizontal="right"/>
      <protection locked="0"/>
    </xf>
    <xf numFmtId="3" fontId="34" fillId="40" borderId="39" xfId="0" applyNumberFormat="1" applyFont="1" applyFill="1" applyBorder="1" applyAlignment="1" applyProtection="1">
      <alignment horizontal="right"/>
      <protection locked="0"/>
    </xf>
    <xf numFmtId="3" fontId="34" fillId="40" borderId="42" xfId="0" applyNumberFormat="1" applyFont="1" applyFill="1" applyBorder="1" applyAlignment="1" applyProtection="1">
      <alignment horizontal="right"/>
      <protection locked="0"/>
    </xf>
    <xf numFmtId="3" fontId="34" fillId="40" borderId="57" xfId="0" applyNumberFormat="1" applyFont="1" applyFill="1" applyBorder="1" applyAlignment="1" applyProtection="1">
      <alignment horizontal="right"/>
      <protection locked="0"/>
    </xf>
    <xf numFmtId="3" fontId="34" fillId="40" borderId="55" xfId="0" applyNumberFormat="1" applyFont="1" applyFill="1" applyBorder="1" applyAlignment="1" applyProtection="1">
      <alignment horizontal="right"/>
      <protection locked="0"/>
    </xf>
    <xf numFmtId="3" fontId="25" fillId="40" borderId="58" xfId="0" applyNumberFormat="1" applyFont="1" applyFill="1" applyBorder="1" applyAlignment="1" applyProtection="1">
      <alignment horizontal="right"/>
      <protection locked="0"/>
    </xf>
    <xf numFmtId="3" fontId="35" fillId="40" borderId="56" xfId="0" applyNumberFormat="1" applyFont="1" applyFill="1" applyBorder="1" applyAlignment="1" applyProtection="1">
      <alignment horizontal="right"/>
      <protection locked="0"/>
    </xf>
    <xf numFmtId="3" fontId="35" fillId="40" borderId="39" xfId="0" applyNumberFormat="1" applyFont="1" applyFill="1" applyBorder="1" applyAlignment="1" applyProtection="1">
      <alignment horizontal="right"/>
      <protection locked="0"/>
    </xf>
    <xf numFmtId="3" fontId="35" fillId="40" borderId="57" xfId="0" applyNumberFormat="1" applyFont="1" applyFill="1" applyBorder="1" applyAlignment="1" applyProtection="1">
      <alignment horizontal="right"/>
      <protection locked="0"/>
    </xf>
    <xf numFmtId="3" fontId="34" fillId="40" borderId="59" xfId="0" applyNumberFormat="1" applyFont="1" applyFill="1" applyBorder="1" applyAlignment="1" applyProtection="1">
      <alignment horizontal="right"/>
      <protection locked="0"/>
    </xf>
    <xf numFmtId="3" fontId="34" fillId="40" borderId="60" xfId="0" applyNumberFormat="1" applyFont="1" applyFill="1" applyBorder="1" applyAlignment="1" applyProtection="1">
      <alignment horizontal="right"/>
      <protection locked="0"/>
    </xf>
    <xf numFmtId="3" fontId="0" fillId="40" borderId="60" xfId="0" applyNumberFormat="1" applyFont="1" applyFill="1" applyBorder="1" applyAlignment="1" applyProtection="1">
      <alignment horizontal="right"/>
      <protection locked="0"/>
    </xf>
    <xf numFmtId="3" fontId="25" fillId="40" borderId="61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0" fillId="40" borderId="34" xfId="0" applyNumberFormat="1" applyFont="1" applyFill="1" applyBorder="1" applyAlignment="1" applyProtection="1">
      <alignment horizontal="right"/>
      <protection locked="0"/>
    </xf>
    <xf numFmtId="0" fontId="0" fillId="40" borderId="62" xfId="0" applyFont="1" applyFill="1" applyBorder="1" applyAlignment="1" applyProtection="1">
      <alignment horizontal="left"/>
      <protection/>
    </xf>
    <xf numFmtId="3" fontId="0" fillId="40" borderId="11" xfId="0" applyNumberFormat="1" applyFont="1" applyFill="1" applyBorder="1" applyAlignment="1" applyProtection="1">
      <alignment horizontal="right"/>
      <protection locked="0"/>
    </xf>
    <xf numFmtId="3" fontId="15" fillId="40" borderId="42" xfId="0" applyNumberFormat="1" applyFont="1" applyFill="1" applyBorder="1" applyAlignment="1" applyProtection="1">
      <alignment horizontal="right"/>
      <protection locked="0"/>
    </xf>
    <xf numFmtId="3" fontId="0" fillId="39" borderId="63" xfId="0" applyNumberFormat="1" applyFont="1" applyFill="1" applyBorder="1" applyAlignment="1" applyProtection="1">
      <alignment horizontal="right"/>
      <protection locked="0"/>
    </xf>
    <xf numFmtId="0" fontId="18" fillId="42" borderId="38" xfId="0" applyFont="1" applyFill="1" applyBorder="1" applyAlignment="1" applyProtection="1">
      <alignment horizontal="right"/>
      <protection locked="0"/>
    </xf>
    <xf numFmtId="3" fontId="0" fillId="39" borderId="43" xfId="0" applyNumberFormat="1" applyFont="1" applyFill="1" applyBorder="1" applyAlignment="1" applyProtection="1">
      <alignment horizontal="right"/>
      <protection locked="0"/>
    </xf>
    <xf numFmtId="0" fontId="18" fillId="42" borderId="35" xfId="0" applyFont="1" applyFill="1" applyBorder="1" applyAlignment="1" applyProtection="1">
      <alignment horizontal="right"/>
      <protection locked="0"/>
    </xf>
    <xf numFmtId="3" fontId="0" fillId="40" borderId="35" xfId="0" applyNumberFormat="1" applyFont="1" applyFill="1" applyBorder="1" applyAlignment="1" applyProtection="1">
      <alignment horizontal="right"/>
      <protection locked="0"/>
    </xf>
    <xf numFmtId="3" fontId="15" fillId="40" borderId="55" xfId="0" applyNumberFormat="1" applyFont="1" applyFill="1" applyBorder="1" applyAlignment="1" applyProtection="1">
      <alignment horizontal="right"/>
      <protection locked="0"/>
    </xf>
    <xf numFmtId="0" fontId="0" fillId="40" borderId="0" xfId="0" applyFont="1" applyFill="1" applyAlignment="1" applyProtection="1">
      <alignment horizontal="right"/>
      <protection locked="0"/>
    </xf>
    <xf numFmtId="3" fontId="0" fillId="39" borderId="44" xfId="0" applyNumberFormat="1" applyFont="1" applyFill="1" applyBorder="1" applyAlignment="1" applyProtection="1">
      <alignment horizontal="right"/>
      <protection locked="0"/>
    </xf>
    <xf numFmtId="3" fontId="15" fillId="40" borderId="59" xfId="0" applyNumberFormat="1" applyFont="1" applyFill="1" applyBorder="1" applyAlignment="1" applyProtection="1">
      <alignment horizontal="right"/>
      <protection locked="0"/>
    </xf>
    <xf numFmtId="3" fontId="15" fillId="40" borderId="40" xfId="0" applyNumberFormat="1" applyFont="1" applyFill="1" applyBorder="1" applyAlignment="1" applyProtection="1">
      <alignment horizontal="right"/>
      <protection locked="0"/>
    </xf>
    <xf numFmtId="3" fontId="25" fillId="40" borderId="42" xfId="0" applyNumberFormat="1" applyFont="1" applyFill="1" applyBorder="1" applyAlignment="1" applyProtection="1">
      <alignment horizontal="right"/>
      <protection locked="0"/>
    </xf>
    <xf numFmtId="3" fontId="25" fillId="40" borderId="40" xfId="0" applyNumberFormat="1" applyFont="1" applyFill="1" applyBorder="1" applyAlignment="1" applyProtection="1">
      <alignment horizontal="right"/>
      <protection locked="0"/>
    </xf>
    <xf numFmtId="3" fontId="25" fillId="40" borderId="60" xfId="0" applyNumberFormat="1" applyFont="1" applyFill="1" applyBorder="1" applyAlignment="1" applyProtection="1">
      <alignment horizontal="right"/>
      <protection locked="0"/>
    </xf>
    <xf numFmtId="3" fontId="25" fillId="40" borderId="59" xfId="0" applyNumberFormat="1" applyFont="1" applyFill="1" applyBorder="1" applyAlignment="1" applyProtection="1">
      <alignment horizontal="right"/>
      <protection locked="0"/>
    </xf>
    <xf numFmtId="3" fontId="26" fillId="40" borderId="40" xfId="0" applyNumberFormat="1" applyFont="1" applyFill="1" applyBorder="1" applyAlignment="1" applyProtection="1">
      <alignment horizontal="right"/>
      <protection locked="0"/>
    </xf>
    <xf numFmtId="3" fontId="15" fillId="40" borderId="60" xfId="0" applyNumberFormat="1" applyFont="1" applyFill="1" applyBorder="1" applyAlignment="1" applyProtection="1">
      <alignment horizontal="right"/>
      <protection locked="0"/>
    </xf>
    <xf numFmtId="3" fontId="25" fillId="40" borderId="39" xfId="0" applyNumberFormat="1" applyFont="1" applyFill="1" applyBorder="1" applyAlignment="1" applyProtection="1">
      <alignment horizontal="right"/>
      <protection locked="0"/>
    </xf>
    <xf numFmtId="3" fontId="0" fillId="33" borderId="64" xfId="0" applyNumberFormat="1" applyFont="1" applyFill="1" applyBorder="1" applyAlignment="1" applyProtection="1">
      <alignment horizontal="right"/>
      <protection/>
    </xf>
    <xf numFmtId="3" fontId="0" fillId="33" borderId="59" xfId="0" applyNumberFormat="1" applyFont="1" applyFill="1" applyBorder="1" applyAlignment="1" applyProtection="1">
      <alignment horizontal="right"/>
      <protection/>
    </xf>
    <xf numFmtId="3" fontId="34" fillId="33" borderId="55" xfId="0" applyNumberFormat="1" applyFont="1" applyFill="1" applyBorder="1" applyAlignment="1" applyProtection="1">
      <alignment horizontal="right"/>
      <protection/>
    </xf>
    <xf numFmtId="0" fontId="34" fillId="33" borderId="55" xfId="0" applyNumberFormat="1" applyFont="1" applyFill="1" applyBorder="1" applyAlignment="1" applyProtection="1">
      <alignment horizontal="right"/>
      <protection/>
    </xf>
    <xf numFmtId="3" fontId="0" fillId="40" borderId="27" xfId="0" applyNumberFormat="1" applyFont="1" applyFill="1" applyBorder="1" applyAlignment="1" applyProtection="1">
      <alignment horizontal="right"/>
      <protection locked="0"/>
    </xf>
    <xf numFmtId="3" fontId="0" fillId="40" borderId="56" xfId="0" applyNumberFormat="1" applyFont="1" applyFill="1" applyBorder="1" applyAlignment="1" applyProtection="1">
      <alignment horizontal="right"/>
      <protection locked="0"/>
    </xf>
    <xf numFmtId="3" fontId="34" fillId="40" borderId="34" xfId="0" applyNumberFormat="1" applyFont="1" applyFill="1" applyBorder="1" applyAlignment="1" applyProtection="1">
      <alignment horizontal="right"/>
      <protection locked="0"/>
    </xf>
    <xf numFmtId="0" fontId="0" fillId="40" borderId="65" xfId="0" applyFont="1" applyFill="1" applyBorder="1" applyAlignment="1" applyProtection="1">
      <alignment horizontal="left"/>
      <protection/>
    </xf>
    <xf numFmtId="21" fontId="3" fillId="40" borderId="22" xfId="0" applyNumberFormat="1" applyFont="1" applyFill="1" applyBorder="1" applyAlignment="1" applyProtection="1">
      <alignment horizontal="left"/>
      <protection/>
    </xf>
    <xf numFmtId="20" fontId="3" fillId="40" borderId="66" xfId="0" applyNumberFormat="1" applyFont="1" applyFill="1" applyBorder="1" applyAlignment="1" applyProtection="1">
      <alignment horizontal="left"/>
      <protection/>
    </xf>
    <xf numFmtId="0" fontId="0" fillId="40" borderId="67" xfId="0" applyFont="1" applyFill="1" applyBorder="1" applyAlignment="1" applyProtection="1">
      <alignment horizontal="left"/>
      <protection/>
    </xf>
    <xf numFmtId="20" fontId="3" fillId="40" borderId="29" xfId="0" applyNumberFormat="1" applyFont="1" applyFill="1" applyBorder="1" applyAlignment="1" applyProtection="1">
      <alignment horizontal="left"/>
      <protection/>
    </xf>
    <xf numFmtId="21" fontId="3" fillId="40" borderId="52" xfId="0" applyNumberFormat="1" applyFont="1" applyFill="1" applyBorder="1" applyAlignment="1" applyProtection="1">
      <alignment horizontal="left"/>
      <protection/>
    </xf>
    <xf numFmtId="3" fontId="25" fillId="40" borderId="68" xfId="0" applyNumberFormat="1" applyFont="1" applyFill="1" applyBorder="1" applyAlignment="1" applyProtection="1">
      <alignment horizontal="right"/>
      <protection locked="0"/>
    </xf>
    <xf numFmtId="3" fontId="25" fillId="40" borderId="57" xfId="0" applyNumberFormat="1" applyFont="1" applyFill="1" applyBorder="1" applyAlignment="1" applyProtection="1">
      <alignment horizontal="right"/>
      <protection locked="0"/>
    </xf>
    <xf numFmtId="3" fontId="35" fillId="40" borderId="34" xfId="0" applyNumberFormat="1" applyFont="1" applyFill="1" applyBorder="1" applyAlignment="1" applyProtection="1">
      <alignment horizontal="right"/>
      <protection locked="0"/>
    </xf>
    <xf numFmtId="3" fontId="35" fillId="40" borderId="42" xfId="0" applyNumberFormat="1" applyFont="1" applyFill="1" applyBorder="1" applyAlignment="1" applyProtection="1">
      <alignment horizontal="right"/>
      <protection locked="0"/>
    </xf>
    <xf numFmtId="3" fontId="35" fillId="40" borderId="55" xfId="0" applyNumberFormat="1" applyFont="1" applyFill="1" applyBorder="1" applyAlignment="1" applyProtection="1">
      <alignment horizontal="right"/>
      <protection locked="0"/>
    </xf>
    <xf numFmtId="3" fontId="0" fillId="40" borderId="69" xfId="0" applyNumberFormat="1" applyFont="1" applyFill="1" applyBorder="1" applyAlignment="1" applyProtection="1">
      <alignment horizontal="right"/>
      <protection locked="0"/>
    </xf>
    <xf numFmtId="3" fontId="0" fillId="40" borderId="70" xfId="0" applyNumberFormat="1" applyFont="1" applyFill="1" applyBorder="1" applyAlignment="1" applyProtection="1">
      <alignment horizontal="right"/>
      <protection locked="0"/>
    </xf>
    <xf numFmtId="3" fontId="0" fillId="40" borderId="58" xfId="0" applyNumberFormat="1" applyFont="1" applyFill="1" applyBorder="1" applyAlignment="1" applyProtection="1">
      <alignment horizontal="right"/>
      <protection locked="0"/>
    </xf>
    <xf numFmtId="3" fontId="0" fillId="40" borderId="40" xfId="0" applyNumberFormat="1" applyFont="1" applyFill="1" applyBorder="1" applyAlignment="1" applyProtection="1">
      <alignment horizontal="right"/>
      <protection locked="0"/>
    </xf>
    <xf numFmtId="3" fontId="34" fillId="33" borderId="58" xfId="0" applyNumberFormat="1" applyFont="1" applyFill="1" applyBorder="1" applyAlignment="1" applyProtection="1">
      <alignment horizontal="right"/>
      <protection/>
    </xf>
    <xf numFmtId="3" fontId="34" fillId="40" borderId="70" xfId="0" applyNumberFormat="1" applyFont="1" applyFill="1" applyBorder="1" applyAlignment="1" applyProtection="1">
      <alignment horizontal="right"/>
      <protection locked="0"/>
    </xf>
    <xf numFmtId="3" fontId="34" fillId="40" borderId="64" xfId="0" applyNumberFormat="1" applyFont="1" applyFill="1" applyBorder="1" applyAlignment="1" applyProtection="1">
      <alignment horizontal="right"/>
      <protection locked="0"/>
    </xf>
    <xf numFmtId="3" fontId="34" fillId="40" borderId="58" xfId="0" applyNumberFormat="1" applyFont="1" applyFill="1" applyBorder="1" applyAlignment="1" applyProtection="1">
      <alignment horizontal="right"/>
      <protection locked="0"/>
    </xf>
    <xf numFmtId="3" fontId="34" fillId="40" borderId="71" xfId="0" applyNumberFormat="1" applyFont="1" applyFill="1" applyBorder="1" applyAlignment="1" applyProtection="1">
      <alignment horizontal="right"/>
      <protection locked="0"/>
    </xf>
    <xf numFmtId="0" fontId="34" fillId="33" borderId="58" xfId="0" applyNumberFormat="1" applyFont="1" applyFill="1" applyBorder="1" applyAlignment="1" applyProtection="1">
      <alignment horizontal="right"/>
      <protection/>
    </xf>
    <xf numFmtId="3" fontId="34" fillId="40" borderId="61" xfId="0" applyNumberFormat="1" applyFont="1" applyFill="1" applyBorder="1" applyAlignment="1" applyProtection="1">
      <alignment horizontal="right"/>
      <protection locked="0"/>
    </xf>
    <xf numFmtId="3" fontId="0" fillId="40" borderId="24" xfId="0" applyNumberFormat="1" applyFont="1" applyFill="1" applyBorder="1" applyAlignment="1" applyProtection="1">
      <alignment horizontal="right"/>
      <protection locked="0"/>
    </xf>
    <xf numFmtId="3" fontId="0" fillId="40" borderId="30" xfId="0" applyNumberFormat="1" applyFont="1" applyFill="1" applyBorder="1" applyAlignment="1" applyProtection="1">
      <alignment horizontal="right"/>
      <protection locked="0"/>
    </xf>
    <xf numFmtId="3" fontId="0" fillId="40" borderId="33" xfId="0" applyNumberFormat="1" applyFont="1" applyFill="1" applyBorder="1" applyAlignment="1" applyProtection="1">
      <alignment horizontal="right"/>
      <protection locked="0"/>
    </xf>
    <xf numFmtId="3" fontId="34" fillId="40" borderId="30" xfId="0" applyNumberFormat="1" applyFont="1" applyFill="1" applyBorder="1" applyAlignment="1" applyProtection="1">
      <alignment horizontal="right"/>
      <protection locked="0"/>
    </xf>
    <xf numFmtId="3" fontId="34" fillId="40" borderId="33" xfId="0" applyNumberFormat="1" applyFont="1" applyFill="1" applyBorder="1" applyAlignment="1" applyProtection="1">
      <alignment horizontal="right"/>
      <protection locked="0"/>
    </xf>
    <xf numFmtId="3" fontId="34" fillId="40" borderId="40" xfId="0" applyNumberFormat="1" applyFont="1" applyFill="1" applyBorder="1" applyAlignment="1" applyProtection="1">
      <alignment horizontal="right"/>
      <protection locked="0"/>
    </xf>
    <xf numFmtId="3" fontId="15" fillId="40" borderId="70" xfId="0" applyNumberFormat="1" applyFont="1" applyFill="1" applyBorder="1" applyAlignment="1" applyProtection="1">
      <alignment horizontal="right"/>
      <protection locked="0"/>
    </xf>
    <xf numFmtId="3" fontId="15" fillId="40" borderId="64" xfId="0" applyNumberFormat="1" applyFont="1" applyFill="1" applyBorder="1" applyAlignment="1" applyProtection="1">
      <alignment horizontal="right"/>
      <protection locked="0"/>
    </xf>
    <xf numFmtId="3" fontId="15" fillId="40" borderId="58" xfId="0" applyNumberFormat="1" applyFont="1" applyFill="1" applyBorder="1" applyAlignment="1" applyProtection="1">
      <alignment horizontal="right"/>
      <protection locked="0"/>
    </xf>
    <xf numFmtId="3" fontId="0" fillId="40" borderId="61" xfId="0" applyNumberFormat="1" applyFont="1" applyFill="1" applyBorder="1" applyAlignment="1" applyProtection="1">
      <alignment horizontal="right"/>
      <protection locked="0"/>
    </xf>
    <xf numFmtId="3" fontId="0" fillId="39" borderId="72" xfId="0" applyNumberFormat="1" applyFont="1" applyFill="1" applyBorder="1" applyAlignment="1" applyProtection="1">
      <alignment horizontal="right"/>
      <protection/>
    </xf>
    <xf numFmtId="3" fontId="0" fillId="39" borderId="73" xfId="0" applyNumberFormat="1" applyFont="1" applyFill="1" applyBorder="1" applyAlignment="1" applyProtection="1">
      <alignment horizontal="right"/>
      <protection/>
    </xf>
    <xf numFmtId="3" fontId="0" fillId="39" borderId="74" xfId="0" applyNumberFormat="1" applyFont="1" applyFill="1" applyBorder="1" applyAlignment="1" applyProtection="1">
      <alignment horizontal="right"/>
      <protection/>
    </xf>
    <xf numFmtId="3" fontId="15" fillId="40" borderId="75" xfId="0" applyNumberFormat="1" applyFont="1" applyFill="1" applyBorder="1" applyAlignment="1" applyProtection="1">
      <alignment horizontal="right"/>
      <protection locked="0"/>
    </xf>
    <xf numFmtId="3" fontId="26" fillId="40" borderId="60" xfId="0" applyNumberFormat="1" applyFont="1" applyFill="1" applyBorder="1" applyAlignment="1" applyProtection="1">
      <alignment horizontal="right"/>
      <protection locked="0"/>
    </xf>
    <xf numFmtId="3" fontId="26" fillId="40" borderId="41" xfId="0" applyNumberFormat="1" applyFont="1" applyFill="1" applyBorder="1" applyAlignment="1" applyProtection="1">
      <alignment horizontal="right"/>
      <protection locked="0"/>
    </xf>
    <xf numFmtId="3" fontId="26" fillId="40" borderId="42" xfId="0" applyNumberFormat="1" applyFont="1" applyFill="1" applyBorder="1" applyAlignment="1" applyProtection="1">
      <alignment horizontal="right"/>
      <protection locked="0"/>
    </xf>
    <xf numFmtId="0" fontId="0" fillId="40" borderId="0" xfId="0" applyFont="1" applyFill="1" applyAlignment="1" applyProtection="1">
      <alignment/>
      <protection locked="0"/>
    </xf>
    <xf numFmtId="0" fontId="0" fillId="44" borderId="0" xfId="0" applyFont="1" applyFill="1" applyAlignment="1">
      <alignment/>
    </xf>
    <xf numFmtId="0" fontId="3" fillId="40" borderId="29" xfId="0" applyFont="1" applyFill="1" applyBorder="1" applyAlignment="1" applyProtection="1">
      <alignment/>
      <protection/>
    </xf>
    <xf numFmtId="0" fontId="0" fillId="44" borderId="0" xfId="0" applyFill="1" applyAlignment="1">
      <alignment/>
    </xf>
    <xf numFmtId="0" fontId="0" fillId="44" borderId="0" xfId="0" applyFont="1" applyFill="1" applyBorder="1" applyAlignment="1" applyProtection="1">
      <alignment horizontal="left"/>
      <protection/>
    </xf>
    <xf numFmtId="0" fontId="0" fillId="44" borderId="0" xfId="0" applyFont="1" applyFill="1" applyAlignment="1">
      <alignment horizontal="left"/>
    </xf>
    <xf numFmtId="21" fontId="3" fillId="40" borderId="26" xfId="0" applyNumberFormat="1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44" borderId="0" xfId="0" applyFont="1" applyFill="1" applyAlignment="1" applyProtection="1">
      <alignment horizontal="left"/>
      <protection/>
    </xf>
    <xf numFmtId="0" fontId="21" fillId="44" borderId="0" xfId="0" applyFont="1" applyFill="1" applyAlignment="1" applyProtection="1">
      <alignment horizontal="left"/>
      <protection/>
    </xf>
    <xf numFmtId="3" fontId="0" fillId="44" borderId="0" xfId="0" applyNumberFormat="1" applyFont="1" applyFill="1" applyAlignment="1" applyProtection="1">
      <alignment horizontal="left"/>
      <protection/>
    </xf>
    <xf numFmtId="0" fontId="0" fillId="44" borderId="0" xfId="50" applyFont="1" applyFill="1" applyAlignment="1" applyProtection="1">
      <alignment horizontal="left"/>
      <protection/>
    </xf>
    <xf numFmtId="0" fontId="21" fillId="44" borderId="0" xfId="50" applyFont="1" applyFill="1" applyAlignment="1" applyProtection="1">
      <alignment horizontal="left"/>
      <protection/>
    </xf>
    <xf numFmtId="0" fontId="0" fillId="44" borderId="0" xfId="50" applyFill="1">
      <alignment/>
      <protection/>
    </xf>
    <xf numFmtId="3" fontId="25" fillId="45" borderId="55" xfId="0" applyNumberFormat="1" applyFont="1" applyFill="1" applyBorder="1" applyAlignment="1" applyProtection="1">
      <alignment horizontal="right"/>
      <protection locked="0"/>
    </xf>
    <xf numFmtId="3" fontId="0" fillId="45" borderId="58" xfId="0" applyNumberFormat="1" applyFont="1" applyFill="1" applyBorder="1" applyAlignment="1" applyProtection="1">
      <alignment horizontal="right"/>
      <protection locked="0"/>
    </xf>
    <xf numFmtId="3" fontId="0" fillId="45" borderId="55" xfId="0" applyNumberFormat="1" applyFont="1" applyFill="1" applyBorder="1" applyAlignment="1" applyProtection="1">
      <alignment horizontal="right"/>
      <protection locked="0"/>
    </xf>
    <xf numFmtId="3" fontId="25" fillId="45" borderId="57" xfId="0" applyNumberFormat="1" applyFont="1" applyFill="1" applyBorder="1" applyAlignment="1" applyProtection="1">
      <alignment horizontal="right"/>
      <protection locked="0"/>
    </xf>
    <xf numFmtId="3" fontId="25" fillId="45" borderId="68" xfId="0" applyNumberFormat="1" applyFont="1" applyFill="1" applyBorder="1" applyAlignment="1" applyProtection="1">
      <alignment horizontal="right"/>
      <protection locked="0"/>
    </xf>
    <xf numFmtId="3" fontId="34" fillId="45" borderId="71" xfId="0" applyNumberFormat="1" applyFont="1" applyFill="1" applyBorder="1" applyAlignment="1" applyProtection="1">
      <alignment horizontal="right"/>
      <protection locked="0"/>
    </xf>
    <xf numFmtId="3" fontId="34" fillId="45" borderId="34" xfId="0" applyNumberFormat="1" applyFont="1" applyFill="1" applyBorder="1" applyAlignment="1" applyProtection="1">
      <alignment horizontal="right"/>
      <protection locked="0"/>
    </xf>
    <xf numFmtId="3" fontId="34" fillId="45" borderId="64" xfId="0" applyNumberFormat="1" applyFont="1" applyFill="1" applyBorder="1" applyAlignment="1" applyProtection="1">
      <alignment horizontal="right"/>
      <protection locked="0"/>
    </xf>
    <xf numFmtId="3" fontId="34" fillId="45" borderId="59" xfId="0" applyNumberFormat="1" applyFont="1" applyFill="1" applyBorder="1" applyAlignment="1" applyProtection="1">
      <alignment horizontal="right"/>
      <protection locked="0"/>
    </xf>
    <xf numFmtId="3" fontId="34" fillId="45" borderId="70" xfId="0" applyNumberFormat="1" applyFont="1" applyFill="1" applyBorder="1" applyAlignment="1" applyProtection="1">
      <alignment horizontal="right"/>
      <protection locked="0"/>
    </xf>
    <xf numFmtId="3" fontId="34" fillId="45" borderId="42" xfId="0" applyNumberFormat="1" applyFont="1" applyFill="1" applyBorder="1" applyAlignment="1" applyProtection="1">
      <alignment horizontal="right"/>
      <protection locked="0"/>
    </xf>
    <xf numFmtId="3" fontId="34" fillId="45" borderId="35" xfId="0" applyNumberFormat="1" applyFont="1" applyFill="1" applyBorder="1" applyAlignment="1" applyProtection="1">
      <alignment horizontal="right"/>
      <protection locked="0"/>
    </xf>
    <xf numFmtId="20" fontId="3" fillId="40" borderId="47" xfId="0" applyNumberFormat="1" applyFont="1" applyFill="1" applyBorder="1" applyAlignment="1" applyProtection="1">
      <alignment horizontal="left"/>
      <protection/>
    </xf>
    <xf numFmtId="0" fontId="0" fillId="40" borderId="76" xfId="0" applyFont="1" applyFill="1" applyBorder="1" applyAlignment="1" applyProtection="1">
      <alignment horizontal="left"/>
      <protection/>
    </xf>
    <xf numFmtId="3" fontId="0" fillId="40" borderId="77" xfId="0" applyNumberFormat="1" applyFont="1" applyFill="1" applyBorder="1" applyAlignment="1" applyProtection="1">
      <alignment horizontal="right"/>
      <protection locked="0"/>
    </xf>
    <xf numFmtId="3" fontId="0" fillId="44" borderId="0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AdminAppl" xfId="51"/>
    <cellStyle name="Normal_BIS del 4 990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BIA" xfId="61"/>
    <cellStyle name="Comma [0]" xfId="62"/>
    <cellStyle name="Utdata" xfId="63"/>
    <cellStyle name="Currency" xfId="64"/>
    <cellStyle name="Valuta (0)_BIA" xfId="65"/>
    <cellStyle name="Currency [0]" xfId="66"/>
    <cellStyle name="Varnings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1" name="cmdSkic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266950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2" name="cmdLasInText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3" name="cmdKontroll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7145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4" name="Picture 4" descr="huv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638425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1">
      <selection activeCell="D591" sqref="D591"/>
    </sheetView>
  </sheetViews>
  <sheetFormatPr defaultColWidth="9.140625" defaultRowHeight="12.75"/>
  <cols>
    <col min="1" max="1" width="33.28125" style="11" bestFit="1" customWidth="1"/>
    <col min="2" max="2" width="12.28125" style="11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N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57421875" style="194" customWidth="1"/>
    <col min="2" max="2" width="4.140625" style="194" customWidth="1"/>
    <col min="3" max="3" width="28.8515625" style="194" customWidth="1"/>
    <col min="4" max="4" width="37.7109375" style="194" bestFit="1" customWidth="1"/>
    <col min="5" max="5" width="38.28125" style="194" customWidth="1"/>
    <col min="6" max="6" width="2.00390625" style="194" customWidth="1"/>
    <col min="7" max="16384" width="9.140625" style="194" customWidth="1"/>
  </cols>
  <sheetData>
    <row r="1" s="120" customFormat="1" ht="12.75"/>
    <row r="2" s="120" customFormat="1" ht="18">
      <c r="E2" s="121" t="s">
        <v>865</v>
      </c>
    </row>
    <row r="3" s="120" customFormat="1" ht="12.75"/>
    <row r="4" spans="1:92" ht="18">
      <c r="A4" s="120"/>
      <c r="B4" s="91" t="s">
        <v>942</v>
      </c>
      <c r="C4" s="175"/>
      <c r="D4" s="176"/>
      <c r="E4" s="177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</row>
    <row r="5" spans="1:92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</row>
    <row r="6" spans="1:92" ht="16.5" thickBot="1">
      <c r="A6" s="120"/>
      <c r="B6" s="74" t="s">
        <v>943</v>
      </c>
      <c r="C6" s="74"/>
      <c r="D6" s="76"/>
      <c r="E6" s="76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</row>
    <row r="7" spans="1:92" ht="15">
      <c r="A7" s="120"/>
      <c r="B7" s="98" t="s">
        <v>291</v>
      </c>
      <c r="C7" s="178"/>
      <c r="D7" s="137" t="s">
        <v>870</v>
      </c>
      <c r="E7" s="218" t="s">
        <v>871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</row>
    <row r="8" spans="1:92" ht="13.5" thickBot="1">
      <c r="A8" s="120"/>
      <c r="B8" s="96"/>
      <c r="C8" s="215"/>
      <c r="D8" s="219"/>
      <c r="E8" s="2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</row>
    <row r="9" spans="1:92" ht="15.75" customHeight="1">
      <c r="A9" s="120"/>
      <c r="B9" s="173" t="s">
        <v>296</v>
      </c>
      <c r="C9" s="201" t="s">
        <v>315</v>
      </c>
      <c r="D9" s="321"/>
      <c r="E9" s="278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</row>
    <row r="10" spans="1:92" ht="15.75" customHeight="1" thickBot="1">
      <c r="A10" s="120"/>
      <c r="B10" s="173" t="s">
        <v>298</v>
      </c>
      <c r="C10" s="201" t="s">
        <v>316</v>
      </c>
      <c r="D10" s="322"/>
      <c r="E10" s="268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</row>
    <row r="11" spans="1:92" ht="15.75" customHeight="1" thickBot="1">
      <c r="A11" s="120"/>
      <c r="B11" s="174" t="s">
        <v>299</v>
      </c>
      <c r="C11" s="199" t="s">
        <v>944</v>
      </c>
      <c r="D11" s="323"/>
      <c r="E11" s="27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</row>
    <row r="12" spans="1:92" ht="15.75" customHeight="1" thickBot="1">
      <c r="A12" s="120"/>
      <c r="B12" s="174" t="s">
        <v>300</v>
      </c>
      <c r="C12" s="221" t="s">
        <v>945</v>
      </c>
      <c r="D12" s="222"/>
      <c r="E12" s="27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</row>
    <row r="13" spans="1:92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</row>
    <row r="14" spans="1:92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</row>
    <row r="15" spans="1:92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</row>
    <row r="16" spans="1:92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</row>
    <row r="17" spans="1:92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</row>
    <row r="18" spans="1:92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</row>
    <row r="19" spans="1:92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</row>
    <row r="20" spans="1:92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</row>
    <row r="21" spans="1:92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</row>
    <row r="22" spans="1:92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</row>
    <row r="23" spans="1:92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</row>
    <row r="24" spans="1:92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</row>
    <row r="25" spans="1:92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</row>
    <row r="26" spans="1:92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</row>
    <row r="27" spans="1:92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</row>
    <row r="28" spans="1:92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</row>
    <row r="29" spans="1:92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</row>
    <row r="30" spans="1:92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</row>
    <row r="31" spans="1:92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</row>
    <row r="32" spans="1:92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</row>
    <row r="33" spans="1:92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</row>
    <row r="34" spans="1:92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</row>
    <row r="35" spans="1:92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</row>
    <row r="36" spans="1:92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</row>
    <row r="37" spans="1:92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</row>
    <row r="38" spans="1:92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</row>
    <row r="39" spans="1:92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</row>
    <row r="40" spans="1:92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</row>
    <row r="41" spans="1:92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</row>
    <row r="42" spans="1:92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</row>
    <row r="43" spans="1:92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</row>
    <row r="44" spans="1:92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</row>
    <row r="45" spans="1:92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</row>
    <row r="46" spans="1:92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</row>
    <row r="47" spans="1:92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</row>
    <row r="48" spans="1:92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</row>
    <row r="49" spans="1:92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</row>
    <row r="50" spans="1:92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</row>
    <row r="51" spans="1:92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</row>
    <row r="52" spans="1:92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</row>
    <row r="53" spans="1:92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</row>
    <row r="54" spans="1:92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</row>
    <row r="55" spans="1:92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</row>
    <row r="56" spans="1:92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</row>
    <row r="57" spans="1:92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</row>
    <row r="58" spans="1:92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</row>
    <row r="59" spans="1:92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</row>
    <row r="60" spans="1:92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</row>
    <row r="61" spans="1:92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</row>
    <row r="62" spans="1:92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</row>
    <row r="63" spans="1:92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</row>
    <row r="64" spans="1:54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</row>
    <row r="65" spans="1:54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</row>
    <row r="66" spans="1:54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</row>
    <row r="67" spans="1:54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</row>
    <row r="68" spans="1:54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</row>
    <row r="69" spans="1:54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</row>
    <row r="70" spans="1:54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</row>
    <row r="71" spans="1:54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</row>
    <row r="72" spans="1:54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</row>
    <row r="73" spans="1:54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</row>
    <row r="74" spans="1:54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</row>
    <row r="75" spans="1:54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</row>
    <row r="76" spans="1:54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</row>
    <row r="77" spans="1:54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</row>
    <row r="78" spans="1:54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</row>
    <row r="79" spans="1:54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</row>
    <row r="80" spans="1:54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</row>
    <row r="81" spans="1:54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</row>
    <row r="82" spans="1:54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</row>
    <row r="83" spans="1:54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</row>
    <row r="84" spans="1:54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</row>
    <row r="85" spans="1:54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</row>
    <row r="86" spans="1:54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</row>
    <row r="87" spans="1:54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</row>
    <row r="88" spans="1:54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</row>
    <row r="89" spans="1:54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</row>
    <row r="91" spans="1:54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</row>
    <row r="92" spans="1:54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</row>
    <row r="93" spans="1:54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</row>
    <row r="94" spans="1:54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</row>
    <row r="95" spans="1:54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</row>
    <row r="96" spans="1:54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</row>
    <row r="97" spans="1:54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</row>
    <row r="98" spans="1:54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</row>
    <row r="99" spans="1:54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</row>
    <row r="100" spans="1:54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</row>
    <row r="101" spans="1:54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</row>
    <row r="102" spans="1:54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</row>
    <row r="103" spans="1:54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</row>
    <row r="104" spans="1:54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</row>
    <row r="105" spans="1:54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</row>
    <row r="106" spans="1:54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</row>
    <row r="107" spans="1:54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</row>
  </sheetData>
  <sheetProtection password="E847" sheet="1" objects="1" scenarios="1"/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20" customWidth="1"/>
    <col min="2" max="2" width="3.8515625" style="120" customWidth="1"/>
    <col min="3" max="3" width="48.57421875" style="120" customWidth="1"/>
    <col min="4" max="4" width="37.7109375" style="120" bestFit="1" customWidth="1"/>
    <col min="5" max="5" width="34.7109375" style="120" bestFit="1" customWidth="1"/>
    <col min="6" max="6" width="4.28125" style="120" customWidth="1"/>
    <col min="7" max="9" width="17.8515625" style="120" customWidth="1"/>
    <col min="10" max="16384" width="13.57421875" style="120" customWidth="1"/>
  </cols>
  <sheetData>
    <row r="1" ht="12.75"/>
    <row r="2" ht="18">
      <c r="E2" s="121" t="s">
        <v>865</v>
      </c>
    </row>
    <row r="3" ht="12.75"/>
    <row r="4" spans="1:8" ht="20.25" customHeight="1">
      <c r="A4" s="70"/>
      <c r="B4" s="93" t="s">
        <v>946</v>
      </c>
      <c r="C4" s="128"/>
      <c r="D4" s="70"/>
      <c r="E4" s="177"/>
      <c r="F4" s="70"/>
      <c r="G4" s="130"/>
      <c r="H4" s="70"/>
    </row>
    <row r="5" spans="2:7" ht="12.75">
      <c r="B5" s="131"/>
      <c r="C5" s="131"/>
      <c r="D5" s="69"/>
      <c r="E5" s="69"/>
      <c r="F5" s="69"/>
      <c r="G5" s="132"/>
    </row>
    <row r="6" spans="2:7" ht="20.25" customHeight="1" thickBot="1">
      <c r="B6" s="100" t="s">
        <v>310</v>
      </c>
      <c r="C6" s="133"/>
      <c r="D6" s="134"/>
      <c r="E6" s="134"/>
      <c r="F6" s="135"/>
      <c r="G6" s="69"/>
    </row>
    <row r="7" spans="2:7" ht="15">
      <c r="B7" s="98" t="s">
        <v>291</v>
      </c>
      <c r="C7" s="223"/>
      <c r="D7" s="188" t="s">
        <v>870</v>
      </c>
      <c r="E7" s="117" t="s">
        <v>871</v>
      </c>
      <c r="F7" s="61"/>
      <c r="G7" s="69"/>
    </row>
    <row r="8" spans="2:7" ht="13.5" thickBot="1">
      <c r="B8" s="138"/>
      <c r="C8" s="139"/>
      <c r="D8" s="140"/>
      <c r="E8" s="118"/>
      <c r="F8" s="61"/>
      <c r="G8" s="69"/>
    </row>
    <row r="9" spans="1:20" s="149" customFormat="1" ht="18" customHeight="1">
      <c r="A9" s="120"/>
      <c r="B9" s="150" t="s">
        <v>296</v>
      </c>
      <c r="C9" s="103" t="s">
        <v>947</v>
      </c>
      <c r="D9" s="269"/>
      <c r="E9" s="280"/>
      <c r="F9" s="63"/>
      <c r="G9" s="14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s="149" customFormat="1" ht="18" customHeight="1">
      <c r="A10" s="120"/>
      <c r="B10" s="150" t="s">
        <v>298</v>
      </c>
      <c r="C10" s="103" t="s">
        <v>948</v>
      </c>
      <c r="D10" s="276"/>
      <c r="E10" s="281"/>
      <c r="F10" s="63"/>
      <c r="G10" s="143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s="149" customFormat="1" ht="18" customHeight="1">
      <c r="A11" s="120"/>
      <c r="B11" s="150" t="s">
        <v>299</v>
      </c>
      <c r="C11" s="103" t="s">
        <v>949</v>
      </c>
      <c r="D11" s="271"/>
      <c r="E11" s="279"/>
      <c r="F11" s="264"/>
      <c r="G11" s="143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0" s="149" customFormat="1" ht="18" customHeight="1" thickBot="1">
      <c r="A12" s="120"/>
      <c r="B12" s="224" t="s">
        <v>300</v>
      </c>
      <c r="C12" s="225" t="s">
        <v>950</v>
      </c>
      <c r="D12" s="226"/>
      <c r="E12" s="282"/>
      <c r="F12" s="63"/>
      <c r="G12" s="143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49" customFormat="1" ht="18" customHeight="1" thickBot="1">
      <c r="A13" s="120"/>
      <c r="B13" s="227" t="s">
        <v>301</v>
      </c>
      <c r="C13" s="164" t="s">
        <v>951</v>
      </c>
      <c r="D13" s="267"/>
      <c r="E13" s="273"/>
      <c r="F13" s="63"/>
      <c r="G13" s="14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2:7" ht="18" customHeight="1" thickBot="1">
      <c r="B14" s="227" t="s">
        <v>302</v>
      </c>
      <c r="C14" s="228" t="s">
        <v>952</v>
      </c>
      <c r="D14" s="267"/>
      <c r="E14" s="273"/>
      <c r="F14" s="68"/>
      <c r="G14" s="143"/>
    </row>
    <row r="15" spans="2:7" ht="18" customHeight="1">
      <c r="B15" s="229"/>
      <c r="C15" s="158"/>
      <c r="D15" s="206"/>
      <c r="E15" s="206"/>
      <c r="F15" s="68"/>
      <c r="G15" s="143"/>
    </row>
    <row r="16" spans="2:5" ht="12.75">
      <c r="B16" s="160" t="s">
        <v>890</v>
      </c>
      <c r="C16" s="160" t="s">
        <v>953</v>
      </c>
      <c r="D16" s="67"/>
      <c r="E16" s="68"/>
    </row>
    <row r="17" spans="2:5" ht="12.75">
      <c r="B17" s="160" t="s">
        <v>931</v>
      </c>
      <c r="C17" s="160" t="s">
        <v>954</v>
      </c>
      <c r="D17" s="67"/>
      <c r="E17" s="68"/>
    </row>
    <row r="18" spans="3:5" ht="18" customHeight="1">
      <c r="C18" s="159"/>
      <c r="D18" s="67"/>
      <c r="E18" s="68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showZeros="0"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3.421875" style="111" customWidth="1"/>
    <col min="3" max="3" width="49.7109375" style="111" customWidth="1"/>
    <col min="4" max="4" width="37.7109375" style="111" bestFit="1" customWidth="1"/>
    <col min="5" max="5" width="34.00390625" style="111" bestFit="1" customWidth="1"/>
    <col min="6" max="6" width="3.7109375" style="111" customWidth="1"/>
    <col min="7" max="8" width="17.8515625" style="111" customWidth="1"/>
    <col min="9" max="16384" width="13.57421875" style="111" customWidth="1"/>
  </cols>
  <sheetData>
    <row r="1" s="120" customFormat="1" ht="12.75"/>
    <row r="2" s="120" customFormat="1" ht="18">
      <c r="E2" s="121" t="s">
        <v>865</v>
      </c>
    </row>
    <row r="3" s="120" customFormat="1" ht="12.75"/>
    <row r="4" spans="1:5" ht="20.25" customHeight="1">
      <c r="A4" s="187"/>
      <c r="B4" s="92" t="s">
        <v>955</v>
      </c>
      <c r="C4" s="175"/>
      <c r="D4" s="176"/>
      <c r="E4" s="177"/>
    </row>
    <row r="5" spans="2:6" ht="18" customHeight="1">
      <c r="B5" s="160"/>
      <c r="C5" s="160"/>
      <c r="D5" s="160"/>
      <c r="E5" s="160"/>
      <c r="F5" s="230"/>
    </row>
    <row r="6" spans="2:6" ht="20.25" customHeight="1" thickBot="1">
      <c r="B6" s="74" t="s">
        <v>956</v>
      </c>
      <c r="C6" s="74"/>
      <c r="D6" s="76"/>
      <c r="E6" s="76"/>
      <c r="F6" s="160"/>
    </row>
    <row r="7" spans="2:6" ht="15">
      <c r="B7" s="98" t="s">
        <v>291</v>
      </c>
      <c r="C7" s="178"/>
      <c r="D7" s="137" t="s">
        <v>870</v>
      </c>
      <c r="E7" s="179" t="s">
        <v>871</v>
      </c>
      <c r="F7" s="160"/>
    </row>
    <row r="8" spans="2:6" ht="13.5" thickBot="1">
      <c r="B8" s="96"/>
      <c r="C8" s="215"/>
      <c r="D8" s="97"/>
      <c r="E8" s="231"/>
      <c r="F8" s="160"/>
    </row>
    <row r="9" spans="2:6" ht="18" customHeight="1">
      <c r="B9" s="216" t="s">
        <v>296</v>
      </c>
      <c r="C9" s="106" t="s">
        <v>402</v>
      </c>
      <c r="D9" s="324"/>
      <c r="E9" s="307"/>
      <c r="F9" s="160"/>
    </row>
    <row r="10" spans="2:6" ht="18" customHeight="1">
      <c r="B10" s="216" t="s">
        <v>298</v>
      </c>
      <c r="C10" s="106" t="s">
        <v>401</v>
      </c>
      <c r="D10" s="324"/>
      <c r="E10" s="262"/>
      <c r="F10" s="232"/>
    </row>
    <row r="11" spans="2:6" ht="18" customHeight="1">
      <c r="B11" s="216" t="s">
        <v>299</v>
      </c>
      <c r="C11" s="106" t="s">
        <v>957</v>
      </c>
      <c r="D11" s="324"/>
      <c r="E11" s="262"/>
      <c r="F11" s="232"/>
    </row>
    <row r="12" spans="2:6" ht="18" customHeight="1">
      <c r="B12" s="216" t="s">
        <v>300</v>
      </c>
      <c r="C12" s="106" t="s">
        <v>1107</v>
      </c>
      <c r="D12" s="324"/>
      <c r="E12" s="262"/>
      <c r="F12" s="232"/>
    </row>
    <row r="13" spans="2:6" ht="18" customHeight="1">
      <c r="B13" s="216" t="s">
        <v>301</v>
      </c>
      <c r="C13" s="106" t="s">
        <v>958</v>
      </c>
      <c r="D13" s="324"/>
      <c r="E13" s="262"/>
      <c r="F13" s="232"/>
    </row>
    <row r="14" spans="2:6" ht="18" customHeight="1">
      <c r="B14" s="216" t="s">
        <v>302</v>
      </c>
      <c r="C14" s="106" t="s">
        <v>959</v>
      </c>
      <c r="D14" s="324"/>
      <c r="E14" s="262"/>
      <c r="F14" s="232"/>
    </row>
    <row r="15" spans="2:6" ht="18" customHeight="1">
      <c r="B15" s="216" t="s">
        <v>303</v>
      </c>
      <c r="C15" s="106" t="s">
        <v>879</v>
      </c>
      <c r="D15" s="263"/>
      <c r="E15" s="250"/>
      <c r="F15" s="232"/>
    </row>
    <row r="16" spans="2:7" ht="18" customHeight="1" thickBot="1">
      <c r="B16" s="233" t="s">
        <v>304</v>
      </c>
      <c r="C16" s="234" t="s">
        <v>961</v>
      </c>
      <c r="D16" s="286">
        <f>Inm_17898</f>
        <v>0</v>
      </c>
      <c r="E16" s="287">
        <f>Inm_17929</f>
        <v>0</v>
      </c>
      <c r="F16" s="185"/>
      <c r="G16" s="217"/>
    </row>
    <row r="17" spans="2:7" ht="18" customHeight="1">
      <c r="B17" s="206"/>
      <c r="C17" s="69"/>
      <c r="D17" s="67"/>
      <c r="E17" s="235"/>
      <c r="F17" s="185"/>
      <c r="G17" s="217"/>
    </row>
    <row r="18" spans="1:24" s="194" customFormat="1" ht="12.75">
      <c r="A18" s="120"/>
      <c r="B18" s="141"/>
      <c r="C18" s="69" t="s">
        <v>929</v>
      </c>
      <c r="D18" s="67"/>
      <c r="E18" s="120"/>
      <c r="F18" s="120"/>
      <c r="G18" s="12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194" customFormat="1" ht="12.75">
      <c r="A19" s="120"/>
      <c r="B19" s="206"/>
      <c r="C19" s="69"/>
      <c r="D19" s="67"/>
      <c r="E19" s="120"/>
      <c r="F19" s="120"/>
      <c r="G19" s="12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2:6" ht="18" customHeight="1">
      <c r="B20" s="160" t="s">
        <v>890</v>
      </c>
      <c r="C20" s="160" t="s">
        <v>962</v>
      </c>
      <c r="D20" s="84"/>
      <c r="E20" s="84"/>
      <c r="F20" s="160"/>
    </row>
    <row r="21" spans="2:6" ht="12.75">
      <c r="B21" s="160"/>
      <c r="C21" s="160" t="s">
        <v>723</v>
      </c>
      <c r="D21" s="84"/>
      <c r="E21" s="84"/>
      <c r="F21" s="160"/>
    </row>
    <row r="22" spans="3:6" ht="12.75">
      <c r="C22" s="160"/>
      <c r="D22" s="84"/>
      <c r="E22" s="84"/>
      <c r="F22" s="160"/>
    </row>
    <row r="23" spans="1:8" ht="12.75">
      <c r="A23" s="337"/>
      <c r="B23" s="343" t="s">
        <v>1130</v>
      </c>
      <c r="C23" s="343"/>
      <c r="D23" s="344"/>
      <c r="E23" s="345"/>
      <c r="F23" s="345"/>
      <c r="G23" s="345"/>
      <c r="H23" s="337"/>
    </row>
    <row r="24" spans="1:8" ht="12.75">
      <c r="A24" s="337"/>
      <c r="B24" s="343" t="s">
        <v>1131</v>
      </c>
      <c r="C24" s="343"/>
      <c r="D24" s="344"/>
      <c r="E24" s="345"/>
      <c r="F24" s="345"/>
      <c r="G24" s="345"/>
      <c r="H24" s="337"/>
    </row>
    <row r="25" spans="2:7" ht="18" customHeight="1">
      <c r="B25" s="206"/>
      <c r="C25" s="69"/>
      <c r="D25" s="67"/>
      <c r="E25" s="235"/>
      <c r="F25" s="185"/>
      <c r="G25" s="217"/>
    </row>
    <row r="26" ht="18" customHeight="1">
      <c r="D26" s="275"/>
    </row>
    <row r="27" ht="18" customHeight="1">
      <c r="D27" s="275"/>
    </row>
    <row r="28" ht="18" customHeight="1">
      <c r="D28" s="275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M19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3.421875" style="111" customWidth="1"/>
    <col min="3" max="3" width="49.7109375" style="111" customWidth="1"/>
    <col min="4" max="4" width="36.8515625" style="111" customWidth="1"/>
    <col min="5" max="5" width="34.00390625" style="111" bestFit="1" customWidth="1"/>
    <col min="6" max="6" width="3.7109375" style="111" customWidth="1"/>
    <col min="7" max="8" width="17.8515625" style="111" customWidth="1"/>
    <col min="9" max="16384" width="13.57421875" style="111" customWidth="1"/>
  </cols>
  <sheetData>
    <row r="1" s="120" customFormat="1" ht="12.75"/>
    <row r="2" s="120" customFormat="1" ht="18">
      <c r="E2" s="121" t="s">
        <v>865</v>
      </c>
    </row>
    <row r="3" s="120" customFormat="1" ht="12.75"/>
    <row r="4" spans="2:5" ht="15.75">
      <c r="B4" s="236"/>
      <c r="C4" s="86"/>
      <c r="D4" s="86"/>
      <c r="E4" s="237"/>
    </row>
    <row r="5" spans="1:5" ht="20.25" customHeight="1">
      <c r="A5" s="187"/>
      <c r="B5" s="92" t="s">
        <v>963</v>
      </c>
      <c r="C5" s="175"/>
      <c r="E5" s="177" t="s">
        <v>1132</v>
      </c>
    </row>
    <row r="6" spans="2:7" s="120" customFormat="1" ht="12.75">
      <c r="B6" s="131"/>
      <c r="C6" s="131"/>
      <c r="D6" s="69"/>
      <c r="E6" s="69"/>
      <c r="F6" s="69"/>
      <c r="G6" s="132"/>
    </row>
    <row r="7" spans="2:7" s="120" customFormat="1" ht="20.25" customHeight="1" thickBot="1">
      <c r="B7" s="100" t="s">
        <v>964</v>
      </c>
      <c r="C7" s="133"/>
      <c r="D7" s="134"/>
      <c r="E7" s="134"/>
      <c r="F7" s="135"/>
      <c r="G7" s="69"/>
    </row>
    <row r="8" spans="2:39" s="120" customFormat="1" ht="15">
      <c r="B8" s="98" t="s">
        <v>291</v>
      </c>
      <c r="C8" s="136"/>
      <c r="D8" s="238" t="s">
        <v>870</v>
      </c>
      <c r="E8" s="218" t="s">
        <v>871</v>
      </c>
      <c r="F8" s="61"/>
      <c r="G8" s="69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</row>
    <row r="9" spans="2:39" s="120" customFormat="1" ht="13.5" thickBot="1">
      <c r="B9" s="138"/>
      <c r="C9" s="139"/>
      <c r="D9" s="140"/>
      <c r="E9" s="118"/>
      <c r="F9" s="61"/>
      <c r="G9" s="69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</row>
    <row r="10" spans="2:39" s="149" customFormat="1" ht="18" customHeight="1">
      <c r="B10" s="150" t="s">
        <v>296</v>
      </c>
      <c r="C10" s="103" t="s">
        <v>947</v>
      </c>
      <c r="D10" s="325"/>
      <c r="E10" s="283"/>
      <c r="F10" s="63"/>
      <c r="G10" s="143"/>
      <c r="H10" s="120"/>
      <c r="I10" s="12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</row>
    <row r="11" spans="2:39" s="149" customFormat="1" ht="18" customHeight="1">
      <c r="B11" s="150" t="s">
        <v>298</v>
      </c>
      <c r="C11" s="103" t="s">
        <v>948</v>
      </c>
      <c r="D11" s="326"/>
      <c r="E11" s="330"/>
      <c r="F11" s="63"/>
      <c r="G11" s="143"/>
      <c r="H11" s="120"/>
      <c r="I11" s="12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</row>
    <row r="12" spans="2:39" s="149" customFormat="1" ht="18" customHeight="1">
      <c r="B12" s="150" t="s">
        <v>299</v>
      </c>
      <c r="C12" s="103" t="s">
        <v>949</v>
      </c>
      <c r="D12" s="326"/>
      <c r="E12" s="331"/>
      <c r="F12" s="63"/>
      <c r="G12" s="143"/>
      <c r="H12" s="120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</row>
    <row r="13" spans="2:39" s="149" customFormat="1" ht="18" customHeight="1" thickBot="1">
      <c r="B13" s="224" t="s">
        <v>300</v>
      </c>
      <c r="C13" s="225" t="s">
        <v>950</v>
      </c>
      <c r="D13" s="327"/>
      <c r="E13" s="329"/>
      <c r="F13" s="63"/>
      <c r="G13" s="143"/>
      <c r="H13" s="120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</row>
    <row r="14" spans="2:39" s="149" customFormat="1" ht="18" customHeight="1" thickBot="1">
      <c r="B14" s="239" t="s">
        <v>301</v>
      </c>
      <c r="C14" s="112" t="s">
        <v>965</v>
      </c>
      <c r="D14" s="328"/>
      <c r="E14" s="278"/>
      <c r="F14" s="63"/>
      <c r="G14" s="143"/>
      <c r="H14" s="120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</row>
    <row r="15" spans="2:39" s="120" customFormat="1" ht="18" customHeight="1" thickBot="1">
      <c r="B15" s="227" t="s">
        <v>302</v>
      </c>
      <c r="C15" s="228" t="s">
        <v>952</v>
      </c>
      <c r="D15" s="328"/>
      <c r="E15" s="278"/>
      <c r="F15" s="68"/>
      <c r="G15" s="143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</row>
    <row r="16" spans="2:7" s="120" customFormat="1" ht="18" customHeight="1">
      <c r="B16" s="229"/>
      <c r="C16" s="69"/>
      <c r="D16" s="206"/>
      <c r="E16" s="206"/>
      <c r="F16" s="68"/>
      <c r="G16" s="143"/>
    </row>
    <row r="17" spans="2:5" s="120" customFormat="1" ht="12.75">
      <c r="B17" s="160" t="s">
        <v>890</v>
      </c>
      <c r="C17" s="160" t="s">
        <v>953</v>
      </c>
      <c r="D17" s="67"/>
      <c r="E17" s="68"/>
    </row>
    <row r="18" spans="2:5" s="120" customFormat="1" ht="12.75">
      <c r="B18" s="160" t="s">
        <v>931</v>
      </c>
      <c r="C18" s="160" t="s">
        <v>954</v>
      </c>
      <c r="D18" s="67"/>
      <c r="E18" s="68"/>
    </row>
    <row r="19" spans="2:7" ht="18" customHeight="1">
      <c r="B19" s="206"/>
      <c r="C19" s="69"/>
      <c r="D19" s="67"/>
      <c r="E19" s="235"/>
      <c r="F19" s="185"/>
      <c r="G19" s="217"/>
    </row>
  </sheetData>
  <sheetProtection password="E847" sheet="1" objects="1" scenarios="1"/>
  <printOptions/>
  <pageMargins left="0.75" right="0.75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3"/>
  <sheetViews>
    <sheetView showZeros="0"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3.28125" style="111" customWidth="1"/>
    <col min="3" max="3" width="51.8515625" style="111" customWidth="1"/>
    <col min="4" max="4" width="50.140625" style="111" bestFit="1" customWidth="1"/>
    <col min="5" max="5" width="3.7109375" style="111" customWidth="1"/>
    <col min="6" max="9" width="17.8515625" style="111" customWidth="1"/>
    <col min="10" max="16384" width="13.57421875" style="111" customWidth="1"/>
  </cols>
  <sheetData>
    <row r="1" s="120" customFormat="1" ht="12.75"/>
    <row r="2" s="120" customFormat="1" ht="18">
      <c r="E2" s="121" t="s">
        <v>865</v>
      </c>
    </row>
    <row r="3" s="120" customFormat="1" ht="12.75"/>
    <row r="4" spans="1:6" ht="20.25" customHeight="1">
      <c r="A4" s="187"/>
      <c r="B4" s="91" t="s">
        <v>966</v>
      </c>
      <c r="C4" s="175"/>
      <c r="D4" s="177"/>
      <c r="E4" s="187"/>
      <c r="F4" s="176"/>
    </row>
    <row r="5" spans="2:7" ht="18" customHeight="1">
      <c r="B5" s="160"/>
      <c r="C5" s="160"/>
      <c r="D5" s="160"/>
      <c r="E5" s="160"/>
      <c r="F5" s="207"/>
      <c r="G5" s="230"/>
    </row>
    <row r="6" spans="2:7" ht="20.25" customHeight="1" thickBot="1">
      <c r="B6" s="74" t="s">
        <v>967</v>
      </c>
      <c r="C6" s="74"/>
      <c r="D6" s="76"/>
      <c r="E6" s="160"/>
      <c r="F6" s="160"/>
      <c r="G6" s="160"/>
    </row>
    <row r="7" spans="2:7" ht="15">
      <c r="B7" s="98" t="s">
        <v>291</v>
      </c>
      <c r="C7" s="99"/>
      <c r="D7" s="179" t="s">
        <v>968</v>
      </c>
      <c r="E7" s="240"/>
      <c r="F7" s="160"/>
      <c r="G7" s="160"/>
    </row>
    <row r="8" spans="2:7" ht="16.5" thickBot="1">
      <c r="B8" s="241"/>
      <c r="C8" s="242"/>
      <c r="D8" s="220"/>
      <c r="E8" s="160"/>
      <c r="F8" s="160"/>
      <c r="G8" s="160"/>
    </row>
    <row r="9" spans="2:7" ht="18" customHeight="1">
      <c r="B9" s="243" t="s">
        <v>296</v>
      </c>
      <c r="C9" s="244" t="s">
        <v>969</v>
      </c>
      <c r="D9" s="284"/>
      <c r="E9" s="160"/>
      <c r="F9" s="160"/>
      <c r="G9" s="160"/>
    </row>
    <row r="10" spans="2:7" ht="18" customHeight="1">
      <c r="B10" s="243" t="s">
        <v>298</v>
      </c>
      <c r="C10" s="244" t="s">
        <v>970</v>
      </c>
      <c r="D10" s="268"/>
      <c r="E10" s="160"/>
      <c r="F10" s="160"/>
      <c r="G10" s="160"/>
    </row>
    <row r="11" spans="2:7" ht="18" customHeight="1">
      <c r="B11" s="243" t="s">
        <v>299</v>
      </c>
      <c r="C11" s="244" t="s">
        <v>971</v>
      </c>
      <c r="D11" s="268"/>
      <c r="E11" s="160"/>
      <c r="F11" s="160"/>
      <c r="G11" s="160"/>
    </row>
    <row r="12" spans="2:7" ht="18" customHeight="1">
      <c r="B12" s="243" t="s">
        <v>300</v>
      </c>
      <c r="C12" s="244" t="s">
        <v>972</v>
      </c>
      <c r="D12" s="268"/>
      <c r="E12" s="160"/>
      <c r="F12" s="160"/>
      <c r="G12" s="160"/>
    </row>
    <row r="13" spans="2:7" ht="18" customHeight="1" thickBot="1">
      <c r="B13" s="245" t="s">
        <v>301</v>
      </c>
      <c r="C13" s="246" t="s">
        <v>56</v>
      </c>
      <c r="D13" s="277"/>
      <c r="E13" s="160"/>
      <c r="F13" s="160"/>
      <c r="G13" s="160"/>
    </row>
    <row r="14" spans="2:8" ht="18" customHeight="1">
      <c r="B14" s="235"/>
      <c r="C14" s="235"/>
      <c r="D14" s="235"/>
      <c r="E14" s="235"/>
      <c r="F14" s="235"/>
      <c r="G14" s="185"/>
      <c r="H14" s="217"/>
    </row>
    <row r="15" spans="2:8" ht="12.75">
      <c r="B15" s="85" t="s">
        <v>57</v>
      </c>
      <c r="C15" s="85" t="s">
        <v>58</v>
      </c>
      <c r="D15" s="85"/>
      <c r="E15" s="185"/>
      <c r="F15" s="85"/>
      <c r="G15" s="160"/>
      <c r="H15" s="160"/>
    </row>
    <row r="16" spans="2:8" ht="12.75">
      <c r="B16" s="85"/>
      <c r="C16" s="85"/>
      <c r="D16" s="85"/>
      <c r="E16" s="185"/>
      <c r="F16" s="85"/>
      <c r="G16" s="160"/>
      <c r="H16" s="160"/>
    </row>
    <row r="17" spans="2:8" ht="12.75">
      <c r="B17" s="85"/>
      <c r="C17" s="85"/>
      <c r="D17" s="85"/>
      <c r="E17" s="185"/>
      <c r="F17" s="85"/>
      <c r="G17" s="160"/>
      <c r="H17" s="207"/>
    </row>
    <row r="18" spans="3:6" ht="18" customHeight="1">
      <c r="C18" s="86"/>
      <c r="D18" s="83"/>
      <c r="E18" s="86"/>
      <c r="F18" s="86"/>
    </row>
    <row r="19" spans="2:7" ht="18" customHeight="1">
      <c r="B19" s="160"/>
      <c r="C19" s="160"/>
      <c r="D19" s="160"/>
      <c r="E19" s="160"/>
      <c r="F19" s="160"/>
      <c r="G19" s="160"/>
    </row>
    <row r="20" spans="2:7" ht="18" customHeight="1">
      <c r="B20" s="160"/>
      <c r="C20" s="160"/>
      <c r="D20" s="160"/>
      <c r="E20" s="160"/>
      <c r="F20" s="160"/>
      <c r="G20" s="160"/>
    </row>
    <row r="21" spans="1:7" ht="18" customHeight="1">
      <c r="A21" s="86"/>
      <c r="B21" s="185"/>
      <c r="C21" s="185"/>
      <c r="D21" s="185"/>
      <c r="E21" s="185"/>
      <c r="F21" s="217"/>
      <c r="G21" s="247"/>
    </row>
    <row r="22" spans="2:7" ht="18" customHeight="1">
      <c r="B22" s="160"/>
      <c r="C22" s="160"/>
      <c r="D22" s="160"/>
      <c r="E22" s="160"/>
      <c r="F22" s="160"/>
      <c r="G22" s="160"/>
    </row>
    <row r="23" spans="2:7" ht="18" customHeight="1">
      <c r="B23" s="160"/>
      <c r="C23" s="160"/>
      <c r="D23" s="160"/>
      <c r="E23" s="160"/>
      <c r="F23" s="207"/>
      <c r="G23" s="230"/>
    </row>
  </sheetData>
  <sheetProtection password="E847" sheet="1" objects="1" scenarios="1"/>
  <printOptions/>
  <pageMargins left="0.75" right="0.75" top="1" bottom="1" header="0.5" footer="0.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2" customWidth="1"/>
    <col min="2" max="2" width="6.421875" style="23" bestFit="1" customWidth="1"/>
    <col min="3" max="3" width="6.140625" style="24" bestFit="1" customWidth="1"/>
    <col min="4" max="4" width="11.7109375" style="25" bestFit="1" customWidth="1"/>
    <col min="5" max="16" width="9.140625" style="26" customWidth="1"/>
  </cols>
  <sheetData>
    <row r="1" spans="1:16" s="12" customFormat="1" ht="13.5" thickBot="1">
      <c r="A1" s="21" t="s">
        <v>403</v>
      </c>
      <c r="B1" s="21" t="s">
        <v>404</v>
      </c>
      <c r="C1" s="21" t="s">
        <v>283</v>
      </c>
      <c r="D1" s="22" t="s">
        <v>423</v>
      </c>
      <c r="E1" s="21"/>
      <c r="F1" s="21"/>
      <c r="G1" s="21"/>
      <c r="H1" s="21"/>
      <c r="I1" s="21"/>
      <c r="J1" s="21"/>
      <c r="K1" s="21"/>
      <c r="L1" s="21"/>
      <c r="M1" s="21"/>
      <c r="N1" s="23"/>
      <c r="O1" s="23"/>
      <c r="P1" s="2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A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114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s="115" customFormat="1" ht="12">
      <c r="A1" s="115" t="str">
        <f>IF(ABS(Inm_11290-('A1. Kapitalplaceringar'!E14+'A1. Kapitalplaceringar'!E15+'A1. Kapitalplaceringar'!E16+'A1. Kapitalplaceringar'!E17+'A1. Kapitalplaceringar'!E18+'A1. Kapitalplaceringar'!E19+'A1. Kapitalplaceringar'!E20+Inm_17920+Inm_11169+Inm_11371+Inm_11281+Inm_17927+Inm_17921))&lt;=10,"OK","Summafel;Kapitalplaceringar")</f>
        <v>OK</v>
      </c>
    </row>
    <row r="2" s="115" customFormat="1" ht="12">
      <c r="A2" s="115" t="str">
        <f>IF(ABS(Inm_13504-(Inm_13449+Inm_13448+Inm_13513+Inm_13512))&lt;=10,"OK","Summafel;Peningm.instrument")</f>
        <v>OK</v>
      </c>
    </row>
    <row r="3" s="115" customFormat="1" ht="12">
      <c r="A3" s="115" t="str">
        <f>IF(ABS(Inm_11291-(Inm_11045+Inm_11058+Inm_11044+Inm_11057))&lt;=10,"OK","Summafel;Peningm.instrument")</f>
        <v>OK</v>
      </c>
    </row>
    <row r="4" s="115" customFormat="1" ht="12">
      <c r="A4" s="115" t="str">
        <f>IF(ABS(Inm_13459-(Inm_13458+Inm_13457+Inm_13451+Inm_13456+Inm_13455+Inm_13454+Inm_16262+Inm_17876))&lt;=10,"OK","Summafel;Peningm.instrument")</f>
        <v>OK</v>
      </c>
    </row>
    <row r="5" s="115" customFormat="1" ht="12">
      <c r="A5" s="115" t="str">
        <f>IF(ABS(Inm_11046-(Inm_11141+Inm_11140+Inm_11147+Inm_11146+Inm_11145+Inm_11144+Inm_16254+Inm_17907))&lt;=10,"OK","Summafel;Penningm.instrument")</f>
        <v>OK</v>
      </c>
    </row>
    <row r="6" s="115" customFormat="1" ht="12">
      <c r="A6" s="115" t="str">
        <f>IF(ABS(Inm_13503-(Inm_13447+Inm_13446+Inm_13511+Inm_13510))&lt;=10,"OK","Summafel;Obligationer")</f>
        <v>OK</v>
      </c>
    </row>
    <row r="7" s="115" customFormat="1" ht="12">
      <c r="A7" s="115" t="str">
        <f>IF(ABS(Inm_11292-(Inm_11054+Inm_11050+Inm_11052+Inm_11048))&lt;=10,"OK","Summafel;Obligationer")</f>
        <v>OK</v>
      </c>
    </row>
    <row r="8" s="115" customFormat="1" ht="12">
      <c r="A8" s="115" t="str">
        <f>IF(ABS(Inm_13468-(Inm_13470+Inm_13469+Inm_13467+Inm_13461+Inm_13466+Inm_13465+Inm_13464+Inm_16260+Inm_13460))&lt;=10,"OK","Summafel;Obligationer")</f>
        <v>OK</v>
      </c>
    </row>
    <row r="9" s="115" customFormat="1" ht="12">
      <c r="A9" s="115" t="str">
        <f>IF(ABS(Inm_11171-(Inm_11187+Inm_11186+Inm_11156+Inm_11139+Inm_11138+Inm_11137+Inm_11136+Inm_16257+Inm_11192))&lt;=10,"OK","Summafel;Obligationer")</f>
        <v>OK</v>
      </c>
    </row>
    <row r="10" s="115" customFormat="1" ht="12">
      <c r="A10" s="115" t="str">
        <f>IF(ABS(Inm_13502-(Inm_17879+Inm_17880+Inm_17881+Inm_13494))&lt;=10,"OK","Summafel;Förlagsbevis")</f>
        <v>OK</v>
      </c>
    </row>
    <row r="11" s="115" customFormat="1" ht="12">
      <c r="A11" s="115" t="str">
        <f>IF(ABS(Inm_11288-(Inm_17910+Inm_17911+Inm_17912+Inm_11206))&lt;=10,"OK","Summafel;Förlagsbevis")</f>
        <v>OK</v>
      </c>
    </row>
    <row r="12" s="115" customFormat="1" ht="12">
      <c r="A12" s="115" t="str">
        <f>IF(ABS(Inm_13476-(Inm_17885+Inm_17884))&lt;=10,"OK","Summafel;Aktier och andelar")</f>
        <v>OK</v>
      </c>
    </row>
    <row r="13" s="115" customFormat="1" ht="12">
      <c r="A13" s="115" t="str">
        <f>IF(ABS(Inm_13475-(Inm_17887+Inm_17886))&lt;=10,"OK","Summafel;Aktier och andelar")</f>
        <v>OK</v>
      </c>
    </row>
    <row r="14" s="115" customFormat="1" ht="12">
      <c r="A14" s="115" t="str">
        <f>IF(ABS(Inm_20213-(Inm_20212+Inm_20183))&lt;=10,"OK","Summafel;Aktier och andelar")</f>
        <v>OK</v>
      </c>
    </row>
    <row r="15" s="115" customFormat="1" ht="12">
      <c r="A15" s="115" t="str">
        <f>IF(ABS(Inm_13506-(Inm_14115+Inm_14117))&lt;=10,"OK","Summafel;Aktier och andelar")</f>
        <v>OK</v>
      </c>
    </row>
    <row r="16" s="115" customFormat="1" ht="12">
      <c r="A16" s="115" t="str">
        <f>IF(ABS(Inm_13507-(Inm_13476+Inm_13475+Inm_13496+Inm_13495+Inm_20213+Inm_20214+Inm_13506))&lt;=10,"OK","Summafel;Aktier och andelar")</f>
        <v>OK</v>
      </c>
    </row>
    <row r="17" s="115" customFormat="1" ht="12">
      <c r="A17" s="115" t="str">
        <f>IF(ABS(Inm_11177-(Inm_11181+Inm_11179))&lt;=10,"OK","Summafel;Aktier och andelar")</f>
        <v>OK</v>
      </c>
    </row>
    <row r="18" s="115" customFormat="1" ht="12">
      <c r="A18" s="115" t="str">
        <f>IF(ABS(Inm_11176-(Inm_11180+Inm_11178))&lt;=10,"OK","Summafel;Aktier och andelar")</f>
        <v>OK</v>
      </c>
    </row>
    <row r="19" s="115" customFormat="1" ht="12">
      <c r="A19" s="115" t="str">
        <f>IF(ABS(Inm_20216-(Inm_20182+Inm_20184))&lt;=10,"OK","Summafel;Aktier och andelar")</f>
        <v>OK</v>
      </c>
    </row>
    <row r="20" s="115" customFormat="1" ht="12">
      <c r="A20" s="115" t="str">
        <f>IF(ABS(Inm_11493-(Inm_11174+Inm_11198))&lt;=10,"OK","Summafel;Aktier och andelar")</f>
        <v>OK</v>
      </c>
    </row>
    <row r="21" s="115" customFormat="1" ht="12">
      <c r="A21" s="115" t="str">
        <f>IF(ABS(Inm_11399-(Inm_11177+Inm_11176+Inm_11200+Inm_11199+Inm_20216+Inm_20215+Inm_11493))&lt;=10,"OK","Summafel;Aktier och andelar")</f>
        <v>OK</v>
      </c>
    </row>
    <row r="22" s="115" customFormat="1" ht="12">
      <c r="A22" s="115" t="str">
        <f>IF(ABS(Inm_13500-(Inm_13445+Inm_13444+Inm_13509+Inm_13508))&lt;=10,"OK","Summafel;Lån")</f>
        <v>OK</v>
      </c>
    </row>
    <row r="23" s="115" customFormat="1" ht="12">
      <c r="A23" s="115" t="str">
        <f>IF(ABS(Inm_11299-(Inm_11042+Inm_11056+Inm_11041+Inm_11055))&lt;=10,"OK","Summafel;Lån")</f>
        <v>OK</v>
      </c>
    </row>
    <row r="24" s="115" customFormat="1" ht="12">
      <c r="A24" s="115" t="str">
        <f>IF(ABS(Inm_13487-(Inm_17893+Inm_13486+Inm_13479+Inm_13485+Inm_13483+Inm_13482+Inm_16261+Inm_13488))&lt;=10,"OK","Summafel;Lån")</f>
        <v>OK</v>
      </c>
    </row>
    <row r="25" s="115" customFormat="1" ht="12">
      <c r="A25" s="115" t="str">
        <f>IF(ABS(Inm_11043-(Inm_11149+Inm_11148+Inm_11155+Inm_11154+Inm_11153+Inm_11152+Inm_16259+Inm_11191))&lt;=10,"OK","Summafel;Lån")</f>
        <v>OK</v>
      </c>
    </row>
    <row r="26" s="115" customFormat="1" ht="12">
      <c r="A26" s="115" t="str">
        <f>IF(ABS(Inm_13499-(Inm_13490+Inm_13492))&lt;=10,"OK","Summafel;Byggnader och mark")</f>
        <v>OK</v>
      </c>
    </row>
    <row r="27" s="115" customFormat="1" ht="12">
      <c r="A27" s="115" t="str">
        <f>IF(ABS(Inm_11300-(Inm_11172+Inm_11204))&lt;=10,"OK","Summafel;Byggnader och mark")</f>
        <v>OK</v>
      </c>
    </row>
    <row r="28" s="115" customFormat="1" ht="12">
      <c r="A28" s="115" t="str">
        <f>IF(ABS(Inm_11283-(Inm_17923+Inm_17924+Inm_17925+Inm_17926))&lt;=10,"OK","Summafel;Derivat(pos)")</f>
        <v>OK</v>
      </c>
    </row>
    <row r="29" s="115" customFormat="1" ht="12">
      <c r="A29" s="115" t="str">
        <f>IF(ABS(Inm_17929-(Inm_17936+Inm_17951+Inm_17937+Inm_17938))&lt;=10,"OK","Summafel;Derivat(neg)")</f>
        <v>OK</v>
      </c>
    </row>
    <row r="30" s="115" customFormat="1" ht="12">
      <c r="A30" s="115" t="str">
        <f>IF(ABS(Inm_17906&lt;=Inm_11290),"OK","Varav belopp större än Summa;Kapitalplaceringar")</f>
        <v>OK</v>
      </c>
    </row>
    <row r="31" s="115" customFormat="1" ht="12">
      <c r="A31" s="115" t="str">
        <f>IF(ABS(Inm_17909&lt;=Inm_11292),"OK","Varav belopp större än Summa;Obligationer")</f>
        <v>OK</v>
      </c>
    </row>
    <row r="32" s="115" customFormat="1" ht="12">
      <c r="A32" s="115" t="str">
        <f>IF(ABS(Inm_17908&lt;=Inm_11171),"OK","Varav belopp större än Summa;Obligationer")</f>
        <v>OK</v>
      </c>
    </row>
    <row r="33" s="115" customFormat="1" ht="12">
      <c r="A33" s="115" t="str">
        <f>IF(ABS(Inm_17913)&lt;=Inm_11399,"OK","Varav belopp större än Summa;Aktier och Andelar")</f>
        <v>OK</v>
      </c>
    </row>
    <row r="34" s="115" customFormat="1" ht="12">
      <c r="A34" s="115" t="str">
        <f>IF(ABS(Inm_17914)&lt;=Inm_11399,"OK","Varav belopp större än Summa;Aktier och Andelar")</f>
        <v>OK</v>
      </c>
    </row>
    <row r="35" s="115" customFormat="1" ht="12">
      <c r="A35" s="115" t="str">
        <f>IF(ABS(Inm_17917)&lt;=Inm_11399,"OK","Varav belopp större än Summa;Aktier och Andelar")</f>
        <v>OK</v>
      </c>
    </row>
    <row r="36" s="115" customFormat="1" ht="12">
      <c r="A36" s="115" t="str">
        <f>IF(ABS(Inm_17918)&lt;=Inm_11399,"OK","Varav belopp större än Summa;Aktier och Andelar")</f>
        <v>OK</v>
      </c>
    </row>
    <row r="37" s="115" customFormat="1" ht="12">
      <c r="A37" s="115" t="str">
        <f>IF(ABS(Inm_17919&lt;=Inm_11300),"OK","Varav belopp större än Summa;Byggnader och mark")</f>
        <v>OK</v>
      </c>
    </row>
    <row r="38" s="115" customFormat="1" ht="12">
      <c r="A38" s="115" t="str">
        <f>IF(ABS(Inm_17922&lt;=Inm_11283),"OK","Varav belopp större än Summa;Derivat(pos)")</f>
        <v>OK</v>
      </c>
    </row>
    <row r="39" s="115" customFormat="1" ht="12">
      <c r="A39" s="115" t="str">
        <f>IF(ABS(Inm_17928&lt;=Inm_17929),"OK","Varav belopp större än Summa;Derivat(neg)")</f>
        <v>OK</v>
      </c>
    </row>
    <row r="40" s="115" customFormat="1" ht="12">
      <c r="A40" s="115" t="str">
        <f>IF(ABS(Inm_17945&lt;=0),"OK","Positivt värde;Avkastning")</f>
        <v>OK</v>
      </c>
    </row>
    <row r="41" s="115" customFormat="1" ht="12">
      <c r="A41" s="115" t="str">
        <f>IF(ABS(Inm_17946&lt;=0),"OK","Positivt värde,Avkastning")</f>
        <v>OK</v>
      </c>
    </row>
    <row r="42" s="115" customFormat="1" ht="12">
      <c r="A42" s="115" t="str">
        <f>IF(ABS(Inm_17936&gt;=0),"OK","Negativt värde;Derivat(neg)")</f>
        <v>OK</v>
      </c>
    </row>
    <row r="43" s="115" customFormat="1" ht="12">
      <c r="A43" s="115" t="str">
        <f>IF(ABS(Inm_17951&gt;=0),"OK","Negativt värde;Derivat(neg)")</f>
        <v>OK</v>
      </c>
    </row>
    <row r="44" s="115" customFormat="1" ht="12">
      <c r="A44" s="115" t="str">
        <f>IF(ABS(Inm_17937&gt;=0),"OK","Negativt värde;Derivat(neg)")</f>
        <v>OK</v>
      </c>
    </row>
    <row r="45" s="115" customFormat="1" ht="12">
      <c r="A45" s="115" t="str">
        <f>IF(ABS(Inm_17938&gt;=0),"OK","Negativt värde;Derivat(neg)")</f>
        <v>OK</v>
      </c>
    </row>
    <row r="46" s="115" customFormat="1" ht="12">
      <c r="A46" s="115" t="str">
        <f>IF(ABS(Inm_17900&lt;10),"OK",IF(AND(Inm_17900&gt;10,Inm_17940&gt;0),"OK","Marknadsvärde;Vissa skulder"))</f>
        <v>OK</v>
      </c>
    </row>
    <row r="47" s="115" customFormat="1" ht="12">
      <c r="A47" s="115" t="str">
        <f>IF(ABS(Inm_17899&lt;10),"OK",IF(AND(Inm_17899&gt;10,Inm_17939&gt;0),"OK","Marknadsvärde;Vissa skulder"))</f>
        <v>OK</v>
      </c>
    </row>
    <row r="48" s="115" customFormat="1" ht="12">
      <c r="A48" s="115" t="str">
        <f>IF(ABS(Inm_17903&lt;10),"OK",IF(AND(Inm_17903&gt;10,Inm_17943&gt;0),"OK","Marknadsvärde;Vissa skulder"))</f>
        <v>OK</v>
      </c>
    </row>
    <row r="49" s="115" customFormat="1" ht="12">
      <c r="A49" s="115" t="str">
        <f>IF(ABS(Inm_17904&lt;10),"OK",IF(AND(Inm_17904&gt;10,Inm_17944&gt;0),"OK","Marknadsvärde;Vissa skulder"))</f>
        <v>OK</v>
      </c>
    </row>
    <row r="50" s="115" customFormat="1" ht="12">
      <c r="A50" s="115" t="str">
        <f>IF(ABS(Inm_17902&lt;10),"OK",IF(AND(Inm_17902&gt;10,Inm_17942&gt;0),"OK","Marknadsvärde;Vissa skulder"))</f>
        <v>OK</v>
      </c>
    </row>
    <row r="51" s="115" customFormat="1" ht="12">
      <c r="A51" s="115" t="str">
        <f>IF(ABS(Inm_17901&lt;10),"OK",IF(AND(Inm_17901&gt;10,Inm_17941&gt;0),"OK","Marknadsvärde;Vissa skulder"))</f>
        <v>OK</v>
      </c>
    </row>
    <row r="52" s="115" customFormat="1" ht="12">
      <c r="A52" s="115" t="str">
        <f>IF(ABS(Inm_17905&lt;10),"OK",IF(AND(Inm_17905&gt;10,Inm_17952&gt;0),"OK","Marknadsvärde;Vissa skulder"))</f>
        <v>OK</v>
      </c>
    </row>
    <row r="53" s="115" customFormat="1" ht="12">
      <c r="A53" s="115" t="str">
        <f>IF(ABS(Inm_13490&lt;10),"OK",IF(AND(Inm_13490&gt;10,Inm_11172&gt;0),"OK","Marknadsvärde;Byggnader och mark"))</f>
        <v>OK</v>
      </c>
    </row>
    <row r="54" s="115" customFormat="1" ht="12">
      <c r="A54" s="115" t="str">
        <f>IF(ABS(Inm_13492&lt;10),"OK",IF(AND(Inm_13492&gt;10,Inm_11204&gt;0),"OK","Marknadsvärde;Byggnader och mark"))</f>
        <v>OK</v>
      </c>
    </row>
    <row r="55" s="115" customFormat="1" ht="12">
      <c r="A55" s="115" t="str">
        <f>IF(ABS(Inm_17885&lt;10),"OK",IF(AND(Inm_17885&gt;10,Inm_11181&gt;0),"OK","Marknadsvärde;Aktier och andelar"))</f>
        <v>OK</v>
      </c>
    </row>
    <row r="56" s="115" customFormat="1" ht="12">
      <c r="A56" s="115" t="str">
        <f>IF(ABS(Inm_17884&lt;10),"OK",IF(AND(Inm_17884&gt;10,Inm_11179&gt;0),"OK","Marknadsvärde;Aktier och andelar"))</f>
        <v>OK</v>
      </c>
    </row>
    <row r="57" s="115" customFormat="1" ht="12">
      <c r="A57" s="115" t="str">
        <f>IF(ABS(Inm_17887&lt;10),"OK",IF(AND(Inm_17887&gt;10,Inm_11180&gt;0),"OK","Marknadsvärde;Aktier och andelar"))</f>
        <v>OK</v>
      </c>
    </row>
    <row r="58" s="115" customFormat="1" ht="12">
      <c r="A58" s="115" t="str">
        <f>IF(ABS(Inm_17886&lt;10),"OK",IF(AND(Inm_17886&gt;10,Inm_11178&gt;0),"OK","Marknadsvärde;Aktier och andelar"))</f>
        <v>OK</v>
      </c>
    </row>
    <row r="59" s="115" customFormat="1" ht="12">
      <c r="A59" s="115" t="str">
        <f>IF(ABS(Inm_13496&lt;10),"OK",IF(AND(Inm_13496&gt;10,Inm_11200&gt;0),"OK","Marknadsvärde;Aktier och andelar"))</f>
        <v>OK</v>
      </c>
    </row>
    <row r="60" s="115" customFormat="1" ht="12">
      <c r="A60" s="115" t="str">
        <f>IF(ABS(Inm_13495&lt;10),"OK",IF(AND(Inm_13495&gt;10,Inm_11199&gt;0),"OK","Marknadsvärde;Aktier och andelar"))</f>
        <v>OK</v>
      </c>
    </row>
    <row r="61" s="115" customFormat="1" ht="12">
      <c r="A61" s="115" t="str">
        <f>IF(ABS(Inm_20212&lt;10),"OK",IF(AND(Inm_20212&gt;10,Inm_20182&gt;0),"OK","Marknadsvärde;Aktier och andelar"))</f>
        <v>OK</v>
      </c>
    </row>
    <row r="62" s="115" customFormat="1" ht="12">
      <c r="A62" s="115" t="str">
        <f>IF(ABS(Inm_20183&lt;10),"OK",IF(AND(Inm_20183&gt;10,Inm_20184&gt;0),"OK","Marknadsvärde;Aktier och andelar"))</f>
        <v>OK</v>
      </c>
    </row>
    <row r="63" s="115" customFormat="1" ht="12">
      <c r="A63" s="115" t="str">
        <f>IF(ABS(Inm_20187&lt;10),"OK",IF(AND(Inm_20187&gt;10,Inm_20186&gt;0),"OK","Marknadsvärde;Aktier och andelar"))</f>
        <v>OK</v>
      </c>
    </row>
    <row r="64" s="115" customFormat="1" ht="12">
      <c r="A64" s="115" t="str">
        <f>IF(ABS(Inm_20188&lt;10),"OK",IF(AND(Inm_20188&gt;10,Inm_20185&gt;0),"OK","Marknadsvärde;Aktier och andelar"))</f>
        <v>OK</v>
      </c>
    </row>
    <row r="65" s="115" customFormat="1" ht="12">
      <c r="A65" s="115" t="str">
        <f>IF(ABS(Inm_14115&lt;10),"OK",IF(AND(Inm_14115&gt;10,Inm_11174&gt;0),"OK","Marknadsvärde;Aktier och andelar"))</f>
        <v>OK</v>
      </c>
    </row>
    <row r="66" s="115" customFormat="1" ht="12">
      <c r="A66" s="115" t="str">
        <f>IF(ABS(Inm_14117&lt;10),"OK",IF(AND(Inm_14117&gt;10,Inm_11198&gt;0),"OK","Marknadsvärde;Aktier och andelar"))</f>
        <v>OK</v>
      </c>
    </row>
    <row r="67" s="115" customFormat="1" ht="12">
      <c r="A67" s="115" t="str">
        <f>IF(ABS(Inm_17882&lt;10),"OK",IF(AND(Inm_17882&gt;10,Inm_17913&gt;0),"OK","Marknadsvärde;Aktier och andelar"))</f>
        <v>OK</v>
      </c>
    </row>
    <row r="68" s="115" customFormat="1" ht="12">
      <c r="A68" s="115" t="str">
        <f>IF(ABS(Inm_17883&lt;10),"OK",IF(AND(Inm_17883&gt;10,Inm_17914&gt;0),"OK","Marknadsvärde;Aktier och andelar"))</f>
        <v>OK</v>
      </c>
    </row>
    <row r="69" s="115" customFormat="1" ht="12">
      <c r="A69" s="115" t="str">
        <f>IF(ABS(Inm_17891&lt;10),"OK",IF(AND(Inm_17891&gt;10,Inm_17917&gt;0),"OK","Marknadsvärde;Aktier och andelar"))</f>
        <v>OK</v>
      </c>
    </row>
    <row r="70" s="115" customFormat="1" ht="12">
      <c r="A70" s="115" t="str">
        <f>IF(ABS(Inm_17892&lt;10),"OK",IF(AND(Inm_17892&gt;10,Inm_17918&gt;0),"OK","Marknadsvärde;Aktier och andelar"))</f>
        <v>OK</v>
      </c>
    </row>
    <row r="71" s="115" customFormat="1" ht="12">
      <c r="A71" s="115" t="str">
        <f>IF(ABS(Inm_17879&lt;10),"OK",IF(AND(Inm_17879&gt;10,Inm_17910&gt;0),"OK","Marknadsvärde;Förlagsbevis"))</f>
        <v>OK</v>
      </c>
    </row>
    <row r="72" s="115" customFormat="1" ht="12">
      <c r="A72" s="115" t="str">
        <f>IF(ABS(Inm_17880&lt;10),"OK",IF(AND(Inm_17880&gt;10,Inm_17911&gt;0),"OK","Marknadsvärde;Förlagsbevis"))</f>
        <v>OK</v>
      </c>
    </row>
    <row r="73" s="115" customFormat="1" ht="12">
      <c r="A73" s="115" t="str">
        <f>IF(ABS(Inm_17881&lt;10),"OK",IF(AND(Inm_17881&gt;10,Inm_17912&gt;0),"OK","Marknadsvärde;Förlagsbevis"))</f>
        <v>OK</v>
      </c>
    </row>
    <row r="74" s="115" customFormat="1" ht="12">
      <c r="A74" s="115" t="str">
        <f>IF(ABS(Inm_13494&lt;10),"OK",IF(AND(Inm_13494&gt;10,Inm_11206&gt;0),"OK","Marknadsvärde;Förlagsbevis"))</f>
        <v>OK</v>
      </c>
    </row>
    <row r="75" s="115" customFormat="1" ht="12">
      <c r="A75" s="115" t="str">
        <f>IF(ABS(Inm_13447&lt;10),"OK",IF(AND(Inm_13447&gt;10,Inm_11054&gt;0),"OK","Marknadsvärde;Obligationer"))</f>
        <v>OK</v>
      </c>
    </row>
    <row r="76" s="115" customFormat="1" ht="12">
      <c r="A76" s="115" t="str">
        <f>IF(ABS(Inm_13446&lt;10),"OK",IF(AND(Inm_13446&gt;10,Inm_11050&gt;0),"OK","Marknadsvärde;Obligationer"))</f>
        <v>OK</v>
      </c>
    </row>
    <row r="77" s="115" customFormat="1" ht="12">
      <c r="A77" s="115" t="str">
        <f>IF(ABS(Inm_13511&lt;10),"OK",IF(AND(Inm_13511&gt;10,Inm_11052&gt;0),"OK","Marknadsvärde;Obligationer"))</f>
        <v>OK</v>
      </c>
    </row>
    <row r="78" s="115" customFormat="1" ht="12">
      <c r="A78" s="115" t="str">
        <f>IF(ABS(Inm_13510&lt;10),"OK",IF(AND(Inm_13510&gt;10,Inm_11048&gt;0),"OK","Marknadsvärde;Obligationer"))</f>
        <v>OK</v>
      </c>
    </row>
    <row r="79" s="115" customFormat="1" ht="12">
      <c r="A79" s="115" t="str">
        <f>IF(ABS(Inm_17878&lt;10),"OK",IF(AND(Inm_17878&gt;10,Inm_17909&gt;0),"OK","Marknadsvärde;Obligationer"))</f>
        <v>OK</v>
      </c>
    </row>
    <row r="80" s="115" customFormat="1" ht="12">
      <c r="A80" s="115" t="str">
        <f>IF(ABS(Inm_13470&lt;10),"OK",IF(AND(Inm_13470&gt;10,Inm_11187&gt;0),"OK","Marknadsvärde;Obligationer"))</f>
        <v>OK</v>
      </c>
    </row>
    <row r="81" s="115" customFormat="1" ht="12">
      <c r="A81" s="115" t="str">
        <f>IF(ABS(Inm_13469&lt;10),"OK",IF(AND(Inm_13469&gt;10,Inm_11186&gt;0),"OK","Marknadsvärde;Obligationer"))</f>
        <v>OK</v>
      </c>
    </row>
    <row r="82" s="115" customFormat="1" ht="12">
      <c r="A82" s="115" t="str">
        <f>IF(ABS(Inm_13467&lt;10),"OK",IF(AND(Inm_13467&gt;10,Inm_11156&gt;0),"OK","Marknadsvärde;Obligationer"))</f>
        <v>OK</v>
      </c>
    </row>
    <row r="83" s="115" customFormat="1" ht="12">
      <c r="A83" s="115" t="str">
        <f>IF(ABS(Inm_13461&lt;10),"OK",IF(AND(Inm_13461&gt;10,Inm_11139&gt;0),"OK","Marknadsvärde;Obligationer"))</f>
        <v>OK</v>
      </c>
    </row>
    <row r="84" s="115" customFormat="1" ht="12">
      <c r="A84" s="115" t="str">
        <f>IF(ABS(Inm_13466&lt;10),"OK",IF(AND(Inm_13466&gt;10,Inm_11138&gt;0),"OK","Marknadsvärde;Obligationer"))</f>
        <v>OK</v>
      </c>
    </row>
    <row r="85" s="115" customFormat="1" ht="12">
      <c r="A85" s="115" t="str">
        <f>IF(ABS(Inm_13465&lt;10),"OK",IF(AND(Inm_13465&gt;10,Inm_11137&gt;0),"OK","Marknadsvärde;Obligationer"))</f>
        <v>OK</v>
      </c>
    </row>
    <row r="86" s="115" customFormat="1" ht="12">
      <c r="A86" s="115" t="str">
        <f>IF(ABS(Inm_13464&lt;10),"OK",IF(AND(Inm_13464&gt;10,Inm_11136&gt;0),"OK","Marknadsvärde;Obligationer"))</f>
        <v>OK</v>
      </c>
    </row>
    <row r="87" s="115" customFormat="1" ht="12">
      <c r="A87" s="115" t="str">
        <f>IF(ABS(Inm_16260&lt;10),"OK",IF(AND(Inm_16260&gt;10,Inm_16257&gt;0),"OK","Marknadsvärde;Obligationer"))</f>
        <v>OK</v>
      </c>
    </row>
    <row r="88" s="115" customFormat="1" ht="12">
      <c r="A88" s="115" t="str">
        <f>IF(ABS(Inm_13460&lt;10),"OK",IF(AND(Inm_13460&gt;10,Inm_11192&gt;0),"OK","Marknadsvärde;Obligationer"))</f>
        <v>OK</v>
      </c>
    </row>
    <row r="89" s="115" customFormat="1" ht="12">
      <c r="A89" s="115" t="str">
        <f>IF(ABS(Inm_17877&lt;10),"OK",IF(AND(Inm_17877&gt;10,Inm_17908&gt;0),"OK","Marknadsvärde;Obligationer"))</f>
        <v>OK</v>
      </c>
    </row>
    <row r="90" s="115" customFormat="1" ht="12">
      <c r="A90" s="115" t="str">
        <f>IF(ABS(Inm_13449&lt;10),"OK",IF(AND(Inm_13449&gt;10,Inm_11045&gt;0),"OK","Marknadsvärde;Peningm.instrument"))</f>
        <v>OK</v>
      </c>
    </row>
    <row r="91" s="115" customFormat="1" ht="12">
      <c r="A91" s="115" t="str">
        <f>IF(ABS(Inm_13448&lt;10),"OK",IF(AND(Inm_13448&gt;10,Inm_11058&gt;0),"OK","Marknadsvärde;Peningm.instrument"))</f>
        <v>OK</v>
      </c>
    </row>
    <row r="92" s="115" customFormat="1" ht="12">
      <c r="A92" s="115" t="str">
        <f>IF(ABS(Inm_13513&lt;10),"OK",IF(AND(Inm_13513&gt;10,Inm_11044&gt;0),"OK","Marknadsvärde;Peningm.instrument"))</f>
        <v>OK</v>
      </c>
    </row>
    <row r="93" s="115" customFormat="1" ht="12">
      <c r="A93" s="115" t="str">
        <f>IF(ABS(Inm_13512&lt;10),"OK",IF(AND(Inm_13512&gt;10,Inm_11057&gt;0),"OK","Marknadsvärde;Peningm.instrument"))</f>
        <v>OK</v>
      </c>
    </row>
    <row r="94" s="115" customFormat="1" ht="12">
      <c r="A94" s="115" t="str">
        <f>IF(ABS(Inm_13458&lt;10),"OK",IF(AND(Inm_13458&gt;10,Inm_11141&gt;0),"OK","Marknadsvärde;Peningm.instrument"))</f>
        <v>OK</v>
      </c>
    </row>
    <row r="95" s="115" customFormat="1" ht="12">
      <c r="A95" s="115" t="str">
        <f>IF(ABS(Inm_13457&lt;10),"OK",IF(AND(Inm_13457&gt;10,Inm_11140&gt;0),"OK","Marknadsvärde;Peningm.instrument"))</f>
        <v>OK</v>
      </c>
    </row>
    <row r="96" s="115" customFormat="1" ht="12">
      <c r="A96" s="115" t="str">
        <f>IF(ABS(Inm_13451&lt;10),"OK",IF(AND(Inm_13451&gt;10,Inm_11147&gt;0),"OK","Marknadsvärde;Peningm.instrument"))</f>
        <v>OK</v>
      </c>
    </row>
    <row r="97" s="115" customFormat="1" ht="12">
      <c r="A97" s="115" t="str">
        <f>IF(ABS(Inm_13456&lt;10),"OK",IF(AND(Inm_13456&gt;10,Inm_11146&gt;0),"OK","Marknadsvärde;Peningm.instrument"))</f>
        <v>OK</v>
      </c>
    </row>
    <row r="98" s="115" customFormat="1" ht="12">
      <c r="A98" s="115" t="str">
        <f>IF(ABS(Inm_13455&lt;10),"OK",IF(AND(Inm_13455&gt;10,Inm_11145&gt;0),"OK","Marknadsvärde;Peningm.instrument"))</f>
        <v>OK</v>
      </c>
    </row>
    <row r="99" s="115" customFormat="1" ht="12">
      <c r="A99" s="115" t="str">
        <f>IF(ABS(Inm_13454&lt;10),"OK",IF(AND(Inm_13454&gt;10,Inm_11144&gt;0),"OK","Marknadsvärde;Peningm.instrument"))</f>
        <v>OK</v>
      </c>
    </row>
    <row r="100" s="115" customFormat="1" ht="12">
      <c r="A100" s="115" t="str">
        <f>IF(ABS(Inm_16262&lt;10),"OK",IF(AND(Inm_16262&gt;10,Inm_16254&gt;0),"OK","Marknadsvärde;Peningm.instrument"))</f>
        <v>OK</v>
      </c>
    </row>
    <row r="101" s="115" customFormat="1" ht="12">
      <c r="A101" s="115" t="str">
        <f>IF(ABS(Inm_17876&lt;10),"OK",IF(AND(Inm_17876&gt;10,Inm_17907&gt;0),"OK","Marknadsvärde;Peningm.instrument"))</f>
        <v>OK</v>
      </c>
    </row>
    <row r="102" s="115" customFormat="1" ht="12">
      <c r="A102" s="115" t="str">
        <f>IF(ABS(Inm_17953&lt;10),"OK",IF(AND(Inm_17953&gt;10,Inm_17920&gt;0),"OK","Marknadsvärde;Kapitalplaceringar"))</f>
        <v>OK</v>
      </c>
    </row>
    <row r="103" s="115" customFormat="1" ht="12">
      <c r="A103" s="115" t="str">
        <f>IF(ABS(Inm_17954&lt;10),"OK",IF(AND(Inm_17954&gt;10,Inm_17921&gt;0),"OK","Marknadsvärde;Kapitalplaceringar"))</f>
        <v>OK</v>
      </c>
    </row>
    <row r="104" s="115" customFormat="1" ht="12">
      <c r="A104" s="115" t="str">
        <f>IF(Inm_13449&lt;=Inm_11045+100000,"OK","Stor transaktion; penningm")</f>
        <v>OK</v>
      </c>
    </row>
    <row r="105" s="115" customFormat="1" ht="12">
      <c r="A105" s="115" t="str">
        <f>IF(Inm_13448&lt;=Inm_11058+100000,"OK","Stor transaktion; penningm")</f>
        <v>OK</v>
      </c>
    </row>
    <row r="106" s="115" customFormat="1" ht="12">
      <c r="A106" s="115" t="str">
        <f>IF(Inm_13513&lt;=Inm_11044+100000,"OK","Stor transaktion; penningm")</f>
        <v>OK</v>
      </c>
    </row>
    <row r="107" s="115" customFormat="1" ht="12">
      <c r="A107" s="115" t="str">
        <f>IF(Inm_13512&lt;=Inm_11057+100000,"OK","Stor transaktion; penningm")</f>
        <v>OK</v>
      </c>
    </row>
    <row r="108" s="115" customFormat="1" ht="12">
      <c r="A108" s="115" t="str">
        <f>IF(Inm_13458&lt;=Inm_11141+100000,"OK","Stor transaktion; penningm")</f>
        <v>OK</v>
      </c>
    </row>
    <row r="109" s="115" customFormat="1" ht="12">
      <c r="A109" s="115" t="str">
        <f>IF(Inm_13457&lt;=Inm_11140+100000,"OK","Stor transaktion; penningm")</f>
        <v>OK</v>
      </c>
    </row>
    <row r="110" s="115" customFormat="1" ht="12">
      <c r="A110" s="115" t="str">
        <f>IF(Inm_13451&lt;=Inm_11147+100000,"OK","Stor transaktion; penningm")</f>
        <v>OK</v>
      </c>
    </row>
    <row r="111" s="115" customFormat="1" ht="12">
      <c r="A111" s="115" t="str">
        <f>IF(Inm_13456&lt;=Inm_11146+100000,"OK","Stor transaktion; penningm")</f>
        <v>OK</v>
      </c>
    </row>
    <row r="112" s="115" customFormat="1" ht="12">
      <c r="A112" s="115" t="str">
        <f>IF(Inm_13455&lt;=Inm_11145+100000,"OK","Stor transaktion; penningm")</f>
        <v>OK</v>
      </c>
    </row>
    <row r="113" s="115" customFormat="1" ht="12">
      <c r="A113" s="115" t="str">
        <f>IF(Inm_13454&lt;=Inm_11144+100000,"OK","Stor transaktion; penningm")</f>
        <v>OK</v>
      </c>
    </row>
    <row r="114" s="115" customFormat="1" ht="12">
      <c r="A114" s="115" t="str">
        <f>IF(Inm_16262&lt;=Inm_16254+100000,"OK","Stor transaktion; penningm")</f>
        <v>OK</v>
      </c>
    </row>
    <row r="115" s="115" customFormat="1" ht="12">
      <c r="A115" s="115" t="str">
        <f>IF(Inm_17876&lt;=Inm_17907+100000,"OK","Stor transaktion; penningm")</f>
        <v>OK</v>
      </c>
    </row>
    <row r="116" s="115" customFormat="1" ht="12">
      <c r="A116" s="115" t="str">
        <f>IF(Inm_13447&lt;=Inm_11054+100000,"OK","Stor transaktion; obl")</f>
        <v>OK</v>
      </c>
    </row>
    <row r="117" s="115" customFormat="1" ht="12">
      <c r="A117" s="115" t="str">
        <f>IF(Inm_13446&lt;=Inm_11050+100000,"OK","Stor transaktion; obl")</f>
        <v>OK</v>
      </c>
    </row>
    <row r="118" s="115" customFormat="1" ht="12">
      <c r="A118" s="115" t="str">
        <f>IF(Inm_13511&lt;=Inm_11052+100000,"OK","Stor transaktion; obl")</f>
        <v>OK</v>
      </c>
    </row>
    <row r="119" s="115" customFormat="1" ht="12">
      <c r="A119" s="115" t="str">
        <f>IF(Inm_13510&lt;=Inm_11048+100000,"OK","Stor transaktion; obl")</f>
        <v>OK</v>
      </c>
    </row>
    <row r="120" s="115" customFormat="1" ht="12">
      <c r="A120" s="115" t="str">
        <f>IF(Inm_13470&lt;=Inm_11187+100000,"OK","Stor transaktion; obl")</f>
        <v>OK</v>
      </c>
    </row>
    <row r="121" s="115" customFormat="1" ht="12">
      <c r="A121" s="115" t="str">
        <f>IF(Inm_13469&lt;=Inm_11186+100000,"OK","Stor transaktion; obl")</f>
        <v>OK</v>
      </c>
    </row>
    <row r="122" s="115" customFormat="1" ht="12">
      <c r="A122" s="115" t="str">
        <f>IF(Inm_13467&lt;=Inm_11156+100000,"OK","Stor transaktion; obl")</f>
        <v>OK</v>
      </c>
    </row>
    <row r="123" s="115" customFormat="1" ht="12">
      <c r="A123" s="115" t="str">
        <f>IF(Inm_13461&lt;=Inm_11139+100000,"OK","Stor transaktion; obl")</f>
        <v>OK</v>
      </c>
    </row>
    <row r="124" s="115" customFormat="1" ht="12">
      <c r="A124" s="115" t="str">
        <f>IF(Inm_13466&lt;=Inm_11138+100000,"OK","Stor transaktion; obl")</f>
        <v>OK</v>
      </c>
    </row>
    <row r="125" s="115" customFormat="1" ht="12">
      <c r="A125" s="115" t="str">
        <f>IF(Inm_13465&lt;=Inm_11137+100000,"OK","Stor transaktion; obl")</f>
        <v>OK</v>
      </c>
    </row>
    <row r="126" s="115" customFormat="1" ht="12">
      <c r="A126" s="115" t="str">
        <f>IF(Inm_13464&lt;=Inm_11136+100000,"OK","Stor transaktion; obl")</f>
        <v>OK</v>
      </c>
    </row>
    <row r="127" s="115" customFormat="1" ht="12">
      <c r="A127" s="115" t="str">
        <f>IF(Inm_16260&lt;=Inm_16257+100000,"OK","Stor transaktion; obl")</f>
        <v>OK</v>
      </c>
    </row>
    <row r="128" s="115" customFormat="1" ht="12">
      <c r="A128" s="115" t="str">
        <f>IF(Inm_13460&lt;=Inm_11192+100000,"OK","Stor transaktion; obl")</f>
        <v>OK</v>
      </c>
    </row>
    <row r="129" s="115" customFormat="1" ht="12">
      <c r="A129" s="115" t="str">
        <f>IF(Inm_17879&lt;=Inm_17910+100000,"OK","Stor transaktion; Förlagsbevis")</f>
        <v>OK</v>
      </c>
    </row>
    <row r="130" s="115" customFormat="1" ht="12">
      <c r="A130" s="115" t="str">
        <f>IF(Inm_17880&lt;=Inm_17911+100000,"OK","Stor transaktion; Förlagsbevis")</f>
        <v>OK</v>
      </c>
    </row>
    <row r="131" s="115" customFormat="1" ht="12">
      <c r="A131" s="115" t="str">
        <f>IF(Inm_17881&lt;=Inm_17912+100000,"OK","Stor transaktion; Förlagsbevis")</f>
        <v>OK</v>
      </c>
    </row>
    <row r="132" s="115" customFormat="1" ht="12">
      <c r="A132" s="115" t="str">
        <f>IF(Inm_13494&lt;=Inm_11206+100000,"OK","Stor transaktion; Förlagsbevis")</f>
        <v>OK</v>
      </c>
    </row>
    <row r="133" s="115" customFormat="1" ht="12">
      <c r="A133" s="115" t="str">
        <f>IF(Inm_17885&lt;=Inm_11181+100000,"OK","Stor transaktion; Aktier")</f>
        <v>OK</v>
      </c>
    </row>
    <row r="134" s="115" customFormat="1" ht="12">
      <c r="A134" s="115" t="str">
        <f>IF(Inm_17884&lt;=Inm_11179+100000,"OK","Stor transaktion; Aktier")</f>
        <v>OK</v>
      </c>
    </row>
    <row r="135" s="115" customFormat="1" ht="12">
      <c r="A135" s="115" t="str">
        <f>IF(Inm_17887&lt;=Inm_11180+100000,"OK","Stor transaktion; Aktier")</f>
        <v>OK</v>
      </c>
    </row>
    <row r="136" s="115" customFormat="1" ht="12">
      <c r="A136" s="115" t="str">
        <f>IF(Inm_17886&lt;=Inm_11178+100000,"OK","Stor transaktion; Aktier")</f>
        <v>OK</v>
      </c>
    </row>
    <row r="137" s="115" customFormat="1" ht="12">
      <c r="A137" s="115" t="str">
        <f>IF(Inm_13496&lt;=Inm_11200+100000,"OK","Stor transaktion; Utl Aktier")</f>
        <v>OK</v>
      </c>
    </row>
    <row r="138" s="115" customFormat="1" ht="12">
      <c r="A138" s="115" t="str">
        <f>IF(Inm_13495&lt;=Inm_11199+100000,"OK","Stor transaktion; Utl Aktier")</f>
        <v>OK</v>
      </c>
    </row>
    <row r="139" s="115" customFormat="1" ht="12">
      <c r="A139" s="115" t="str">
        <f>IF(Inm_20212&lt;=Inm_20182+100000,"OK","Stor transaktion; PMI.fonder")</f>
        <v>OK</v>
      </c>
    </row>
    <row r="140" s="115" customFormat="1" ht="12">
      <c r="A140" s="115" t="str">
        <f>IF(Inm_20183&lt;=Inm_20184+100000,"OK","Stor transaktion; PMI.fonder")</f>
        <v>OK</v>
      </c>
    </row>
    <row r="141" s="115" customFormat="1" ht="12">
      <c r="A141" s="115" t="str">
        <f>IF(Inm_20187&lt;=Inm_20186+100000,"OK","Stor transaktion; VP.fonder")</f>
        <v>OK</v>
      </c>
    </row>
    <row r="142" s="115" customFormat="1" ht="12">
      <c r="A142" s="115" t="str">
        <f>IF(Inm_20188&lt;=Inm_20185+100000,"OK","Stor transaktion; VP.fonder")</f>
        <v>OK</v>
      </c>
    </row>
    <row r="143" s="115" customFormat="1" ht="12">
      <c r="A143" s="115" t="str">
        <f>IF(Inm_14115&lt;=Inm_11174+100000,"OK","Stor transaktion; Teckn.opttioner")</f>
        <v>OK</v>
      </c>
    </row>
    <row r="144" s="115" customFormat="1" ht="12">
      <c r="A144" s="115" t="str">
        <f>IF(Inm_14117&lt;=Inm_11198+100000,"OK","Stor transaktion; Teckn.opttioner")</f>
        <v>OK</v>
      </c>
    </row>
    <row r="145" s="115" customFormat="1" ht="12">
      <c r="A145" s="115" t="str">
        <f>IF(Inm_17882&lt;=Inm_17913+100000,"OK","Stor transaktion; Aktier")</f>
        <v>OK</v>
      </c>
    </row>
    <row r="146" s="115" customFormat="1" ht="12">
      <c r="A146" s="115" t="str">
        <f>IF(Inm_17883&lt;=Inm_17914+100000,"OK","Stor transaktion; Aktier")</f>
        <v>OK</v>
      </c>
    </row>
    <row r="147" s="115" customFormat="1" ht="12">
      <c r="A147" s="115" t="str">
        <f>IF(Inm_17891&lt;=Inm_17917+100000,"OK","Stor transaktion; Aktier")</f>
        <v>OK</v>
      </c>
    </row>
    <row r="148" s="115" customFormat="1" ht="12">
      <c r="A148" s="115" t="str">
        <f>IF(Inm_17892&lt;=Inm_17918+100000,"OK","Stor transaktion; Aktier")</f>
        <v>OK</v>
      </c>
    </row>
    <row r="149" s="115" customFormat="1" ht="12">
      <c r="A149" s="115" t="str">
        <f>IF(Inm_13445&lt;=Inm_11042+100000,"OK","Stor transaktion; Lån")</f>
        <v>OK</v>
      </c>
    </row>
    <row r="150" s="115" customFormat="1" ht="12">
      <c r="A150" s="115" t="str">
        <f>IF(Inm_13444&lt;=Inm_11056+100000,"OK","Stor transaktion; Lån")</f>
        <v>OK</v>
      </c>
    </row>
    <row r="151" s="115" customFormat="1" ht="12">
      <c r="A151" s="115" t="str">
        <f>IF(Inm_13509&lt;=Inm_11041+100000,"OK","Stor transaktion; Lån")</f>
        <v>OK</v>
      </c>
    </row>
    <row r="152" s="115" customFormat="1" ht="12">
      <c r="A152" s="115" t="str">
        <f>IF(Inm_13508&lt;=Inm_11055+100000,"OK","Stor transaktion; Lån")</f>
        <v>OK</v>
      </c>
    </row>
    <row r="153" s="115" customFormat="1" ht="12">
      <c r="A153" s="115" t="str">
        <f>IF(Inm_17893&lt;=Inm_11149+100000,"OK","Stor transaktion; Lån")</f>
        <v>OK</v>
      </c>
    </row>
    <row r="154" s="115" customFormat="1" ht="12">
      <c r="A154" s="115" t="str">
        <f>IF(Inm_13486&lt;=Inm_11148+100000,"OK","Stor transaktion; Lån")</f>
        <v>OK</v>
      </c>
    </row>
    <row r="155" s="115" customFormat="1" ht="12">
      <c r="A155" s="115" t="str">
        <f>IF(Inm_13479&lt;=Inm_11155+100000,"OK","Stor transaktion; Lån")</f>
        <v>OK</v>
      </c>
    </row>
    <row r="156" s="115" customFormat="1" ht="12">
      <c r="A156" s="115" t="str">
        <f>IF(Inm_13485&lt;=Inm_11154+100000,"OK","Stor transaktion; Lån")</f>
        <v>OK</v>
      </c>
    </row>
    <row r="157" s="115" customFormat="1" ht="12">
      <c r="A157" s="115" t="str">
        <f>IF(Inm_13483&lt;=Inm_11153+100000,"OK","Stor transaktion; Lån")</f>
        <v>OK</v>
      </c>
    </row>
    <row r="158" s="115" customFormat="1" ht="12">
      <c r="A158" s="115" t="str">
        <f>IF(Inm_13482&lt;=Inm_11152+100000,"OK","Stor transaktion; Lån")</f>
        <v>OK</v>
      </c>
    </row>
    <row r="159" s="115" customFormat="1" ht="12">
      <c r="A159" s="115" t="str">
        <f>IF(Inm_16261&lt;=Inm_16259+100000,"OK","Stor transaktion; Lån")</f>
        <v>OK</v>
      </c>
    </row>
    <row r="160" s="115" customFormat="1" ht="12">
      <c r="A160" s="115" t="str">
        <f>IF(Inm_13488&lt;=Inm_11191+100000,"OK","Stor transaktion; Lån")</f>
        <v>OK</v>
      </c>
    </row>
    <row r="161" s="115" customFormat="1" ht="12">
      <c r="A161" s="115" t="str">
        <f>IF(Inm_13490&lt;=Inm_11172+100000,"OK","Stor transaktion; Bygg o mark")</f>
        <v>OK</v>
      </c>
    </row>
    <row r="162" s="115" customFormat="1" ht="12">
      <c r="A162" s="115" t="str">
        <f>IF(Inm_13492&lt;=Inm_11204+100000,"OK","Stor transaktion; Bygg o mark")</f>
        <v>OK</v>
      </c>
    </row>
    <row r="163" s="115" customFormat="1" ht="12">
      <c r="A163" s="115" t="str">
        <f>IF(Inm_17900&lt;=Inm_17940+100000,"OK","Stor transaktion; Vissa skulder")</f>
        <v>OK</v>
      </c>
    </row>
    <row r="164" s="115" customFormat="1" ht="12">
      <c r="A164" s="115" t="str">
        <f>IF(Inm_17899&lt;=Inm_17939+100000,"OK","Stor transaktion; Vissa skulder")</f>
        <v>OK</v>
      </c>
    </row>
    <row r="165" s="115" customFormat="1" ht="12">
      <c r="A165" s="115" t="str">
        <f>IF(Inm_17903&lt;=Inm_17943+100000,"OK","Stor transaktion; Vissa skulder")</f>
        <v>OK</v>
      </c>
    </row>
    <row r="166" s="115" customFormat="1" ht="12">
      <c r="A166" s="115" t="str">
        <f>IF(Inm_17904&lt;=Inm_17944+100000,"OK","Stor transaktion; Vissa skulder")</f>
        <v>OK</v>
      </c>
    </row>
    <row r="167" s="115" customFormat="1" ht="12">
      <c r="A167" s="115" t="str">
        <f>IF(Inm_17902&lt;=Inm_17942+100000,"OK","Stor transaktion; Vissa skulder")</f>
        <v>OK</v>
      </c>
    </row>
    <row r="168" s="115" customFormat="1" ht="12">
      <c r="A168" s="115" t="str">
        <f>IF(Inm_17901&lt;=Inm_17941+100000,"OK","Stor transaktion; Vissa skulder")</f>
        <v>OK</v>
      </c>
    </row>
    <row r="169" s="115" customFormat="1" ht="12">
      <c r="A169" s="115" t="str">
        <f>IF(Inm_17905&lt;=Inm_17952+100000,"OK","Stor transaktion; Vissa skulder")</f>
        <v>OK</v>
      </c>
    </row>
    <row r="170" s="115" customFormat="1" ht="12"/>
    <row r="171" s="115" customFormat="1" ht="12"/>
    <row r="172" s="115" customFormat="1" ht="12"/>
    <row r="173" s="115" customFormat="1" ht="12"/>
    <row r="174" s="115" customFormat="1" ht="12"/>
    <row r="175" s="115" customFormat="1" ht="12"/>
    <row r="176" s="115" customFormat="1" ht="12"/>
    <row r="177" s="115" customFormat="1" ht="12"/>
    <row r="178" s="115" customFormat="1" ht="12"/>
    <row r="179" s="115" customFormat="1" ht="12"/>
    <row r="180" s="115" customFormat="1" ht="12"/>
    <row r="181" s="115" customFormat="1" ht="12"/>
    <row r="182" s="115" customFormat="1" ht="12"/>
    <row r="183" s="115" customFormat="1" ht="12"/>
    <row r="184" s="115" customFormat="1" ht="12"/>
    <row r="185" s="115" customFormat="1" ht="12"/>
    <row r="186" s="115" customFormat="1" ht="12"/>
    <row r="187" s="115" customFormat="1" ht="12"/>
    <row r="188" s="115" customFormat="1" ht="12"/>
    <row r="189" s="115" customFormat="1" ht="12"/>
    <row r="190" s="115" customFormat="1" ht="12"/>
    <row r="191" s="115" customFormat="1" ht="12"/>
    <row r="192" s="115" customFormat="1" ht="12"/>
    <row r="193" s="115" customFormat="1" ht="12"/>
    <row r="194" s="115" customFormat="1" ht="12"/>
    <row r="195" s="115" customFormat="1" ht="12"/>
    <row r="196" s="115" customFormat="1" ht="12"/>
    <row r="197" s="115" customFormat="1" ht="12"/>
    <row r="198" s="115" customFormat="1" ht="12"/>
    <row r="199" s="115" customFormat="1" ht="12"/>
    <row r="200" s="115" customFormat="1" ht="12"/>
    <row r="201" s="115" customFormat="1" ht="12"/>
    <row r="202" s="115" customFormat="1" ht="12"/>
    <row r="203" s="115" customFormat="1" ht="12"/>
    <row r="204" s="115" customFormat="1" ht="12"/>
    <row r="205" s="115" customFormat="1" ht="12"/>
    <row r="206" s="115" customFormat="1" ht="12"/>
    <row r="207" s="115" customFormat="1" ht="12"/>
    <row r="208" s="115" customFormat="1" ht="12"/>
    <row r="209" s="115" customFormat="1" ht="12"/>
    <row r="210" s="115" customFormat="1" ht="12"/>
    <row r="211" s="115" customFormat="1" ht="12"/>
    <row r="212" s="115" customFormat="1" ht="12"/>
    <row r="213" s="115" customFormat="1" ht="12"/>
    <row r="214" s="115" customFormat="1" ht="12"/>
    <row r="215" s="115" customFormat="1" ht="12"/>
    <row r="216" s="115" customFormat="1" ht="12"/>
    <row r="217" s="115" customFormat="1" ht="12"/>
    <row r="218" s="115" customFormat="1" ht="12"/>
    <row r="219" s="115" customFormat="1" ht="12"/>
    <row r="220" s="115" customFormat="1" ht="12"/>
    <row r="221" s="115" customFormat="1" ht="12"/>
    <row r="222" s="115" customFormat="1" ht="12"/>
    <row r="223" s="115" customFormat="1" ht="12"/>
    <row r="224" s="115" customFormat="1" ht="12"/>
    <row r="225" s="115" customFormat="1" ht="12"/>
    <row r="226" s="115" customFormat="1" ht="12"/>
    <row r="227" s="115" customFormat="1" ht="12"/>
    <row r="228" s="115" customFormat="1" ht="12"/>
    <row r="229" s="115" customFormat="1" ht="12"/>
    <row r="230" s="115" customFormat="1" ht="12"/>
    <row r="231" s="115" customFormat="1" ht="12"/>
    <row r="232" s="115" customFormat="1" ht="12"/>
    <row r="233" s="115" customFormat="1" ht="12"/>
    <row r="234" s="115" customFormat="1" ht="12"/>
    <row r="235" s="115" customFormat="1" ht="12"/>
    <row r="236" s="115" customFormat="1" ht="12"/>
    <row r="237" s="115" customFormat="1" ht="12"/>
    <row r="238" s="115" customFormat="1" ht="12"/>
    <row r="239" s="115" customFormat="1" ht="12"/>
    <row r="240" s="115" customFormat="1" ht="12"/>
    <row r="241" s="115" customFormat="1" ht="12"/>
    <row r="242" s="115" customFormat="1" ht="12"/>
    <row r="243" s="115" customFormat="1" ht="12"/>
    <row r="244" s="115" customFormat="1" ht="12"/>
    <row r="245" s="115" customFormat="1" ht="12"/>
    <row r="246" s="115" customFormat="1" ht="12"/>
    <row r="247" s="115" customFormat="1" ht="12"/>
    <row r="248" s="115" customFormat="1" ht="12"/>
    <row r="249" s="115" customFormat="1" ht="12"/>
    <row r="250" s="115" customFormat="1" ht="12"/>
    <row r="251" s="115" customFormat="1" ht="12"/>
    <row r="252" s="115" customFormat="1" ht="12"/>
    <row r="253" s="115" customFormat="1" ht="12"/>
    <row r="254" s="115" customFormat="1" ht="12"/>
    <row r="255" s="115" customFormat="1" ht="12"/>
    <row r="256" s="115" customFormat="1" ht="12"/>
    <row r="257" s="115" customFormat="1" ht="12"/>
    <row r="258" s="115" customFormat="1" ht="12"/>
    <row r="259" s="115" customFormat="1" ht="12"/>
    <row r="260" s="115" customFormat="1" ht="12"/>
    <row r="261" s="115" customFormat="1" ht="12"/>
    <row r="262" s="115" customFormat="1" ht="12"/>
    <row r="263" s="115" customFormat="1" ht="12"/>
    <row r="264" s="115" customFormat="1" ht="12"/>
    <row r="265" s="115" customFormat="1" ht="12"/>
    <row r="266" s="115" customFormat="1" ht="12"/>
    <row r="267" s="115" customFormat="1" ht="12"/>
    <row r="268" s="115" customFormat="1" ht="12"/>
    <row r="269" s="115" customFormat="1" ht="12"/>
    <row r="270" s="115" customFormat="1" ht="12"/>
    <row r="271" s="115" customFormat="1" ht="12"/>
    <row r="272" s="115" customFormat="1" ht="12"/>
    <row r="273" s="115" customFormat="1" ht="12"/>
    <row r="274" s="115" customFormat="1" ht="12"/>
    <row r="275" s="115" customFormat="1" ht="12"/>
    <row r="276" s="115" customFormat="1" ht="12"/>
    <row r="277" s="115" customFormat="1" ht="12"/>
    <row r="278" s="115" customFormat="1" ht="12"/>
    <row r="279" s="115" customFormat="1" ht="12"/>
    <row r="280" s="115" customFormat="1" ht="12"/>
    <row r="281" s="115" customFormat="1" ht="12"/>
    <row r="282" s="115" customFormat="1" ht="12"/>
    <row r="283" s="115" customFormat="1" ht="12"/>
    <row r="284" s="115" customFormat="1" ht="12"/>
    <row r="285" s="115" customFormat="1" ht="12"/>
    <row r="286" s="115" customFormat="1" ht="12"/>
    <row r="287" s="115" customFormat="1" ht="12"/>
    <row r="288" s="115" customFormat="1" ht="12"/>
    <row r="289" s="115" customFormat="1" ht="12"/>
    <row r="290" s="115" customFormat="1" ht="12"/>
    <row r="291" s="115" customFormat="1" ht="12"/>
    <row r="292" s="115" customFormat="1" ht="12"/>
    <row r="293" s="115" customFormat="1" ht="12"/>
    <row r="294" s="115" customFormat="1" ht="12"/>
    <row r="295" s="115" customFormat="1" ht="12"/>
    <row r="296" s="115" customFormat="1" ht="12"/>
    <row r="297" s="115" customFormat="1" ht="12"/>
    <row r="298" s="115" customFormat="1" ht="12"/>
    <row r="299" s="115" customFormat="1" ht="12"/>
    <row r="300" s="115" customFormat="1" ht="12"/>
    <row r="301" s="115" customFormat="1" ht="12"/>
    <row r="302" s="115" customFormat="1" ht="12"/>
    <row r="303" s="115" customFormat="1" ht="12"/>
    <row r="304" s="115" customFormat="1" ht="12"/>
    <row r="305" s="115" customFormat="1" ht="12"/>
    <row r="306" s="115" customFormat="1" ht="12"/>
    <row r="307" s="115" customFormat="1" ht="12"/>
    <row r="308" s="115" customFormat="1" ht="12"/>
    <row r="309" s="115" customFormat="1" ht="12"/>
    <row r="310" s="115" customFormat="1" ht="12"/>
    <row r="311" s="115" customFormat="1" ht="12"/>
    <row r="312" s="115" customFormat="1" ht="12"/>
    <row r="313" s="115" customFormat="1" ht="12"/>
    <row r="314" s="115" customFormat="1" ht="12"/>
    <row r="315" s="115" customFormat="1" ht="12"/>
    <row r="316" s="115" customFormat="1" ht="12"/>
    <row r="317" s="115" customFormat="1" ht="12"/>
    <row r="318" s="115" customFormat="1" ht="12"/>
    <row r="319" s="115" customFormat="1" ht="12"/>
    <row r="320" s="115" customFormat="1" ht="12"/>
    <row r="321" s="115" customFormat="1" ht="12"/>
    <row r="322" s="115" customFormat="1" ht="12"/>
    <row r="323" s="115" customFormat="1" ht="12"/>
    <row r="324" s="115" customFormat="1" ht="12"/>
    <row r="325" s="115" customFormat="1" ht="12"/>
    <row r="326" s="115" customFormat="1" ht="12"/>
    <row r="327" s="115" customFormat="1" ht="12"/>
    <row r="328" s="115" customFormat="1" ht="12"/>
    <row r="329" s="115" customFormat="1" ht="12"/>
    <row r="330" s="115" customFormat="1" ht="12"/>
    <row r="331" s="115" customFormat="1" ht="12"/>
    <row r="332" s="115" customFormat="1" ht="12"/>
    <row r="333" s="115" customFormat="1" ht="12"/>
    <row r="334" s="115" customFormat="1" ht="12"/>
    <row r="335" s="115" customFormat="1" ht="12"/>
    <row r="336" s="115" customFormat="1" ht="12"/>
    <row r="337" s="115" customFormat="1" ht="12"/>
    <row r="338" s="115" customFormat="1" ht="12"/>
    <row r="339" s="115" customFormat="1" ht="12"/>
    <row r="340" s="115" customFormat="1" ht="12"/>
    <row r="341" s="115" customFormat="1" ht="12"/>
    <row r="342" s="115" customFormat="1" ht="12"/>
    <row r="343" s="115" customFormat="1" ht="12"/>
    <row r="344" s="115" customFormat="1" ht="12"/>
    <row r="345" s="115" customFormat="1" ht="12"/>
    <row r="346" s="115" customFormat="1" ht="12"/>
    <row r="347" s="115" customFormat="1" ht="12"/>
    <row r="348" s="115" customFormat="1" ht="12"/>
    <row r="349" s="115" customFormat="1" ht="12"/>
    <row r="350" s="115" customFormat="1" ht="12"/>
    <row r="351" s="115" customFormat="1" ht="12"/>
    <row r="352" s="115" customFormat="1" ht="12"/>
    <row r="353" s="115" customFormat="1" ht="12"/>
    <row r="354" s="115" customFormat="1" ht="12"/>
    <row r="355" s="115" customFormat="1" ht="12"/>
    <row r="356" s="115" customFormat="1" ht="12"/>
    <row r="357" s="115" customFormat="1" ht="12"/>
    <row r="358" s="115" customFormat="1" ht="12"/>
    <row r="359" s="115" customFormat="1" ht="12"/>
    <row r="360" s="115" customFormat="1" ht="12"/>
    <row r="361" s="115" customFormat="1" ht="12"/>
    <row r="362" s="115" customFormat="1" ht="12"/>
    <row r="363" s="115" customFormat="1" ht="12"/>
    <row r="364" s="115" customFormat="1" ht="12"/>
    <row r="365" s="115" customFormat="1" ht="12"/>
    <row r="366" s="115" customFormat="1" ht="12"/>
    <row r="367" s="115" customFormat="1" ht="12"/>
    <row r="368" s="115" customFormat="1" ht="12"/>
    <row r="369" s="115" customFormat="1" ht="12"/>
    <row r="370" s="115" customFormat="1" ht="12"/>
    <row r="371" s="115" customFormat="1" ht="12"/>
    <row r="372" s="115" customFormat="1" ht="12"/>
    <row r="373" s="115" customFormat="1" ht="12"/>
    <row r="374" s="115" customFormat="1" ht="12"/>
    <row r="375" s="115" customFormat="1" ht="12"/>
    <row r="376" s="115" customFormat="1" ht="12"/>
    <row r="377" s="115" customFormat="1" ht="12"/>
    <row r="378" s="115" customFormat="1" ht="12"/>
    <row r="379" s="115" customFormat="1" ht="12"/>
    <row r="380" s="115" customFormat="1" ht="12"/>
    <row r="381" s="115" customFormat="1" ht="12"/>
    <row r="382" s="115" customFormat="1" ht="12"/>
    <row r="383" s="115" customFormat="1" ht="12"/>
    <row r="384" s="115" customFormat="1" ht="12"/>
    <row r="385" s="115" customFormat="1" ht="12"/>
    <row r="386" s="115" customFormat="1" ht="12"/>
    <row r="387" s="115" customFormat="1" ht="12"/>
    <row r="388" s="115" customFormat="1" ht="12"/>
    <row r="389" s="115" customFormat="1" ht="12"/>
    <row r="390" s="115" customFormat="1" ht="12"/>
    <row r="391" s="115" customFormat="1" ht="12"/>
    <row r="392" s="115" customFormat="1" ht="12"/>
    <row r="393" s="115" customFormat="1" ht="12"/>
    <row r="394" s="115" customFormat="1" ht="12"/>
    <row r="395" s="115" customFormat="1" ht="12"/>
    <row r="396" s="115" customFormat="1" ht="12"/>
    <row r="397" s="115" customFormat="1" ht="12"/>
    <row r="398" s="115" customFormat="1" ht="12"/>
    <row r="399" s="115" customFormat="1" ht="12"/>
    <row r="400" s="115" customFormat="1" ht="12"/>
    <row r="401" s="115" customFormat="1" ht="12"/>
    <row r="402" s="115" customFormat="1" ht="12"/>
    <row r="403" s="115" customFormat="1" ht="12"/>
    <row r="404" s="115" customFormat="1" ht="12"/>
    <row r="405" s="115" customFormat="1" ht="12"/>
    <row r="406" s="115" customFormat="1" ht="12"/>
    <row r="407" s="115" customFormat="1" ht="12"/>
    <row r="408" s="115" customFormat="1" ht="12"/>
    <row r="409" s="115" customFormat="1" ht="12"/>
    <row r="410" s="115" customFormat="1" ht="12"/>
    <row r="411" s="115" customFormat="1" ht="12"/>
    <row r="412" s="115" customFormat="1" ht="12"/>
    <row r="413" s="115" customFormat="1" ht="12"/>
    <row r="414" s="115" customFormat="1" ht="12"/>
    <row r="415" s="115" customFormat="1" ht="12"/>
    <row r="416" s="115" customFormat="1" ht="12"/>
    <row r="417" s="115" customFormat="1" ht="12"/>
    <row r="418" s="115" customFormat="1" ht="12"/>
    <row r="419" s="115" customFormat="1" ht="12"/>
    <row r="420" s="115" customFormat="1" ht="12"/>
    <row r="421" s="115" customFormat="1" ht="12"/>
    <row r="422" s="115" customFormat="1" ht="12"/>
    <row r="423" s="115" customFormat="1" ht="12"/>
    <row r="424" s="115" customFormat="1" ht="12"/>
    <row r="425" s="115" customFormat="1" ht="12"/>
    <row r="426" s="115" customFormat="1" ht="12"/>
    <row r="427" s="115" customFormat="1" ht="12"/>
    <row r="428" s="115" customFormat="1" ht="12"/>
    <row r="429" s="115" customFormat="1" ht="12"/>
    <row r="430" s="115" customFormat="1" ht="12"/>
    <row r="431" s="115" customFormat="1" ht="12"/>
    <row r="432" s="115" customFormat="1" ht="12"/>
    <row r="433" s="115" customFormat="1" ht="12"/>
    <row r="434" s="115" customFormat="1" ht="12"/>
    <row r="435" s="115" customFormat="1" ht="12"/>
    <row r="436" s="115" customFormat="1" ht="12"/>
    <row r="437" s="115" customFormat="1" ht="12"/>
    <row r="438" s="115" customFormat="1" ht="12"/>
    <row r="439" s="115" customFormat="1" ht="12"/>
    <row r="440" s="115" customFormat="1" ht="12"/>
    <row r="441" s="115" customFormat="1" ht="12"/>
    <row r="442" s="115" customFormat="1" ht="12"/>
    <row r="443" s="115" customFormat="1" ht="12"/>
    <row r="444" s="115" customFormat="1" ht="12"/>
    <row r="445" s="115" customFormat="1" ht="12"/>
    <row r="446" s="115" customFormat="1" ht="12"/>
    <row r="447" s="115" customFormat="1" ht="12"/>
    <row r="448" s="115" customFormat="1" ht="12"/>
    <row r="449" s="115" customFormat="1" ht="12"/>
    <row r="450" s="115" customFormat="1" ht="12"/>
    <row r="451" s="115" customFormat="1" ht="12"/>
    <row r="452" s="115" customFormat="1" ht="12"/>
    <row r="453" s="115" customFormat="1" ht="12"/>
    <row r="454" s="115" customFormat="1" ht="12"/>
    <row r="455" s="115" customFormat="1" ht="12"/>
    <row r="456" s="115" customFormat="1" ht="12"/>
    <row r="457" s="115" customFormat="1" ht="12"/>
    <row r="458" s="115" customFormat="1" ht="12"/>
    <row r="459" s="115" customFormat="1" ht="12"/>
    <row r="460" s="115" customFormat="1" ht="12"/>
    <row r="461" s="115" customFormat="1" ht="12"/>
    <row r="462" s="115" customFormat="1" ht="12"/>
    <row r="463" s="115" customFormat="1" ht="12"/>
    <row r="464" s="115" customFormat="1" ht="12"/>
    <row r="465" s="115" customFormat="1" ht="12"/>
    <row r="466" s="115" customFormat="1" ht="12"/>
    <row r="467" s="115" customFormat="1" ht="12"/>
    <row r="468" s="115" customFormat="1" ht="12"/>
    <row r="469" s="115" customFormat="1" ht="12"/>
    <row r="470" s="115" customFormat="1" ht="12"/>
    <row r="471" s="115" customFormat="1" ht="12"/>
    <row r="472" s="115" customFormat="1" ht="12"/>
    <row r="473" s="115" customFormat="1" ht="12"/>
    <row r="474" s="115" customFormat="1" ht="12"/>
    <row r="475" s="115" customFormat="1" ht="12"/>
    <row r="476" s="115" customFormat="1" ht="12"/>
    <row r="477" s="115" customFormat="1" ht="12"/>
    <row r="478" s="115" customFormat="1" ht="12"/>
    <row r="479" s="115" customFormat="1" ht="12"/>
    <row r="480" s="115" customFormat="1" ht="12"/>
    <row r="481" s="115" customFormat="1" ht="12"/>
    <row r="482" s="115" customFormat="1" ht="12"/>
    <row r="483" s="115" customFormat="1" ht="12"/>
    <row r="484" s="115" customFormat="1" ht="12"/>
    <row r="485" s="115" customFormat="1" ht="12"/>
    <row r="486" s="115" customFormat="1" ht="12"/>
    <row r="487" s="115" customFormat="1" ht="12"/>
    <row r="488" s="115" customFormat="1" ht="12"/>
    <row r="489" s="115" customFormat="1" ht="12"/>
    <row r="490" s="115" customFormat="1" ht="12"/>
    <row r="491" s="115" customFormat="1" ht="12"/>
    <row r="492" s="115" customFormat="1" ht="12"/>
    <row r="493" s="115" customFormat="1" ht="12"/>
    <row r="494" s="115" customFormat="1" ht="12"/>
    <row r="495" s="115" customFormat="1" ht="12"/>
    <row r="496" s="115" customFormat="1" ht="12"/>
    <row r="497" s="115" customFormat="1" ht="12"/>
    <row r="498" s="115" customFormat="1" ht="12"/>
    <row r="499" s="115" customFormat="1" ht="12"/>
    <row r="500" s="115" customFormat="1" ht="12"/>
    <row r="501" s="115" customFormat="1" ht="12"/>
    <row r="502" s="115" customFormat="1" ht="12"/>
    <row r="503" s="115" customFormat="1" ht="12"/>
    <row r="504" s="115" customFormat="1" ht="12"/>
    <row r="505" s="115" customFormat="1" ht="12"/>
    <row r="506" s="115" customFormat="1" ht="12"/>
    <row r="507" s="115" customFormat="1" ht="12"/>
    <row r="508" s="115" customFormat="1" ht="12"/>
    <row r="509" s="115" customFormat="1" ht="12"/>
    <row r="510" s="115" customFormat="1" ht="12"/>
    <row r="511" s="115" customFormat="1" ht="12"/>
    <row r="512" s="115" customFormat="1" ht="12"/>
    <row r="513" s="115" customFormat="1" ht="12"/>
    <row r="514" s="115" customFormat="1" ht="12"/>
    <row r="515" s="115" customFormat="1" ht="12"/>
    <row r="516" s="115" customFormat="1" ht="12"/>
    <row r="517" s="115" customFormat="1" ht="12"/>
    <row r="518" s="115" customFormat="1" ht="12"/>
    <row r="519" s="115" customFormat="1" ht="12"/>
    <row r="520" s="115" customFormat="1" ht="12"/>
    <row r="521" s="115" customFormat="1" ht="12"/>
    <row r="522" s="115" customFormat="1" ht="12"/>
    <row r="523" s="115" customFormat="1" ht="12"/>
    <row r="524" s="115" customFormat="1" ht="12"/>
    <row r="525" s="115" customFormat="1" ht="12"/>
    <row r="526" s="115" customFormat="1" ht="12"/>
    <row r="527" s="115" customFormat="1" ht="12"/>
    <row r="528" s="115" customFormat="1" ht="12"/>
    <row r="529" s="115" customFormat="1" ht="12"/>
    <row r="530" s="115" customFormat="1" ht="12"/>
    <row r="531" s="115" customFormat="1" ht="12"/>
    <row r="532" s="115" customFormat="1" ht="12"/>
    <row r="533" s="115" customFormat="1" ht="12"/>
    <row r="534" s="115" customFormat="1" ht="12"/>
    <row r="535" s="115" customFormat="1" ht="12"/>
    <row r="536" s="115" customFormat="1" ht="12"/>
    <row r="537" s="115" customFormat="1" ht="12"/>
    <row r="538" s="115" customFormat="1" ht="12"/>
    <row r="539" s="115" customFormat="1" ht="12"/>
    <row r="540" s="115" customFormat="1" ht="12"/>
    <row r="541" s="115" customFormat="1" ht="12"/>
    <row r="542" s="115" customFormat="1" ht="12"/>
    <row r="543" s="115" customFormat="1" ht="12"/>
    <row r="544" s="115" customFormat="1" ht="12"/>
    <row r="545" s="115" customFormat="1" ht="12"/>
    <row r="546" s="115" customFormat="1" ht="12"/>
    <row r="547" s="115" customFormat="1" ht="12"/>
    <row r="548" s="115" customFormat="1" ht="12"/>
    <row r="549" s="115" customFormat="1" ht="12"/>
    <row r="550" s="115" customFormat="1" ht="12"/>
    <row r="551" s="115" customFormat="1" ht="12"/>
    <row r="552" s="115" customFormat="1" ht="12"/>
    <row r="553" s="115" customFormat="1" ht="12"/>
    <row r="554" s="115" customFormat="1" ht="12"/>
    <row r="555" s="115" customFormat="1" ht="12"/>
    <row r="556" s="115" customFormat="1" ht="12"/>
    <row r="557" s="115" customFormat="1" ht="12"/>
    <row r="558" s="115" customFormat="1" ht="12"/>
    <row r="559" s="115" customFormat="1" ht="12"/>
    <row r="560" s="115" customFormat="1" ht="12"/>
    <row r="561" s="115" customFormat="1" ht="12"/>
    <row r="562" s="115" customFormat="1" ht="12"/>
    <row r="563" s="115" customFormat="1" ht="12"/>
    <row r="564" s="115" customFormat="1" ht="12"/>
    <row r="565" s="115" customFormat="1" ht="12"/>
    <row r="566" s="115" customFormat="1" ht="12"/>
    <row r="567" s="115" customFormat="1" ht="12"/>
    <row r="568" s="115" customFormat="1" ht="12"/>
    <row r="569" s="115" customFormat="1" ht="12"/>
    <row r="570" s="115" customFormat="1" ht="12"/>
    <row r="571" s="115" customFormat="1" ht="12"/>
    <row r="572" s="115" customFormat="1" ht="12"/>
    <row r="573" s="115" customFormat="1" ht="12"/>
    <row r="574" s="115" customFormat="1" ht="12"/>
    <row r="575" s="115" customFormat="1" ht="12"/>
    <row r="576" s="115" customFormat="1" ht="12"/>
    <row r="577" s="115" customFormat="1" ht="12"/>
    <row r="578" s="115" customFormat="1" ht="12"/>
    <row r="579" s="115" customFormat="1" ht="12"/>
    <row r="580" s="115" customFormat="1" ht="12"/>
    <row r="581" s="115" customFormat="1" ht="12"/>
    <row r="582" s="115" customFormat="1" ht="12"/>
    <row r="583" s="115" customFormat="1" ht="12"/>
    <row r="584" s="115" customFormat="1" ht="12"/>
    <row r="585" s="115" customFormat="1" ht="12"/>
    <row r="586" s="115" customFormat="1" ht="12"/>
    <row r="587" s="115" customFormat="1" ht="12"/>
    <row r="588" s="115" customFormat="1" ht="12"/>
    <row r="589" s="115" customFormat="1" ht="12"/>
    <row r="590" s="115" customFormat="1" ht="12"/>
    <row r="591" s="115" customFormat="1" ht="12"/>
    <row r="592" s="115" customFormat="1" ht="12"/>
    <row r="593" s="115" customFormat="1" ht="12"/>
    <row r="594" s="115" customFormat="1" ht="12"/>
    <row r="595" s="115" customFormat="1" ht="12"/>
    <row r="596" s="115" customFormat="1" ht="12"/>
    <row r="597" s="115" customFormat="1" ht="12"/>
    <row r="598" s="115" customFormat="1" ht="12"/>
    <row r="599" s="115" customFormat="1" ht="12"/>
    <row r="600" s="115" customFormat="1" ht="12"/>
    <row r="601" s="115" customFormat="1" ht="12"/>
    <row r="602" s="115" customFormat="1" ht="12"/>
    <row r="603" s="115" customFormat="1" ht="12"/>
    <row r="604" s="115" customFormat="1" ht="12"/>
    <row r="605" s="115" customFormat="1" ht="12"/>
    <row r="606" s="115" customFormat="1" ht="12"/>
    <row r="607" s="115" customFormat="1" ht="12"/>
    <row r="608" s="115" customFormat="1" ht="12"/>
    <row r="609" s="115" customFormat="1" ht="12"/>
    <row r="610" s="115" customFormat="1" ht="12"/>
    <row r="611" s="115" customFormat="1" ht="12"/>
    <row r="612" s="115" customFormat="1" ht="12"/>
    <row r="613" s="115" customFormat="1" ht="12"/>
    <row r="614" s="115" customFormat="1" ht="12"/>
    <row r="615" s="115" customFormat="1" ht="12"/>
    <row r="616" s="115" customFormat="1" ht="12"/>
    <row r="617" s="115" customFormat="1" ht="12"/>
    <row r="618" s="115" customFormat="1" ht="12"/>
    <row r="619" s="115" customFormat="1" ht="12"/>
    <row r="620" s="115" customFormat="1" ht="12"/>
    <row r="621" s="115" customFormat="1" ht="12"/>
    <row r="622" s="115" customFormat="1" ht="12"/>
    <row r="623" s="115" customFormat="1" ht="12"/>
    <row r="624" s="115" customFormat="1" ht="12"/>
    <row r="625" s="115" customFormat="1" ht="12"/>
    <row r="626" s="115" customFormat="1" ht="12"/>
    <row r="627" s="115" customFormat="1" ht="12"/>
    <row r="628" s="115" customFormat="1" ht="12"/>
    <row r="629" s="115" customFormat="1" ht="12"/>
    <row r="630" s="115" customFormat="1" ht="12"/>
    <row r="631" s="115" customFormat="1" ht="12"/>
    <row r="632" s="115" customFormat="1" ht="12"/>
    <row r="633" s="115" customFormat="1" ht="12"/>
    <row r="634" s="115" customFormat="1" ht="12"/>
    <row r="635" s="115" customFormat="1" ht="12"/>
    <row r="636" s="115" customFormat="1" ht="12"/>
    <row r="637" s="115" customFormat="1" ht="12"/>
    <row r="638" s="115" customFormat="1" ht="12"/>
    <row r="639" s="115" customFormat="1" ht="12"/>
    <row r="640" s="115" customFormat="1" ht="12"/>
    <row r="641" s="115" customFormat="1" ht="12"/>
    <row r="642" s="115" customFormat="1" ht="12"/>
    <row r="643" s="115" customFormat="1" ht="12"/>
    <row r="644" s="115" customFormat="1" ht="12"/>
    <row r="645" s="115" customFormat="1" ht="12"/>
    <row r="646" s="115" customFormat="1" ht="12"/>
    <row r="647" s="115" customFormat="1" ht="12"/>
    <row r="648" s="115" customFormat="1" ht="12"/>
    <row r="649" s="115" customFormat="1" ht="12"/>
    <row r="650" s="115" customFormat="1" ht="12"/>
    <row r="651" s="115" customFormat="1" ht="12"/>
    <row r="652" s="115" customFormat="1" ht="12"/>
    <row r="653" s="115" customFormat="1" ht="12"/>
    <row r="654" s="115" customFormat="1" ht="12"/>
    <row r="655" s="115" customFormat="1" ht="12"/>
    <row r="656" s="115" customFormat="1" ht="12"/>
    <row r="657" s="115" customFormat="1" ht="12"/>
    <row r="658" s="115" customFormat="1" ht="12"/>
    <row r="659" s="115" customFormat="1" ht="12"/>
    <row r="660" s="115" customFormat="1" ht="12"/>
    <row r="661" s="115" customFormat="1" ht="12"/>
    <row r="662" s="115" customFormat="1" ht="12"/>
    <row r="663" s="115" customFormat="1" ht="12"/>
    <row r="664" s="115" customFormat="1" ht="12"/>
    <row r="665" s="115" customFormat="1" ht="12"/>
    <row r="666" s="115" customFormat="1" ht="12"/>
    <row r="667" s="115" customFormat="1" ht="12"/>
    <row r="668" s="115" customFormat="1" ht="12"/>
    <row r="669" s="115" customFormat="1" ht="12"/>
    <row r="670" s="115" customFormat="1" ht="12"/>
    <row r="671" s="115" customFormat="1" ht="12"/>
    <row r="672" s="115" customFormat="1" ht="12"/>
    <row r="673" s="115" customFormat="1" ht="12"/>
    <row r="674" s="115" customFormat="1" ht="12"/>
    <row r="675" s="115" customFormat="1" ht="12"/>
    <row r="676" s="115" customFormat="1" ht="12"/>
    <row r="677" s="115" customFormat="1" ht="12"/>
    <row r="678" s="115" customFormat="1" ht="12"/>
    <row r="679" s="115" customFormat="1" ht="12"/>
    <row r="680" s="115" customFormat="1" ht="12"/>
    <row r="681" s="115" customFormat="1" ht="12"/>
    <row r="682" s="115" customFormat="1" ht="12"/>
    <row r="683" s="115" customFormat="1" ht="12"/>
    <row r="684" s="115" customFormat="1" ht="12"/>
    <row r="685" s="115" customFormat="1" ht="12"/>
    <row r="686" s="115" customFormat="1" ht="12"/>
    <row r="687" s="115" customFormat="1" ht="12"/>
    <row r="688" s="115" customFormat="1" ht="12"/>
    <row r="689" s="115" customFormat="1" ht="12"/>
    <row r="690" s="115" customFormat="1" ht="12"/>
    <row r="691" s="115" customFormat="1" ht="12"/>
    <row r="692" s="115" customFormat="1" ht="12"/>
    <row r="693" s="115" customFormat="1" ht="12"/>
    <row r="694" s="115" customFormat="1" ht="12"/>
    <row r="695" s="115" customFormat="1" ht="12"/>
    <row r="696" s="115" customFormat="1" ht="12"/>
    <row r="697" s="115" customFormat="1" ht="12"/>
    <row r="698" s="115" customFormat="1" ht="12"/>
    <row r="699" s="115" customFormat="1" ht="12"/>
    <row r="700" s="115" customFormat="1" ht="12"/>
    <row r="701" s="115" customFormat="1" ht="12"/>
    <row r="702" s="115" customFormat="1" ht="12"/>
    <row r="703" s="115" customFormat="1" ht="12"/>
    <row r="704" s="115" customFormat="1" ht="12"/>
    <row r="705" s="115" customFormat="1" ht="12"/>
    <row r="706" s="115" customFormat="1" ht="12"/>
    <row r="707" s="115" customFormat="1" ht="12"/>
    <row r="708" s="115" customFormat="1" ht="12"/>
    <row r="709" s="115" customFormat="1" ht="12"/>
    <row r="710" s="115" customFormat="1" ht="12"/>
    <row r="711" s="115" customFormat="1" ht="12"/>
    <row r="712" s="115" customFormat="1" ht="12"/>
    <row r="713" s="115" customFormat="1" ht="12"/>
    <row r="714" s="115" customFormat="1" ht="12"/>
    <row r="715" s="115" customFormat="1" ht="12"/>
    <row r="716" s="115" customFormat="1" ht="12"/>
    <row r="717" s="115" customFormat="1" ht="12"/>
    <row r="718" s="115" customFormat="1" ht="12"/>
    <row r="719" s="115" customFormat="1" ht="12"/>
    <row r="720" s="115" customFormat="1" ht="12"/>
    <row r="721" s="115" customFormat="1" ht="12"/>
    <row r="722" s="115" customFormat="1" ht="12"/>
    <row r="723" s="115" customFormat="1" ht="12"/>
    <row r="724" s="115" customFormat="1" ht="12"/>
    <row r="725" s="115" customFormat="1" ht="12"/>
    <row r="726" s="115" customFormat="1" ht="12"/>
    <row r="727" s="115" customFormat="1" ht="12"/>
    <row r="728" s="115" customFormat="1" ht="12"/>
    <row r="729" s="115" customFormat="1" ht="12"/>
    <row r="730" s="115" customFormat="1" ht="12"/>
    <row r="731" s="115" customFormat="1" ht="12"/>
    <row r="732" s="115" customFormat="1" ht="12"/>
    <row r="733" s="115" customFormat="1" ht="12"/>
    <row r="734" s="115" customFormat="1" ht="12"/>
    <row r="735" s="115" customFormat="1" ht="12"/>
    <row r="736" s="115" customFormat="1" ht="12"/>
    <row r="737" s="115" customFormat="1" ht="12"/>
    <row r="738" s="115" customFormat="1" ht="12"/>
    <row r="739" s="115" customFormat="1" ht="12"/>
    <row r="740" s="115" customFormat="1" ht="12"/>
    <row r="741" s="115" customFormat="1" ht="12"/>
    <row r="742" s="115" customFormat="1" ht="12"/>
    <row r="743" s="115" customFormat="1" ht="12"/>
    <row r="744" s="115" customFormat="1" ht="12"/>
    <row r="745" s="115" customFormat="1" ht="12"/>
    <row r="746" s="115" customFormat="1" ht="12"/>
    <row r="747" s="115" customFormat="1" ht="12"/>
    <row r="748" s="115" customFormat="1" ht="12"/>
    <row r="749" s="115" customFormat="1" ht="12"/>
    <row r="750" s="115" customFormat="1" ht="12"/>
    <row r="751" s="115" customFormat="1" ht="12"/>
    <row r="752" s="115" customFormat="1" ht="12"/>
    <row r="753" s="115" customFormat="1" ht="12"/>
    <row r="754" s="115" customFormat="1" ht="12"/>
    <row r="755" s="115" customFormat="1" ht="12"/>
    <row r="756" s="115" customFormat="1" ht="12"/>
    <row r="757" s="115" customFormat="1" ht="12"/>
    <row r="758" s="115" customFormat="1" ht="12"/>
    <row r="759" s="115" customFormat="1" ht="12"/>
    <row r="760" s="115" customFormat="1" ht="12"/>
    <row r="761" s="115" customFormat="1" ht="12"/>
    <row r="762" s="115" customFormat="1" ht="12"/>
    <row r="763" s="115" customFormat="1" ht="12"/>
    <row r="764" s="115" customFormat="1" ht="12"/>
    <row r="765" s="115" customFormat="1" ht="12"/>
    <row r="766" s="115" customFormat="1" ht="12"/>
    <row r="767" s="115" customFormat="1" ht="12"/>
    <row r="768" s="115" customFormat="1" ht="12"/>
    <row r="769" s="115" customFormat="1" ht="12"/>
    <row r="770" s="115" customFormat="1" ht="12"/>
    <row r="771" s="115" customFormat="1" ht="12"/>
    <row r="772" s="115" customFormat="1" ht="12"/>
    <row r="773" s="115" customFormat="1" ht="12"/>
    <row r="774" s="115" customFormat="1" ht="12"/>
    <row r="775" s="115" customFormat="1" ht="12"/>
    <row r="776" s="115" customFormat="1" ht="12"/>
    <row r="777" s="115" customFormat="1" ht="12"/>
    <row r="778" s="115" customFormat="1" ht="12"/>
    <row r="779" s="115" customFormat="1" ht="12"/>
    <row r="780" s="115" customFormat="1" ht="12"/>
    <row r="781" s="115" customFormat="1" ht="12"/>
    <row r="782" s="115" customFormat="1" ht="12"/>
    <row r="783" s="115" customFormat="1" ht="12"/>
    <row r="784" s="115" customFormat="1" ht="12"/>
    <row r="785" s="115" customFormat="1" ht="12"/>
    <row r="786" s="115" customFormat="1" ht="12"/>
    <row r="787" s="115" customFormat="1" ht="12"/>
    <row r="788" s="115" customFormat="1" ht="12"/>
    <row r="789" s="115" customFormat="1" ht="12"/>
    <row r="790" s="115" customFormat="1" ht="12"/>
    <row r="791" s="115" customFormat="1" ht="12"/>
    <row r="792" s="115" customFormat="1" ht="12"/>
    <row r="793" s="115" customFormat="1" ht="12"/>
    <row r="794" s="115" customFormat="1" ht="12"/>
    <row r="795" s="115" customFormat="1" ht="12"/>
    <row r="796" s="115" customFormat="1" ht="12"/>
    <row r="797" s="115" customFormat="1" ht="12"/>
    <row r="798" s="115" customFormat="1" ht="12"/>
    <row r="799" s="115" customFormat="1" ht="12"/>
    <row r="800" s="115" customFormat="1" ht="12"/>
    <row r="801" s="115" customFormat="1" ht="12"/>
    <row r="802" s="115" customFormat="1" ht="12"/>
    <row r="803" s="115" customFormat="1" ht="12"/>
    <row r="804" s="115" customFormat="1" ht="12"/>
    <row r="805" s="115" customFormat="1" ht="12"/>
    <row r="806" s="115" customFormat="1" ht="12"/>
    <row r="807" s="115" customFormat="1" ht="12"/>
    <row r="808" s="115" customFormat="1" ht="12"/>
    <row r="809" s="115" customFormat="1" ht="12"/>
    <row r="810" s="115" customFormat="1" ht="12"/>
    <row r="811" s="115" customFormat="1" ht="12"/>
    <row r="812" s="115" customFormat="1" ht="12"/>
    <row r="813" s="115" customFormat="1" ht="12"/>
    <row r="814" s="115" customFormat="1" ht="12"/>
    <row r="815" s="115" customFormat="1" ht="12"/>
    <row r="816" s="115" customFormat="1" ht="12"/>
    <row r="817" s="115" customFormat="1" ht="12"/>
    <row r="818" s="115" customFormat="1" ht="12"/>
    <row r="819" s="115" customFormat="1" ht="12"/>
    <row r="820" s="115" customFormat="1" ht="12"/>
    <row r="821" s="115" customFormat="1" ht="12"/>
    <row r="822" s="115" customFormat="1" ht="12"/>
    <row r="823" s="115" customFormat="1" ht="12"/>
    <row r="824" s="115" customFormat="1" ht="12"/>
    <row r="825" s="115" customFormat="1" ht="12"/>
    <row r="826" s="115" customFormat="1" ht="12"/>
    <row r="827" s="115" customFormat="1" ht="12"/>
    <row r="828" s="115" customFormat="1" ht="12"/>
    <row r="829" s="115" customFormat="1" ht="12"/>
    <row r="830" s="115" customFormat="1" ht="12"/>
    <row r="831" s="115" customFormat="1" ht="12"/>
    <row r="832" s="115" customFormat="1" ht="12"/>
    <row r="833" s="115" customFormat="1" ht="12"/>
    <row r="834" s="115" customFormat="1" ht="12"/>
    <row r="835" s="115" customFormat="1" ht="12"/>
    <row r="836" s="115" customFormat="1" ht="12"/>
    <row r="837" s="115" customFormat="1" ht="12"/>
    <row r="838" s="115" customFormat="1" ht="12"/>
    <row r="839" s="115" customFormat="1" ht="12"/>
    <row r="840" s="115" customFormat="1" ht="12"/>
    <row r="841" s="115" customFormat="1" ht="12"/>
    <row r="842" s="115" customFormat="1" ht="12"/>
    <row r="843" s="115" customFormat="1" ht="12"/>
    <row r="844" s="115" customFormat="1" ht="12"/>
    <row r="845" s="115" customFormat="1" ht="12"/>
    <row r="846" s="115" customFormat="1" ht="12"/>
    <row r="847" s="115" customFormat="1" ht="12"/>
    <row r="848" s="115" customFormat="1" ht="12"/>
    <row r="849" s="115" customFormat="1" ht="12"/>
    <row r="850" s="115" customFormat="1" ht="12"/>
    <row r="851" s="115" customFormat="1" ht="12"/>
    <row r="852" s="115" customFormat="1" ht="12"/>
    <row r="853" s="115" customFormat="1" ht="12"/>
    <row r="854" s="115" customFormat="1" ht="12"/>
    <row r="855" s="115" customFormat="1" ht="12"/>
    <row r="856" s="115" customFormat="1" ht="12"/>
    <row r="857" s="115" customFormat="1" ht="12"/>
    <row r="858" s="115" customFormat="1" ht="12"/>
    <row r="859" s="115" customFormat="1" ht="12"/>
    <row r="860" s="115" customFormat="1" ht="12"/>
    <row r="861" s="115" customFormat="1" ht="12"/>
    <row r="862" s="115" customFormat="1" ht="12"/>
    <row r="863" s="115" customFormat="1" ht="12"/>
    <row r="864" s="115" customFormat="1" ht="12"/>
    <row r="865" s="115" customFormat="1" ht="12"/>
    <row r="866" s="115" customFormat="1" ht="12"/>
    <row r="867" s="115" customFormat="1" ht="12"/>
    <row r="868" s="115" customFormat="1" ht="12"/>
    <row r="869" s="115" customFormat="1" ht="12"/>
    <row r="870" s="115" customFormat="1" ht="12"/>
    <row r="871" s="115" customFormat="1" ht="12"/>
    <row r="872" s="115" customFormat="1" ht="12"/>
    <row r="873" s="115" customFormat="1" ht="12"/>
    <row r="874" s="115" customFormat="1" ht="12"/>
    <row r="875" s="115" customFormat="1" ht="12"/>
    <row r="876" s="115" customFormat="1" ht="12"/>
    <row r="877" s="115" customFormat="1" ht="12"/>
    <row r="878" s="115" customFormat="1" ht="12"/>
    <row r="879" s="115" customFormat="1" ht="12"/>
    <row r="880" s="115" customFormat="1" ht="12"/>
    <row r="881" s="115" customFormat="1" ht="12"/>
    <row r="882" s="115" customFormat="1" ht="12"/>
    <row r="883" s="115" customFormat="1" ht="12"/>
    <row r="884" s="115" customFormat="1" ht="12"/>
    <row r="885" s="115" customFormat="1" ht="12"/>
    <row r="886" s="115" customFormat="1" ht="12"/>
    <row r="887" s="115" customFormat="1" ht="12"/>
    <row r="888" s="115" customFormat="1" ht="12"/>
    <row r="889" s="115" customFormat="1" ht="12"/>
    <row r="890" s="115" customFormat="1" ht="12"/>
    <row r="891" s="115" customFormat="1" ht="12"/>
    <row r="892" s="115" customFormat="1" ht="12"/>
    <row r="893" s="115" customFormat="1" ht="12"/>
    <row r="894" s="115" customFormat="1" ht="12"/>
    <row r="895" s="115" customFormat="1" ht="12"/>
    <row r="896" s="115" customFormat="1" ht="12"/>
    <row r="897" s="115" customFormat="1" ht="12"/>
    <row r="898" s="115" customFormat="1" ht="12"/>
    <row r="899" s="115" customFormat="1" ht="12"/>
    <row r="900" s="115" customFormat="1" ht="12"/>
    <row r="901" s="115" customFormat="1" ht="12"/>
    <row r="902" s="115" customFormat="1" ht="12"/>
    <row r="903" s="115" customFormat="1" ht="12"/>
    <row r="904" s="115" customFormat="1" ht="12"/>
    <row r="905" s="115" customFormat="1" ht="12"/>
    <row r="906" s="115" customFormat="1" ht="12"/>
    <row r="907" s="115" customFormat="1" ht="12"/>
    <row r="908" s="115" customFormat="1" ht="12"/>
    <row r="909" s="115" customFormat="1" ht="12"/>
    <row r="910" s="115" customFormat="1" ht="12"/>
    <row r="911" s="115" customFormat="1" ht="12"/>
    <row r="912" s="115" customFormat="1" ht="12"/>
    <row r="913" s="115" customFormat="1" ht="12"/>
    <row r="914" s="115" customFormat="1" ht="12"/>
    <row r="915" s="115" customFormat="1" ht="12"/>
    <row r="916" s="115" customFormat="1" ht="12"/>
    <row r="917" s="115" customFormat="1" ht="12"/>
    <row r="918" s="115" customFormat="1" ht="12"/>
    <row r="919" s="115" customFormat="1" ht="12"/>
    <row r="920" s="115" customFormat="1" ht="12"/>
    <row r="921" s="115" customFormat="1" ht="12"/>
    <row r="922" s="115" customFormat="1" ht="12"/>
    <row r="923" s="115" customFormat="1" ht="12"/>
    <row r="924" s="115" customFormat="1" ht="12"/>
    <row r="925" s="115" customFormat="1" ht="12"/>
    <row r="926" s="115" customFormat="1" ht="12"/>
    <row r="927" s="115" customFormat="1" ht="12"/>
    <row r="928" s="115" customFormat="1" ht="12"/>
    <row r="929" s="115" customFormat="1" ht="12"/>
    <row r="930" s="115" customFormat="1" ht="12"/>
    <row r="931" s="115" customFormat="1" ht="12"/>
    <row r="932" s="115" customFormat="1" ht="12"/>
    <row r="933" s="115" customFormat="1" ht="12"/>
    <row r="934" s="115" customFormat="1" ht="12"/>
    <row r="935" s="115" customFormat="1" ht="12"/>
    <row r="936" s="115" customFormat="1" ht="12"/>
    <row r="937" s="115" customFormat="1" ht="12"/>
    <row r="938" s="115" customFormat="1" ht="12"/>
    <row r="939" s="115" customFormat="1" ht="12"/>
    <row r="940" s="115" customFormat="1" ht="12"/>
    <row r="941" s="115" customFormat="1" ht="12"/>
    <row r="942" s="115" customFormat="1" ht="12"/>
    <row r="943" s="115" customFormat="1" ht="12"/>
    <row r="944" s="115" customFormat="1" ht="12"/>
    <row r="945" s="115" customFormat="1" ht="12"/>
    <row r="946" s="115" customFormat="1" ht="12"/>
    <row r="947" s="115" customFormat="1" ht="12"/>
    <row r="948" s="115" customFormat="1" ht="12"/>
    <row r="949" s="115" customFormat="1" ht="12"/>
    <row r="950" s="115" customFormat="1" ht="12"/>
    <row r="951" s="115" customFormat="1" ht="12"/>
    <row r="952" s="115" customFormat="1" ht="12"/>
    <row r="953" s="115" customFormat="1" ht="12"/>
    <row r="954" s="115" customFormat="1" ht="12"/>
    <row r="955" s="115" customFormat="1" ht="12"/>
    <row r="956" s="115" customFormat="1" ht="12"/>
    <row r="957" s="115" customFormat="1" ht="12"/>
    <row r="958" s="115" customFormat="1" ht="12"/>
    <row r="959" s="115" customFormat="1" ht="12"/>
    <row r="960" s="115" customFormat="1" ht="12"/>
    <row r="961" s="115" customFormat="1" ht="12"/>
    <row r="962" s="115" customFormat="1" ht="12"/>
    <row r="963" s="115" customFormat="1" ht="12"/>
    <row r="964" s="115" customFormat="1" ht="12"/>
    <row r="965" s="115" customFormat="1" ht="12"/>
    <row r="966" s="115" customFormat="1" ht="12"/>
    <row r="967" s="115" customFormat="1" ht="12"/>
    <row r="968" s="115" customFormat="1" ht="12"/>
    <row r="969" s="115" customFormat="1" ht="12"/>
    <row r="970" s="115" customFormat="1" ht="12"/>
    <row r="971" s="115" customFormat="1" ht="12"/>
    <row r="972" s="115" customFormat="1" ht="12"/>
    <row r="973" s="115" customFormat="1" ht="12"/>
    <row r="974" s="115" customFormat="1" ht="12"/>
    <row r="975" s="115" customFormat="1" ht="12"/>
    <row r="976" s="115" customFormat="1" ht="12"/>
    <row r="977" s="115" customFormat="1" ht="12"/>
    <row r="978" s="115" customFormat="1" ht="12"/>
    <row r="979" s="115" customFormat="1" ht="12"/>
    <row r="980" s="115" customFormat="1" ht="12"/>
    <row r="981" s="115" customFormat="1" ht="12"/>
    <row r="982" s="115" customFormat="1" ht="12"/>
    <row r="983" s="115" customFormat="1" ht="12"/>
    <row r="984" s="115" customFormat="1" ht="12"/>
    <row r="985" s="115" customFormat="1" ht="12"/>
    <row r="986" s="115" customFormat="1" ht="12"/>
    <row r="987" s="115" customFormat="1" ht="12"/>
    <row r="988" s="115" customFormat="1" ht="12"/>
    <row r="989" s="115" customFormat="1" ht="12"/>
    <row r="990" s="115" customFormat="1" ht="12"/>
    <row r="991" s="115" customFormat="1" ht="12"/>
    <row r="992" s="115" customFormat="1" ht="12"/>
    <row r="993" s="115" customFormat="1" ht="12"/>
    <row r="994" s="115" customFormat="1" ht="12"/>
    <row r="995" s="115" customFormat="1" ht="12"/>
    <row r="996" s="115" customFormat="1" ht="12"/>
    <row r="997" s="115" customFormat="1" ht="12"/>
    <row r="998" s="115" customFormat="1" ht="12"/>
    <row r="999" s="115" customFormat="1" ht="12"/>
    <row r="1000" s="115" customFormat="1" ht="12"/>
    <row r="1001" s="115" customFormat="1" ht="12"/>
    <row r="1002" s="115" customFormat="1" ht="12"/>
    <row r="1003" s="115" customFormat="1" ht="12"/>
    <row r="1004" s="115" customFormat="1" ht="12"/>
    <row r="1005" s="115" customFormat="1" ht="12"/>
    <row r="1006" s="115" customFormat="1" ht="12"/>
    <row r="1007" s="115" customFormat="1" ht="12"/>
    <row r="1008" s="115" customFormat="1" ht="12"/>
    <row r="1009" s="115" customFormat="1" ht="12"/>
    <row r="1010" s="115" customFormat="1" ht="12"/>
    <row r="1011" s="115" customFormat="1" ht="12"/>
    <row r="1012" s="115" customFormat="1" ht="12"/>
    <row r="1013" s="115" customFormat="1" ht="12"/>
    <row r="1014" s="115" customFormat="1" ht="12"/>
    <row r="1015" s="115" customFormat="1" ht="12"/>
    <row r="1016" s="115" customFormat="1" ht="12"/>
    <row r="1017" s="115" customFormat="1" ht="12"/>
    <row r="1018" s="115" customFormat="1" ht="12"/>
    <row r="1019" s="115" customFormat="1" ht="12"/>
    <row r="1020" s="115" customFormat="1" ht="12"/>
    <row r="1021" s="115" customFormat="1" ht="12"/>
    <row r="1022" s="115" customFormat="1" ht="12"/>
    <row r="1023" s="115" customFormat="1" ht="12"/>
    <row r="1024" s="115" customFormat="1" ht="12"/>
    <row r="1025" s="115" customFormat="1" ht="12"/>
    <row r="1026" s="115" customFormat="1" ht="12"/>
    <row r="1027" s="115" customFormat="1" ht="12"/>
    <row r="1028" s="115" customFormat="1" ht="12"/>
    <row r="1029" s="115" customFormat="1" ht="12"/>
    <row r="1030" s="115" customFormat="1" ht="12"/>
    <row r="1031" s="115" customFormat="1" ht="12"/>
    <row r="1032" s="115" customFormat="1" ht="12"/>
    <row r="1033" s="115" customFormat="1" ht="12"/>
    <row r="1034" s="115" customFormat="1" ht="12"/>
    <row r="1035" s="115" customFormat="1" ht="12"/>
    <row r="1036" s="115" customFormat="1" ht="12"/>
    <row r="1037" s="115" customFormat="1" ht="12"/>
    <row r="1038" s="115" customFormat="1" ht="12"/>
    <row r="1039" s="115" customFormat="1" ht="12"/>
    <row r="1040" s="115" customFormat="1" ht="12"/>
    <row r="1041" s="115" customFormat="1" ht="12"/>
    <row r="1042" s="115" customFormat="1" ht="12"/>
    <row r="1043" s="115" customFormat="1" ht="12"/>
    <row r="1044" s="115" customFormat="1" ht="12"/>
    <row r="1045" s="115" customFormat="1" ht="12"/>
    <row r="1046" s="115" customFormat="1" ht="12"/>
    <row r="1047" s="115" customFormat="1" ht="12"/>
    <row r="1048" s="115" customFormat="1" ht="12"/>
    <row r="1049" s="115" customFormat="1" ht="12"/>
    <row r="1050" s="115" customFormat="1" ht="12"/>
    <row r="1051" s="115" customFormat="1" ht="12"/>
    <row r="1052" s="115" customFormat="1" ht="12"/>
    <row r="1053" s="115" customFormat="1" ht="12"/>
    <row r="1054" s="115" customFormat="1" ht="12"/>
    <row r="1055" s="115" customFormat="1" ht="12"/>
    <row r="1056" s="115" customFormat="1" ht="12"/>
    <row r="1057" s="115" customFormat="1" ht="12"/>
    <row r="1058" s="115" customFormat="1" ht="12"/>
    <row r="1059" s="115" customFormat="1" ht="12"/>
    <row r="1060" s="115" customFormat="1" ht="12"/>
    <row r="1061" s="115" customFormat="1" ht="12"/>
    <row r="1062" s="115" customFormat="1" ht="12"/>
    <row r="1063" s="115" customFormat="1" ht="12"/>
    <row r="1064" s="115" customFormat="1" ht="12"/>
    <row r="1065" s="115" customFormat="1" ht="12"/>
    <row r="1066" s="115" customFormat="1" ht="12"/>
    <row r="1067" s="115" customFormat="1" ht="12"/>
    <row r="1068" s="115" customFormat="1" ht="12"/>
    <row r="1069" s="115" customFormat="1" ht="12"/>
    <row r="1070" s="115" customFormat="1" ht="12"/>
    <row r="1071" s="115" customFormat="1" ht="12"/>
    <row r="1072" s="115" customFormat="1" ht="12"/>
    <row r="1073" s="115" customFormat="1" ht="12"/>
    <row r="1074" s="115" customFormat="1" ht="12"/>
    <row r="1075" s="115" customFormat="1" ht="12"/>
    <row r="1076" s="115" customFormat="1" ht="12"/>
    <row r="1077" s="115" customFormat="1" ht="12"/>
    <row r="1078" s="115" customFormat="1" ht="12"/>
    <row r="1079" s="115" customFormat="1" ht="12"/>
    <row r="1080" s="115" customFormat="1" ht="12"/>
    <row r="1081" s="115" customFormat="1" ht="12"/>
    <row r="1082" s="115" customFormat="1" ht="12"/>
    <row r="1083" s="115" customFormat="1" ht="12"/>
    <row r="1084" s="115" customFormat="1" ht="12"/>
    <row r="1085" s="115" customFormat="1" ht="12"/>
    <row r="1086" s="115" customFormat="1" ht="12"/>
    <row r="1087" s="115" customFormat="1" ht="12"/>
    <row r="1088" s="115" customFormat="1" ht="12"/>
    <row r="1089" s="115" customFormat="1" ht="12"/>
    <row r="1090" s="115" customFormat="1" ht="12"/>
    <row r="1091" s="115" customFormat="1" ht="12"/>
    <row r="1092" s="115" customFormat="1" ht="12"/>
    <row r="1093" s="115" customFormat="1" ht="12"/>
    <row r="1094" s="115" customFormat="1" ht="12"/>
    <row r="1095" s="115" customFormat="1" ht="12"/>
    <row r="1096" s="115" customFormat="1" ht="12"/>
    <row r="1097" s="115" customFormat="1" ht="12"/>
    <row r="1098" s="115" customFormat="1" ht="12"/>
    <row r="1099" s="115" customFormat="1" ht="12"/>
    <row r="1100" s="115" customFormat="1" ht="12"/>
    <row r="1101" s="115" customFormat="1" ht="12"/>
    <row r="1102" s="115" customFormat="1" ht="12"/>
    <row r="1103" s="115" customFormat="1" ht="12"/>
    <row r="1104" s="115" customFormat="1" ht="12"/>
    <row r="1105" s="115" customFormat="1" ht="12"/>
    <row r="1106" s="115" customFormat="1" ht="12"/>
    <row r="1107" s="115" customFormat="1" ht="12"/>
    <row r="1108" s="115" customFormat="1" ht="12"/>
    <row r="1109" s="115" customFormat="1" ht="12"/>
    <row r="1110" s="115" customFormat="1" ht="12"/>
    <row r="1111" s="115" customFormat="1" ht="12"/>
    <row r="1112" s="115" customFormat="1" ht="12"/>
    <row r="1113" s="115" customFormat="1" ht="12"/>
    <row r="1114" s="115" customFormat="1" ht="12"/>
    <row r="1115" s="115" customFormat="1" ht="12"/>
    <row r="1116" s="115" customFormat="1" ht="12"/>
    <row r="1117" s="115" customFormat="1" ht="12"/>
    <row r="1118" s="115" customFormat="1" ht="12"/>
    <row r="1119" s="115" customFormat="1" ht="12"/>
    <row r="1120" s="115" customFormat="1" ht="12"/>
    <row r="1121" s="115" customFormat="1" ht="12"/>
    <row r="1122" s="115" customFormat="1" ht="12"/>
    <row r="1123" s="115" customFormat="1" ht="12"/>
    <row r="1124" s="115" customFormat="1" ht="12"/>
    <row r="1125" s="115" customFormat="1" ht="12"/>
    <row r="1126" s="115" customFormat="1" ht="12"/>
    <row r="1127" s="115" customFormat="1" ht="12"/>
    <row r="1128" s="115" customFormat="1" ht="12"/>
    <row r="1129" s="115" customFormat="1" ht="12"/>
    <row r="1130" s="115" customFormat="1" ht="12"/>
    <row r="1131" s="115" customFormat="1" ht="12"/>
    <row r="1132" s="115" customFormat="1" ht="12"/>
    <row r="1133" s="115" customFormat="1" ht="12"/>
    <row r="1134" s="115" customFormat="1" ht="12"/>
    <row r="1135" s="115" customFormat="1" ht="12"/>
    <row r="1136" s="115" customFormat="1" ht="12"/>
    <row r="1137" s="115" customFormat="1" ht="12"/>
    <row r="1138" s="115" customFormat="1" ht="12"/>
    <row r="1139" s="115" customFormat="1" ht="12"/>
    <row r="1140" s="115" customFormat="1" ht="12"/>
    <row r="1141" s="115" customFormat="1" ht="12"/>
    <row r="1142" s="115" customFormat="1" ht="12"/>
    <row r="1143" s="115" customFormat="1" ht="12"/>
    <row r="1144" s="115" customFormat="1" ht="12"/>
    <row r="1145" s="115" customFormat="1" ht="12"/>
    <row r="1146" s="115" customFormat="1" ht="12"/>
    <row r="1147" s="115" customFormat="1" ht="12"/>
    <row r="1148" s="115" customFormat="1" ht="12"/>
    <row r="1149" s="115" customFormat="1" ht="12"/>
    <row r="1150" s="115" customFormat="1" ht="12"/>
    <row r="1151" s="115" customFormat="1" ht="12"/>
    <row r="1152" s="115" customFormat="1" ht="12"/>
    <row r="1153" s="115" customFormat="1" ht="12"/>
    <row r="1154" s="115" customFormat="1" ht="12"/>
    <row r="1155" s="115" customFormat="1" ht="12"/>
    <row r="1156" s="115" customFormat="1" ht="12"/>
    <row r="1157" s="115" customFormat="1" ht="12"/>
    <row r="1158" s="115" customFormat="1" ht="12"/>
    <row r="1159" s="115" customFormat="1" ht="12"/>
    <row r="1160" s="115" customFormat="1" ht="12"/>
    <row r="1161" s="115" customFormat="1" ht="12"/>
    <row r="1162" s="115" customFormat="1" ht="12"/>
    <row r="1163" s="115" customFormat="1" ht="12"/>
    <row r="1164" s="115" customFormat="1" ht="12"/>
    <row r="1165" s="115" customFormat="1" ht="12"/>
    <row r="1166" s="115" customFormat="1" ht="12"/>
    <row r="1167" s="115" customFormat="1" ht="12"/>
    <row r="1168" s="115" customFormat="1" ht="12"/>
    <row r="1169" s="115" customFormat="1" ht="12"/>
    <row r="1170" s="115" customFormat="1" ht="12"/>
    <row r="1171" s="115" customFormat="1" ht="12"/>
    <row r="1172" s="115" customFormat="1" ht="12"/>
    <row r="1173" s="115" customFormat="1" ht="12"/>
    <row r="1174" s="115" customFormat="1" ht="12"/>
    <row r="1175" s="115" customFormat="1" ht="12"/>
    <row r="1176" s="115" customFormat="1" ht="12"/>
    <row r="1177" s="115" customFormat="1" ht="12"/>
    <row r="1178" s="115" customFormat="1" ht="12"/>
    <row r="1179" s="115" customFormat="1" ht="12"/>
    <row r="1180" s="115" customFormat="1" ht="12"/>
    <row r="1181" s="115" customFormat="1" ht="12"/>
    <row r="1182" s="115" customFormat="1" ht="12"/>
    <row r="1183" s="115" customFormat="1" ht="12"/>
    <row r="1184" s="115" customFormat="1" ht="12"/>
    <row r="1185" s="115" customFormat="1" ht="12"/>
    <row r="1186" s="115" customFormat="1" ht="12"/>
    <row r="1187" s="115" customFormat="1" ht="12"/>
    <row r="1188" s="115" customFormat="1" ht="12"/>
    <row r="1189" s="115" customFormat="1" ht="12"/>
    <row r="1190" s="115" customFormat="1" ht="12"/>
    <row r="1191" s="115" customFormat="1" ht="12"/>
    <row r="1192" s="115" customFormat="1" ht="12"/>
    <row r="1193" s="115" customFormat="1" ht="12"/>
    <row r="1194" s="115" customFormat="1" ht="12"/>
    <row r="1195" s="115" customFormat="1" ht="12"/>
    <row r="1196" s="115" customFormat="1" ht="12"/>
    <row r="1197" s="115" customFormat="1" ht="12"/>
    <row r="1198" s="115" customFormat="1" ht="12"/>
    <row r="1199" s="115" customFormat="1" ht="12"/>
    <row r="1200" s="115" customFormat="1" ht="12"/>
    <row r="1201" s="115" customFormat="1" ht="12"/>
    <row r="1202" s="115" customFormat="1" ht="12"/>
    <row r="1203" s="115" customFormat="1" ht="12"/>
    <row r="1204" s="115" customFormat="1" ht="12"/>
    <row r="1205" s="115" customFormat="1" ht="12"/>
    <row r="1206" s="115" customFormat="1" ht="12"/>
    <row r="1207" s="115" customFormat="1" ht="12"/>
    <row r="1208" s="115" customFormat="1" ht="12"/>
    <row r="1209" s="115" customFormat="1" ht="12"/>
    <row r="1210" s="115" customFormat="1" ht="12"/>
    <row r="1211" s="115" customFormat="1" ht="12"/>
    <row r="1212" s="115" customFormat="1" ht="12"/>
    <row r="1213" s="115" customFormat="1" ht="12"/>
    <row r="1214" s="115" customFormat="1" ht="12"/>
    <row r="1215" s="115" customFormat="1" ht="12"/>
    <row r="1216" s="115" customFormat="1" ht="12"/>
    <row r="1217" s="115" customFormat="1" ht="12"/>
    <row r="1218" s="115" customFormat="1" ht="12"/>
    <row r="1219" s="115" customFormat="1" ht="12"/>
    <row r="1220" s="115" customFormat="1" ht="12"/>
    <row r="1221" s="115" customFormat="1" ht="12"/>
    <row r="1222" s="115" customFormat="1" ht="12"/>
    <row r="1223" s="115" customFormat="1" ht="12"/>
    <row r="1224" s="115" customFormat="1" ht="12"/>
    <row r="1225" s="115" customFormat="1" ht="12"/>
    <row r="1226" s="115" customFormat="1" ht="12"/>
    <row r="1227" s="115" customFormat="1" ht="12"/>
    <row r="1228" s="115" customFormat="1" ht="12"/>
    <row r="1229" s="115" customFormat="1" ht="12"/>
    <row r="1230" s="115" customFormat="1" ht="12"/>
    <row r="1231" s="115" customFormat="1" ht="12"/>
    <row r="1232" s="115" customFormat="1" ht="12"/>
    <row r="1233" s="115" customFormat="1" ht="12"/>
    <row r="1234" s="115" customFormat="1" ht="12"/>
    <row r="1235" s="115" customFormat="1" ht="12"/>
    <row r="1236" s="115" customFormat="1" ht="12"/>
    <row r="1237" s="115" customFormat="1" ht="12"/>
    <row r="1238" s="115" customFormat="1" ht="12"/>
    <row r="1239" s="115" customFormat="1" ht="12"/>
    <row r="1240" s="115" customFormat="1" ht="12"/>
    <row r="1241" s="115" customFormat="1" ht="12"/>
    <row r="1242" s="115" customFormat="1" ht="12"/>
    <row r="1243" s="115" customFormat="1" ht="12"/>
    <row r="1244" s="115" customFormat="1" ht="12"/>
    <row r="1245" s="115" customFormat="1" ht="12"/>
    <row r="1246" s="115" customFormat="1" ht="12"/>
    <row r="1247" s="115" customFormat="1" ht="12"/>
    <row r="1248" s="115" customFormat="1" ht="12"/>
    <row r="1249" s="115" customFormat="1" ht="12"/>
    <row r="1250" s="115" customFormat="1" ht="12"/>
    <row r="1251" s="115" customFormat="1" ht="12"/>
    <row r="1252" s="115" customFormat="1" ht="12"/>
    <row r="1253" s="115" customFormat="1" ht="12"/>
    <row r="1254" s="115" customFormat="1" ht="12"/>
    <row r="1255" s="115" customFormat="1" ht="12"/>
    <row r="1256" s="115" customFormat="1" ht="12"/>
    <row r="1257" s="115" customFormat="1" ht="12"/>
    <row r="1258" s="115" customFormat="1" ht="12"/>
    <row r="1259" s="115" customFormat="1" ht="12"/>
    <row r="1260" s="115" customFormat="1" ht="12"/>
    <row r="1261" s="115" customFormat="1" ht="12"/>
    <row r="1262" s="115" customFormat="1" ht="12"/>
    <row r="1263" s="115" customFormat="1" ht="12"/>
    <row r="1264" s="115" customFormat="1" ht="12"/>
    <row r="1265" s="115" customFormat="1" ht="12"/>
    <row r="1266" s="115" customFormat="1" ht="12"/>
    <row r="1267" s="115" customFormat="1" ht="12"/>
    <row r="1268" s="115" customFormat="1" ht="12"/>
    <row r="1269" s="115" customFormat="1" ht="12"/>
    <row r="1270" s="115" customFormat="1" ht="12"/>
    <row r="1271" s="115" customFormat="1" ht="12"/>
    <row r="1272" s="115" customFormat="1" ht="12"/>
    <row r="1273" s="115" customFormat="1" ht="12"/>
    <row r="1274" s="115" customFormat="1" ht="12"/>
    <row r="1275" s="115" customFormat="1" ht="12"/>
    <row r="1276" s="115" customFormat="1" ht="12"/>
    <row r="1277" s="115" customFormat="1" ht="12"/>
    <row r="1278" s="115" customFormat="1" ht="12"/>
    <row r="1279" s="115" customFormat="1" ht="12"/>
    <row r="1280" s="115" customFormat="1" ht="12"/>
    <row r="1281" s="115" customFormat="1" ht="12"/>
    <row r="1282" s="115" customFormat="1" ht="12"/>
    <row r="1283" s="115" customFormat="1" ht="12"/>
    <row r="1284" s="115" customFormat="1" ht="12"/>
    <row r="1285" s="115" customFormat="1" ht="12"/>
    <row r="1286" s="115" customFormat="1" ht="12"/>
    <row r="1287" s="115" customFormat="1" ht="12"/>
    <row r="1288" s="115" customFormat="1" ht="12"/>
    <row r="1289" s="115" customFormat="1" ht="12"/>
    <row r="1290" s="115" customFormat="1" ht="12"/>
    <row r="1291" s="115" customFormat="1" ht="12"/>
    <row r="1292" s="115" customFormat="1" ht="12"/>
    <row r="1293" s="115" customFormat="1" ht="12"/>
    <row r="1294" s="115" customFormat="1" ht="12"/>
    <row r="1295" s="115" customFormat="1" ht="12"/>
    <row r="1296" s="115" customFormat="1" ht="12"/>
    <row r="1297" s="115" customFormat="1" ht="12"/>
    <row r="1298" s="115" customFormat="1" ht="12"/>
    <row r="1299" s="115" customFormat="1" ht="12"/>
    <row r="1300" s="115" customFormat="1" ht="12"/>
    <row r="1301" s="115" customFormat="1" ht="12"/>
    <row r="1302" s="115" customFormat="1" ht="12"/>
    <row r="1303" s="115" customFormat="1" ht="12"/>
    <row r="1304" s="115" customFormat="1" ht="12"/>
    <row r="1305" s="115" customFormat="1" ht="12"/>
    <row r="1306" s="115" customFormat="1" ht="12"/>
    <row r="1307" s="115" customFormat="1" ht="12"/>
    <row r="1308" s="115" customFormat="1" ht="12"/>
    <row r="1309" s="115" customFormat="1" ht="12"/>
    <row r="1310" s="115" customFormat="1" ht="12"/>
    <row r="1311" s="115" customFormat="1" ht="12"/>
    <row r="1312" s="115" customFormat="1" ht="12"/>
    <row r="1313" s="115" customFormat="1" ht="12"/>
    <row r="1314" s="115" customFormat="1" ht="12"/>
    <row r="1315" s="115" customFormat="1" ht="12"/>
    <row r="1316" s="115" customFormat="1" ht="12"/>
    <row r="1317" s="115" customFormat="1" ht="12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T207"/>
  <sheetViews>
    <sheetView zoomScalePageLayoutView="0" workbookViewId="0" topLeftCell="F1">
      <pane ySplit="495" topLeftCell="A1" activePane="topLeft" state="split"/>
      <selection pane="topLeft" activeCell="F1" sqref="F1"/>
      <selection pane="bottomLeft" activeCell="Q2" sqref="Q2:Q191"/>
    </sheetView>
  </sheetViews>
  <sheetFormatPr defaultColWidth="9.140625" defaultRowHeight="12.75"/>
  <cols>
    <col min="1" max="1" width="11.8515625" style="7" bestFit="1" customWidth="1"/>
    <col min="2" max="2" width="9.140625" style="7" customWidth="1"/>
    <col min="3" max="3" width="33.7109375" style="8" customWidth="1"/>
    <col min="4" max="4" width="31.28125" style="8" bestFit="1" customWidth="1"/>
    <col min="5" max="15" width="6.7109375" style="4" customWidth="1"/>
    <col min="16" max="16" width="18.421875" style="5" customWidth="1"/>
    <col min="17" max="17" width="9.140625" style="6" customWidth="1"/>
    <col min="18" max="18" width="9.140625" style="9" customWidth="1"/>
    <col min="19" max="19" width="35.7109375" style="10" customWidth="1"/>
    <col min="20" max="20" width="10.421875" style="4" customWidth="1"/>
    <col min="21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0" s="20" customFormat="1" ht="12">
      <c r="A1" s="13" t="s">
        <v>405</v>
      </c>
      <c r="B1" s="13" t="s">
        <v>406</v>
      </c>
      <c r="C1" s="14" t="s">
        <v>418</v>
      </c>
      <c r="D1" s="14" t="s">
        <v>419</v>
      </c>
      <c r="E1" s="15" t="s">
        <v>407</v>
      </c>
      <c r="F1" s="15" t="s">
        <v>408</v>
      </c>
      <c r="G1" s="15" t="s">
        <v>409</v>
      </c>
      <c r="H1" s="15" t="s">
        <v>410</v>
      </c>
      <c r="I1" s="15" t="s">
        <v>411</v>
      </c>
      <c r="J1" s="15" t="s">
        <v>412</v>
      </c>
      <c r="K1" s="15" t="s">
        <v>413</v>
      </c>
      <c r="L1" s="15" t="s">
        <v>414</v>
      </c>
      <c r="M1" s="15" t="s">
        <v>415</v>
      </c>
      <c r="N1" s="15" t="s">
        <v>416</v>
      </c>
      <c r="O1" s="15" t="s">
        <v>417</v>
      </c>
      <c r="P1" s="16" t="s">
        <v>420</v>
      </c>
      <c r="Q1" s="17" t="s">
        <v>422</v>
      </c>
      <c r="R1" s="18" t="s">
        <v>421</v>
      </c>
      <c r="S1" s="19" t="s">
        <v>403</v>
      </c>
      <c r="T1" s="15" t="s">
        <v>282</v>
      </c>
    </row>
    <row r="2" spans="1:20" ht="12">
      <c r="A2" s="7">
        <f>IF(ISBLANK(Inm_17920),"",$T$2*Inm_17920)</f>
      </c>
      <c r="B2" s="7">
        <v>17920</v>
      </c>
      <c r="C2" s="8" t="s">
        <v>973</v>
      </c>
      <c r="D2" s="90" t="s">
        <v>974</v>
      </c>
      <c r="E2" s="4">
        <v>5</v>
      </c>
      <c r="F2" s="4" t="s">
        <v>319</v>
      </c>
      <c r="G2" s="4" t="s">
        <v>975</v>
      </c>
      <c r="H2" s="4" t="s">
        <v>320</v>
      </c>
      <c r="I2" s="4" t="s">
        <v>320</v>
      </c>
      <c r="J2" s="4" t="s">
        <v>320</v>
      </c>
      <c r="K2" s="4" t="s">
        <v>327</v>
      </c>
      <c r="L2" s="4" t="s">
        <v>322</v>
      </c>
      <c r="M2" s="4" t="s">
        <v>323</v>
      </c>
      <c r="N2" s="4" t="s">
        <v>325</v>
      </c>
      <c r="O2" s="4" t="s">
        <v>319</v>
      </c>
      <c r="P2" s="5" t="e">
        <f>VLOOKUP(B2,Import!A$1:B$20000,2,FALSE)</f>
        <v>#N/A</v>
      </c>
      <c r="Q2" s="6" t="s">
        <v>455</v>
      </c>
      <c r="R2" s="9" t="e">
        <f>VLOOKUP(S2,Import!A$1:B$20000,2,FALSE)</f>
        <v>#N/A</v>
      </c>
      <c r="S2" s="10" t="str">
        <f aca="true" t="shared" si="0" ref="S2:S33">CONCATENATE(E2,"_",F2,"_",G2,"_",H2,"_",I2,"_",J2,"_",K2,"_",L2,"_",M2,"_",N2,"_",O2)</f>
        <v>5_A_P1J1_X_X_X_1E_N_V_M_A</v>
      </c>
      <c r="T2" s="4">
        <v>1000</v>
      </c>
    </row>
    <row r="3" spans="1:20" ht="12">
      <c r="A3" s="7">
        <f>IF(ISBLANK(Inm_17927),"",$T$3*Inm_17927)</f>
      </c>
      <c r="B3" s="7">
        <v>17927</v>
      </c>
      <c r="C3" s="8" t="s">
        <v>976</v>
      </c>
      <c r="D3" s="90" t="s">
        <v>977</v>
      </c>
      <c r="E3" s="4">
        <v>5</v>
      </c>
      <c r="F3" s="4" t="s">
        <v>319</v>
      </c>
      <c r="G3" s="4" t="s">
        <v>978</v>
      </c>
      <c r="H3" s="4" t="s">
        <v>320</v>
      </c>
      <c r="I3" s="4" t="s">
        <v>320</v>
      </c>
      <c r="J3" s="4" t="s">
        <v>320</v>
      </c>
      <c r="K3" s="4" t="s">
        <v>321</v>
      </c>
      <c r="L3" s="4" t="s">
        <v>322</v>
      </c>
      <c r="M3" s="4" t="s">
        <v>323</v>
      </c>
      <c r="N3" s="4" t="s">
        <v>325</v>
      </c>
      <c r="O3" s="4" t="s">
        <v>319</v>
      </c>
      <c r="P3" s="5" t="e">
        <f>VLOOKUP(B3,Import!A$1:B$20000,2,FALSE)</f>
        <v>#N/A</v>
      </c>
      <c r="Q3" s="6" t="s">
        <v>455</v>
      </c>
      <c r="R3" s="9" t="e">
        <f>VLOOKUP(S3,Import!A$1:B$20000,2,FALSE)</f>
        <v>#N/A</v>
      </c>
      <c r="S3" s="10" t="str">
        <f t="shared" si="0"/>
        <v>5_A_P1L2_X_X_X_5J_N_V_M_A</v>
      </c>
      <c r="T3" s="4">
        <v>1000</v>
      </c>
    </row>
    <row r="4" spans="1:20" ht="12">
      <c r="A4" s="7">
        <f>IF(ISBLANK(Inm_17921),"",$T$4*Inm_17921)</f>
      </c>
      <c r="B4" s="7">
        <v>17921</v>
      </c>
      <c r="C4" s="8" t="s">
        <v>979</v>
      </c>
      <c r="D4" s="90" t="s">
        <v>980</v>
      </c>
      <c r="E4" s="4">
        <v>5</v>
      </c>
      <c r="F4" s="4" t="s">
        <v>319</v>
      </c>
      <c r="G4" s="4" t="s">
        <v>981</v>
      </c>
      <c r="H4" s="4" t="s">
        <v>320</v>
      </c>
      <c r="I4" s="4" t="s">
        <v>320</v>
      </c>
      <c r="J4" s="4" t="s">
        <v>320</v>
      </c>
      <c r="K4" s="4" t="s">
        <v>321</v>
      </c>
      <c r="L4" s="4" t="s">
        <v>322</v>
      </c>
      <c r="M4" s="4" t="s">
        <v>323</v>
      </c>
      <c r="N4" s="4" t="s">
        <v>325</v>
      </c>
      <c r="O4" s="4" t="s">
        <v>319</v>
      </c>
      <c r="P4" s="5" t="e">
        <f>VLOOKUP(B4,Import!A$1:B$20000,2,FALSE)</f>
        <v>#N/A</v>
      </c>
      <c r="Q4" s="6" t="s">
        <v>455</v>
      </c>
      <c r="R4" s="9" t="e">
        <f>VLOOKUP(S4,Import!A$1:B$20000,2,FALSE)</f>
        <v>#N/A</v>
      </c>
      <c r="S4" s="10" t="str">
        <f t="shared" si="0"/>
        <v>5_A_P1J2_X_X_X_5J_N_V_M_A</v>
      </c>
      <c r="T4" s="4">
        <v>1000</v>
      </c>
    </row>
    <row r="5" spans="1:20" ht="12">
      <c r="A5" s="7">
        <f>IF(ISBLANK(Inm_17906),"",$T$5*Inm_17906)</f>
      </c>
      <c r="B5" s="7">
        <v>17906</v>
      </c>
      <c r="C5" s="8" t="s">
        <v>982</v>
      </c>
      <c r="D5" s="90" t="s">
        <v>983</v>
      </c>
      <c r="E5" s="4">
        <v>5</v>
      </c>
      <c r="F5" s="4" t="s">
        <v>319</v>
      </c>
      <c r="G5" s="4" t="s">
        <v>326</v>
      </c>
      <c r="H5" s="4" t="s">
        <v>320</v>
      </c>
      <c r="I5" s="4" t="s">
        <v>320</v>
      </c>
      <c r="J5" s="4" t="s">
        <v>320</v>
      </c>
      <c r="K5" s="4" t="s">
        <v>329</v>
      </c>
      <c r="L5" s="4" t="s">
        <v>984</v>
      </c>
      <c r="M5" s="4" t="s">
        <v>323</v>
      </c>
      <c r="N5" s="4" t="s">
        <v>325</v>
      </c>
      <c r="O5" s="4" t="s">
        <v>319</v>
      </c>
      <c r="P5" s="5" t="e">
        <f>VLOOKUP(B5,Import!A$1:B$20000,2,FALSE)</f>
        <v>#N/A</v>
      </c>
      <c r="Q5" s="6" t="s">
        <v>455</v>
      </c>
      <c r="R5" s="9" t="e">
        <f>VLOOKUP(S5,Import!A$1:B$20000,2,FALSE)</f>
        <v>#N/A</v>
      </c>
      <c r="S5" s="10" t="str">
        <f t="shared" si="0"/>
        <v>5_A_P1_X_X_X_3P_EF_V_M_A</v>
      </c>
      <c r="T5" s="4">
        <v>1000</v>
      </c>
    </row>
    <row r="6" spans="1:20" ht="12">
      <c r="A6" s="7">
        <f>IF(ISBLANK(Inm_13449),"",$T$6*Inm_13449)</f>
      </c>
      <c r="B6" s="7">
        <v>13449</v>
      </c>
      <c r="C6" s="8" t="s">
        <v>378</v>
      </c>
      <c r="D6" s="90" t="s">
        <v>985</v>
      </c>
      <c r="E6" s="4">
        <v>3</v>
      </c>
      <c r="F6" s="4" t="s">
        <v>319</v>
      </c>
      <c r="G6" s="4" t="s">
        <v>379</v>
      </c>
      <c r="H6" s="4" t="s">
        <v>320</v>
      </c>
      <c r="I6" s="4" t="s">
        <v>320</v>
      </c>
      <c r="J6" s="4" t="s">
        <v>320</v>
      </c>
      <c r="K6" s="4" t="s">
        <v>327</v>
      </c>
      <c r="L6" s="4" t="s">
        <v>322</v>
      </c>
      <c r="M6" s="4" t="s">
        <v>334</v>
      </c>
      <c r="N6" s="4" t="s">
        <v>324</v>
      </c>
      <c r="O6" s="4" t="s">
        <v>319</v>
      </c>
      <c r="P6" s="5" t="e">
        <f>VLOOKUP(B6,Import!A$1:B$20000,2,FALSE)</f>
        <v>#N/A</v>
      </c>
      <c r="Q6" s="6" t="s">
        <v>455</v>
      </c>
      <c r="R6" s="9" t="e">
        <f>VLOOKUP(S6,Import!A$1:B$20000,2,FALSE)</f>
        <v>#N/A</v>
      </c>
      <c r="S6" s="10" t="str">
        <f t="shared" si="0"/>
        <v>3_A_P1B_X_X_X_1E_N_SEK_B_A</v>
      </c>
      <c r="T6" s="4">
        <v>1000</v>
      </c>
    </row>
    <row r="7" spans="1:20" ht="12">
      <c r="A7" s="7">
        <f>IF(ISBLANK(Inm_13448),"",$T$7*Inm_13448)</f>
      </c>
      <c r="B7" s="7">
        <v>13448</v>
      </c>
      <c r="C7" s="8" t="s">
        <v>378</v>
      </c>
      <c r="D7" s="90" t="s">
        <v>986</v>
      </c>
      <c r="E7" s="4">
        <v>3</v>
      </c>
      <c r="F7" s="4" t="s">
        <v>319</v>
      </c>
      <c r="G7" s="4" t="s">
        <v>379</v>
      </c>
      <c r="H7" s="4" t="s">
        <v>320</v>
      </c>
      <c r="I7" s="4" t="s">
        <v>320</v>
      </c>
      <c r="J7" s="4" t="s">
        <v>320</v>
      </c>
      <c r="K7" s="4" t="s">
        <v>329</v>
      </c>
      <c r="L7" s="4" t="s">
        <v>322</v>
      </c>
      <c r="M7" s="4" t="s">
        <v>334</v>
      </c>
      <c r="N7" s="4" t="s">
        <v>324</v>
      </c>
      <c r="O7" s="4" t="s">
        <v>319</v>
      </c>
      <c r="P7" s="5" t="e">
        <f>VLOOKUP(B7,Import!A$1:B$20000,2,FALSE)</f>
        <v>#N/A</v>
      </c>
      <c r="Q7" s="6" t="s">
        <v>455</v>
      </c>
      <c r="R7" s="9" t="e">
        <f>VLOOKUP(S7,Import!A$1:B$20000,2,FALSE)</f>
        <v>#N/A</v>
      </c>
      <c r="S7" s="10" t="str">
        <f t="shared" si="0"/>
        <v>3_A_P1B_X_X_X_3P_N_SEK_B_A</v>
      </c>
      <c r="T7" s="4">
        <v>1000</v>
      </c>
    </row>
    <row r="8" spans="1:20" ht="12">
      <c r="A8" s="7">
        <f>IF(ISBLANK(Inm_13513),"",$T$8*Inm_13513)</f>
      </c>
      <c r="B8" s="7">
        <v>13513</v>
      </c>
      <c r="C8" s="8" t="s">
        <v>378</v>
      </c>
      <c r="D8" s="90" t="s">
        <v>987</v>
      </c>
      <c r="E8" s="4">
        <v>3</v>
      </c>
      <c r="F8" s="4" t="s">
        <v>319</v>
      </c>
      <c r="G8" s="4" t="s">
        <v>379</v>
      </c>
      <c r="H8" s="4" t="s">
        <v>320</v>
      </c>
      <c r="I8" s="4" t="s">
        <v>320</v>
      </c>
      <c r="J8" s="4" t="s">
        <v>320</v>
      </c>
      <c r="K8" s="4" t="s">
        <v>327</v>
      </c>
      <c r="L8" s="4" t="s">
        <v>322</v>
      </c>
      <c r="M8" s="4" t="s">
        <v>335</v>
      </c>
      <c r="N8" s="4" t="s">
        <v>324</v>
      </c>
      <c r="O8" s="4" t="s">
        <v>319</v>
      </c>
      <c r="P8" s="5" t="e">
        <f>VLOOKUP(B8,Import!A$1:B$20000,2,FALSE)</f>
        <v>#N/A</v>
      </c>
      <c r="Q8" s="6" t="s">
        <v>455</v>
      </c>
      <c r="R8" s="9" t="e">
        <f>VLOOKUP(S8,Import!A$1:B$20000,2,FALSE)</f>
        <v>#N/A</v>
      </c>
      <c r="S8" s="10" t="str">
        <f t="shared" si="0"/>
        <v>3_A_P1B_X_X_X_1E_N_VU_B_A</v>
      </c>
      <c r="T8" s="4">
        <v>1000</v>
      </c>
    </row>
    <row r="9" spans="1:20" ht="12">
      <c r="A9" s="7">
        <f>IF(ISBLANK(Inm_13512),"",$T$9*Inm_13512)</f>
      </c>
      <c r="B9" s="7">
        <v>13512</v>
      </c>
      <c r="C9" s="8" t="s">
        <v>378</v>
      </c>
      <c r="D9" s="90" t="s">
        <v>988</v>
      </c>
      <c r="E9" s="4">
        <v>3</v>
      </c>
      <c r="F9" s="4" t="s">
        <v>319</v>
      </c>
      <c r="G9" s="4" t="s">
        <v>379</v>
      </c>
      <c r="H9" s="4" t="s">
        <v>320</v>
      </c>
      <c r="I9" s="4" t="s">
        <v>320</v>
      </c>
      <c r="J9" s="4" t="s">
        <v>320</v>
      </c>
      <c r="K9" s="4" t="s">
        <v>329</v>
      </c>
      <c r="L9" s="4" t="s">
        <v>322</v>
      </c>
      <c r="M9" s="4" t="s">
        <v>335</v>
      </c>
      <c r="N9" s="4" t="s">
        <v>324</v>
      </c>
      <c r="O9" s="4" t="s">
        <v>319</v>
      </c>
      <c r="P9" s="5" t="e">
        <f>VLOOKUP(B9,Import!A$1:B$20000,2,FALSE)</f>
        <v>#N/A</v>
      </c>
      <c r="Q9" s="6" t="s">
        <v>455</v>
      </c>
      <c r="R9" s="9" t="e">
        <f>VLOOKUP(S9,Import!A$1:B$20000,2,FALSE)</f>
        <v>#N/A</v>
      </c>
      <c r="S9" s="10" t="str">
        <f t="shared" si="0"/>
        <v>3_A_P1B_X_X_X_3P_N_VU_B_A</v>
      </c>
      <c r="T9" s="4">
        <v>1000</v>
      </c>
    </row>
    <row r="10" spans="1:20" ht="12">
      <c r="A10" s="7">
        <f>IF(ISBLANK(Inm_13504),"",$T$10*Inm_13504)</f>
      </c>
      <c r="B10" s="7">
        <v>13504</v>
      </c>
      <c r="C10" s="8" t="s">
        <v>378</v>
      </c>
      <c r="D10" s="90" t="s">
        <v>989</v>
      </c>
      <c r="E10" s="4">
        <v>3</v>
      </c>
      <c r="F10" s="4" t="s">
        <v>319</v>
      </c>
      <c r="G10" s="4" t="s">
        <v>379</v>
      </c>
      <c r="H10" s="4" t="s">
        <v>320</v>
      </c>
      <c r="I10" s="4" t="s">
        <v>320</v>
      </c>
      <c r="J10" s="4" t="s">
        <v>320</v>
      </c>
      <c r="K10" s="4" t="s">
        <v>321</v>
      </c>
      <c r="L10" s="4" t="s">
        <v>322</v>
      </c>
      <c r="M10" s="4" t="s">
        <v>323</v>
      </c>
      <c r="N10" s="4" t="s">
        <v>324</v>
      </c>
      <c r="O10" s="4" t="s">
        <v>319</v>
      </c>
      <c r="P10" s="5" t="e">
        <f>VLOOKUP(B10,Import!A$1:B$20000,2,FALSE)</f>
        <v>#N/A</v>
      </c>
      <c r="Q10" s="6" t="s">
        <v>455</v>
      </c>
      <c r="R10" s="9" t="e">
        <f>VLOOKUP(S10,Import!A$1:B$20000,2,FALSE)</f>
        <v>#N/A</v>
      </c>
      <c r="S10" s="10" t="str">
        <f t="shared" si="0"/>
        <v>3_A_P1B_X_X_X_5J_N_V_B_A</v>
      </c>
      <c r="T10" s="4">
        <v>1000</v>
      </c>
    </row>
    <row r="11" spans="1:20" ht="12">
      <c r="A11" s="7">
        <f>IF(ISBLANK(Inm_13458),"",$T$11*Inm_13458)</f>
      </c>
      <c r="B11" s="7">
        <v>13458</v>
      </c>
      <c r="C11" s="8" t="s">
        <v>380</v>
      </c>
      <c r="D11" s="90" t="s">
        <v>990</v>
      </c>
      <c r="E11" s="4">
        <v>3</v>
      </c>
      <c r="F11" s="4" t="s">
        <v>319</v>
      </c>
      <c r="G11" s="4" t="s">
        <v>379</v>
      </c>
      <c r="H11" s="4" t="s">
        <v>320</v>
      </c>
      <c r="I11" s="4" t="s">
        <v>320</v>
      </c>
      <c r="J11" s="4" t="s">
        <v>320</v>
      </c>
      <c r="K11" s="4" t="s">
        <v>327</v>
      </c>
      <c r="L11" s="4" t="s">
        <v>370</v>
      </c>
      <c r="M11" s="4" t="s">
        <v>323</v>
      </c>
      <c r="N11" s="4" t="s">
        <v>324</v>
      </c>
      <c r="O11" s="4" t="s">
        <v>319</v>
      </c>
      <c r="P11" s="5" t="e">
        <f>VLOOKUP(B11,Import!A$1:B$20000,2,FALSE)</f>
        <v>#N/A</v>
      </c>
      <c r="Q11" s="6" t="s">
        <v>455</v>
      </c>
      <c r="R11" s="9" t="e">
        <f>VLOOKUP(S11,Import!A$1:B$20000,2,FALSE)</f>
        <v>#N/A</v>
      </c>
      <c r="S11" s="10" t="str">
        <f t="shared" si="0"/>
        <v>3_A_P1B_X_X_X_1E_N21_V_B_A</v>
      </c>
      <c r="T11" s="4">
        <v>1000</v>
      </c>
    </row>
    <row r="12" spans="1:20" ht="12">
      <c r="A12" s="7">
        <f>IF(ISBLANK(Inm_13457),"",$T$12*Inm_13457)</f>
      </c>
      <c r="B12" s="7">
        <v>13457</v>
      </c>
      <c r="C12" s="8" t="s">
        <v>381</v>
      </c>
      <c r="D12" s="90" t="s">
        <v>991</v>
      </c>
      <c r="E12" s="4">
        <v>3</v>
      </c>
      <c r="F12" s="4" t="s">
        <v>319</v>
      </c>
      <c r="G12" s="4" t="s">
        <v>379</v>
      </c>
      <c r="H12" s="4" t="s">
        <v>320</v>
      </c>
      <c r="I12" s="4" t="s">
        <v>320</v>
      </c>
      <c r="J12" s="4" t="s">
        <v>320</v>
      </c>
      <c r="K12" s="4" t="s">
        <v>327</v>
      </c>
      <c r="L12" s="4" t="s">
        <v>337</v>
      </c>
      <c r="M12" s="4" t="s">
        <v>323</v>
      </c>
      <c r="N12" s="4" t="s">
        <v>324</v>
      </c>
      <c r="O12" s="4" t="s">
        <v>319</v>
      </c>
      <c r="P12" s="5" t="e">
        <f>VLOOKUP(B12,Import!A$1:B$20000,2,FALSE)</f>
        <v>#N/A</v>
      </c>
      <c r="Q12" s="6" t="s">
        <v>455</v>
      </c>
      <c r="R12" s="9" t="e">
        <f>VLOOKUP(S12,Import!A$1:B$20000,2,FALSE)</f>
        <v>#N/A</v>
      </c>
      <c r="S12" s="10" t="str">
        <f t="shared" si="0"/>
        <v>3_A_P1B_X_X_X_1E_N23_V_B_A</v>
      </c>
      <c r="T12" s="4">
        <v>1000</v>
      </c>
    </row>
    <row r="13" spans="1:20" ht="12">
      <c r="A13" s="7">
        <f>IF(ISBLANK(Inm_13451),"",$T$13*Inm_13451)</f>
      </c>
      <c r="B13" s="7">
        <v>13451</v>
      </c>
      <c r="C13" s="8" t="s">
        <v>385</v>
      </c>
      <c r="D13" s="90" t="s">
        <v>992</v>
      </c>
      <c r="E13" s="4">
        <v>3</v>
      </c>
      <c r="F13" s="4" t="s">
        <v>319</v>
      </c>
      <c r="G13" s="4" t="s">
        <v>379</v>
      </c>
      <c r="H13" s="4" t="s">
        <v>320</v>
      </c>
      <c r="I13" s="4" t="s">
        <v>320</v>
      </c>
      <c r="J13" s="4" t="s">
        <v>320</v>
      </c>
      <c r="K13" s="4" t="s">
        <v>327</v>
      </c>
      <c r="L13" s="4" t="s">
        <v>344</v>
      </c>
      <c r="M13" s="4" t="s">
        <v>323</v>
      </c>
      <c r="N13" s="4" t="s">
        <v>324</v>
      </c>
      <c r="O13" s="4" t="s">
        <v>319</v>
      </c>
      <c r="P13" s="5" t="e">
        <f>VLOOKUP(B13,Import!A$1:B$20000,2,FALSE)</f>
        <v>#N/A</v>
      </c>
      <c r="Q13" s="6" t="s">
        <v>455</v>
      </c>
      <c r="R13" s="9" t="e">
        <f>VLOOKUP(S13,Import!A$1:B$20000,2,FALSE)</f>
        <v>#N/A</v>
      </c>
      <c r="S13" s="10" t="str">
        <f t="shared" si="0"/>
        <v>3_A_P1B_X_X_X_1E_N11_V_B_A</v>
      </c>
      <c r="T13" s="4">
        <v>1000</v>
      </c>
    </row>
    <row r="14" spans="1:20" ht="12">
      <c r="A14" s="7">
        <f>IF(ISBLANK(Inm_13456),"",$T$14*Inm_13456)</f>
      </c>
      <c r="B14" s="7">
        <v>13456</v>
      </c>
      <c r="C14" s="8" t="s">
        <v>382</v>
      </c>
      <c r="D14" s="90" t="s">
        <v>993</v>
      </c>
      <c r="E14" s="4">
        <v>3</v>
      </c>
      <c r="F14" s="4" t="s">
        <v>319</v>
      </c>
      <c r="G14" s="4" t="s">
        <v>379</v>
      </c>
      <c r="H14" s="4" t="s">
        <v>320</v>
      </c>
      <c r="I14" s="4" t="s">
        <v>320</v>
      </c>
      <c r="J14" s="4" t="s">
        <v>320</v>
      </c>
      <c r="K14" s="4" t="s">
        <v>327</v>
      </c>
      <c r="L14" s="4" t="s">
        <v>328</v>
      </c>
      <c r="M14" s="4" t="s">
        <v>323</v>
      </c>
      <c r="N14" s="4" t="s">
        <v>324</v>
      </c>
      <c r="O14" s="4" t="s">
        <v>319</v>
      </c>
      <c r="P14" s="5" t="e">
        <f>VLOOKUP(B14,Import!A$1:B$20000,2,FALSE)</f>
        <v>#N/A</v>
      </c>
      <c r="Q14" s="6" t="s">
        <v>455</v>
      </c>
      <c r="R14" s="9" t="e">
        <f>VLOOKUP(S14,Import!A$1:B$20000,2,FALSE)</f>
        <v>#N/A</v>
      </c>
      <c r="S14" s="10" t="str">
        <f t="shared" si="0"/>
        <v>3_A_P1B_X_X_X_1E_N1211121_V_B_A</v>
      </c>
      <c r="T14" s="4">
        <v>1000</v>
      </c>
    </row>
    <row r="15" spans="1:20" ht="12">
      <c r="A15" s="7">
        <f>IF(ISBLANK(Inm_13455),"",$T$15*Inm_13455)</f>
      </c>
      <c r="B15" s="7">
        <v>13455</v>
      </c>
      <c r="C15" s="8" t="s">
        <v>383</v>
      </c>
      <c r="D15" s="90" t="s">
        <v>994</v>
      </c>
      <c r="E15" s="4">
        <v>3</v>
      </c>
      <c r="F15" s="4" t="s">
        <v>319</v>
      </c>
      <c r="G15" s="4" t="s">
        <v>379</v>
      </c>
      <c r="H15" s="4" t="s">
        <v>320</v>
      </c>
      <c r="I15" s="4" t="s">
        <v>320</v>
      </c>
      <c r="J15" s="4" t="s">
        <v>320</v>
      </c>
      <c r="K15" s="4" t="s">
        <v>327</v>
      </c>
      <c r="L15" s="4" t="s">
        <v>340</v>
      </c>
      <c r="M15" s="4" t="s">
        <v>323</v>
      </c>
      <c r="N15" s="4" t="s">
        <v>324</v>
      </c>
      <c r="O15" s="4" t="s">
        <v>319</v>
      </c>
      <c r="P15" s="5" t="e">
        <f>VLOOKUP(B15,Import!A$1:B$20000,2,FALSE)</f>
        <v>#N/A</v>
      </c>
      <c r="Q15" s="6" t="s">
        <v>455</v>
      </c>
      <c r="R15" s="9" t="e">
        <f>VLOOKUP(S15,Import!A$1:B$20000,2,FALSE)</f>
        <v>#N/A</v>
      </c>
      <c r="S15" s="10" t="str">
        <f t="shared" si="0"/>
        <v>3_A_P1B_X_X_X_1E_N121121_V_B_A</v>
      </c>
      <c r="T15" s="4">
        <v>1000</v>
      </c>
    </row>
    <row r="16" spans="1:20" ht="12">
      <c r="A16" s="7">
        <f>IF(ISBLANK(Inm_13454),"",$T$16*Inm_13454)</f>
      </c>
      <c r="B16" s="7">
        <v>13454</v>
      </c>
      <c r="C16" s="8" t="s">
        <v>384</v>
      </c>
      <c r="D16" s="90" t="s">
        <v>995</v>
      </c>
      <c r="E16" s="4">
        <v>3</v>
      </c>
      <c r="F16" s="4" t="s">
        <v>319</v>
      </c>
      <c r="G16" s="4" t="s">
        <v>379</v>
      </c>
      <c r="H16" s="4" t="s">
        <v>320</v>
      </c>
      <c r="I16" s="4" t="s">
        <v>320</v>
      </c>
      <c r="J16" s="4" t="s">
        <v>320</v>
      </c>
      <c r="K16" s="4" t="s">
        <v>327</v>
      </c>
      <c r="L16" s="4" t="s">
        <v>342</v>
      </c>
      <c r="M16" s="4" t="s">
        <v>323</v>
      </c>
      <c r="N16" s="4" t="s">
        <v>324</v>
      </c>
      <c r="O16" s="4" t="s">
        <v>319</v>
      </c>
      <c r="P16" s="5" t="e">
        <f>VLOOKUP(B16,Import!A$1:B$20000,2,FALSE)</f>
        <v>#N/A</v>
      </c>
      <c r="Q16" s="6" t="s">
        <v>455</v>
      </c>
      <c r="R16" s="9" t="e">
        <f>VLOOKUP(S16,Import!A$1:B$20000,2,FALSE)</f>
        <v>#N/A</v>
      </c>
      <c r="S16" s="10" t="str">
        <f t="shared" si="0"/>
        <v>3_A_P1B_X_X_X_1E_N121122_V_B_A</v>
      </c>
      <c r="T16" s="4">
        <v>1000</v>
      </c>
    </row>
    <row r="17" spans="1:20" ht="12">
      <c r="A17" s="7">
        <f>IF(ISBLANK(Inm_16262),"",$T$17*Inm_16262)</f>
      </c>
      <c r="B17" s="7">
        <v>16262</v>
      </c>
      <c r="C17" s="8" t="s">
        <v>996</v>
      </c>
      <c r="D17" s="90" t="s">
        <v>997</v>
      </c>
      <c r="E17" s="4">
        <v>3</v>
      </c>
      <c r="F17" s="4" t="s">
        <v>319</v>
      </c>
      <c r="G17" s="4" t="s">
        <v>379</v>
      </c>
      <c r="H17" s="4" t="s">
        <v>320</v>
      </c>
      <c r="I17" s="4" t="s">
        <v>320</v>
      </c>
      <c r="J17" s="4" t="s">
        <v>320</v>
      </c>
      <c r="K17" s="4" t="s">
        <v>327</v>
      </c>
      <c r="L17" s="4" t="s">
        <v>998</v>
      </c>
      <c r="M17" s="4" t="s">
        <v>323</v>
      </c>
      <c r="N17" s="4" t="s">
        <v>324</v>
      </c>
      <c r="O17" s="4" t="s">
        <v>319</v>
      </c>
      <c r="P17" s="5" t="e">
        <f>VLOOKUP(B17,Import!A$1:B$20000,2,FALSE)</f>
        <v>#N/A</v>
      </c>
      <c r="Q17" s="6" t="s">
        <v>455</v>
      </c>
      <c r="R17" s="9" t="e">
        <f>VLOOKUP(S17,Import!A$1:B$20000,2,FALSE)</f>
        <v>#N/A</v>
      </c>
      <c r="S17" s="10" t="str">
        <f t="shared" si="0"/>
        <v>3_A_P1B_X_X_X_1E_N122_V_B_A</v>
      </c>
      <c r="T17" s="4">
        <v>1000</v>
      </c>
    </row>
    <row r="18" spans="1:20" ht="12">
      <c r="A18" s="7">
        <f>IF(ISBLANK(Inm_16254),"",$T$18*Inm_16254)</f>
      </c>
      <c r="B18" s="7">
        <v>16254</v>
      </c>
      <c r="C18" s="8" t="s">
        <v>996</v>
      </c>
      <c r="D18" s="90" t="s">
        <v>999</v>
      </c>
      <c r="E18" s="4">
        <v>5</v>
      </c>
      <c r="F18" s="4" t="s">
        <v>319</v>
      </c>
      <c r="G18" s="4" t="s">
        <v>379</v>
      </c>
      <c r="H18" s="4" t="s">
        <v>320</v>
      </c>
      <c r="I18" s="4" t="s">
        <v>320</v>
      </c>
      <c r="J18" s="4" t="s">
        <v>320</v>
      </c>
      <c r="K18" s="4" t="s">
        <v>327</v>
      </c>
      <c r="L18" s="4" t="s">
        <v>998</v>
      </c>
      <c r="M18" s="4" t="s">
        <v>323</v>
      </c>
      <c r="N18" s="4" t="s">
        <v>325</v>
      </c>
      <c r="O18" s="4" t="s">
        <v>319</v>
      </c>
      <c r="P18" s="5" t="e">
        <f>VLOOKUP(B18,Import!A$1:B$20000,2,FALSE)</f>
        <v>#N/A</v>
      </c>
      <c r="Q18" s="6" t="s">
        <v>455</v>
      </c>
      <c r="R18" s="9" t="e">
        <f>VLOOKUP(S18,Import!A$1:B$20000,2,FALSE)</f>
        <v>#N/A</v>
      </c>
      <c r="S18" s="10" t="str">
        <f t="shared" si="0"/>
        <v>5_A_P1B_X_X_X_1E_N122_V_M_A</v>
      </c>
      <c r="T18" s="4">
        <v>1000</v>
      </c>
    </row>
    <row r="19" spans="1:20" ht="12">
      <c r="A19" s="7">
        <f>IF(ISBLANK(Inm_17876),"",$T$19*Inm_17876)</f>
      </c>
      <c r="B19" s="7">
        <v>17876</v>
      </c>
      <c r="C19" s="8" t="s">
        <v>1000</v>
      </c>
      <c r="D19" s="90" t="s">
        <v>1001</v>
      </c>
      <c r="E19" s="4">
        <v>3</v>
      </c>
      <c r="F19" s="4" t="s">
        <v>319</v>
      </c>
      <c r="G19" s="4" t="s">
        <v>379</v>
      </c>
      <c r="H19" s="4" t="s">
        <v>320</v>
      </c>
      <c r="I19" s="4" t="s">
        <v>320</v>
      </c>
      <c r="J19" s="4" t="s">
        <v>320</v>
      </c>
      <c r="K19" s="4" t="s">
        <v>327</v>
      </c>
      <c r="L19" s="4" t="s">
        <v>346</v>
      </c>
      <c r="M19" s="4" t="s">
        <v>323</v>
      </c>
      <c r="N19" s="4" t="s">
        <v>324</v>
      </c>
      <c r="O19" s="4" t="s">
        <v>319</v>
      </c>
      <c r="P19" s="5" t="e">
        <f>VLOOKUP(B19,Import!A$1:B$20000,2,FALSE)</f>
        <v>#N/A</v>
      </c>
      <c r="Q19" s="6" t="s">
        <v>455</v>
      </c>
      <c r="R19" s="9" t="e">
        <f>VLOOKUP(S19,Import!A$1:B$20000,2,FALSE)</f>
        <v>#N/A</v>
      </c>
      <c r="S19" s="10" t="str">
        <f t="shared" si="0"/>
        <v>3_A_P1B_X_X_X_1E_NXX_V_B_A</v>
      </c>
      <c r="T19" s="4">
        <v>1000</v>
      </c>
    </row>
    <row r="20" spans="1:20" ht="12">
      <c r="A20" s="7">
        <f>IF(ISBLANK(Inm_17907),"",$T$20*Inm_17907)</f>
      </c>
      <c r="B20" s="7">
        <v>17907</v>
      </c>
      <c r="C20" s="8" t="s">
        <v>1000</v>
      </c>
      <c r="D20" s="90" t="s">
        <v>1002</v>
      </c>
      <c r="E20" s="4">
        <v>5</v>
      </c>
      <c r="F20" s="4" t="s">
        <v>319</v>
      </c>
      <c r="G20" s="4" t="s">
        <v>379</v>
      </c>
      <c r="H20" s="4" t="s">
        <v>320</v>
      </c>
      <c r="I20" s="4" t="s">
        <v>320</v>
      </c>
      <c r="J20" s="4" t="s">
        <v>320</v>
      </c>
      <c r="K20" s="4" t="s">
        <v>327</v>
      </c>
      <c r="L20" s="4" t="s">
        <v>346</v>
      </c>
      <c r="M20" s="4" t="s">
        <v>323</v>
      </c>
      <c r="N20" s="4" t="s">
        <v>325</v>
      </c>
      <c r="O20" s="4" t="s">
        <v>319</v>
      </c>
      <c r="P20" s="5" t="e">
        <f>VLOOKUP(B20,Import!A$1:B$20000,2,FALSE)</f>
        <v>#N/A</v>
      </c>
      <c r="Q20" s="6" t="s">
        <v>455</v>
      </c>
      <c r="R20" s="9" t="e">
        <f>VLOOKUP(S20,Import!A$1:B$20000,2,FALSE)</f>
        <v>#N/A</v>
      </c>
      <c r="S20" s="10" t="str">
        <f t="shared" si="0"/>
        <v>5_A_P1B_X_X_X_1E_NXX_V_M_A</v>
      </c>
      <c r="T20" s="4">
        <v>1000</v>
      </c>
    </row>
    <row r="21" spans="1:20" ht="12">
      <c r="A21" s="7">
        <f>IF(ISBLANK(Inm_13459),"",$T$21*Inm_13459)</f>
      </c>
      <c r="B21" s="7">
        <v>13459</v>
      </c>
      <c r="C21" s="8" t="s">
        <v>378</v>
      </c>
      <c r="D21" s="90" t="s">
        <v>1003</v>
      </c>
      <c r="E21" s="4">
        <v>3</v>
      </c>
      <c r="F21" s="4" t="s">
        <v>319</v>
      </c>
      <c r="G21" s="4" t="s">
        <v>379</v>
      </c>
      <c r="H21" s="4" t="s">
        <v>320</v>
      </c>
      <c r="I21" s="4" t="s">
        <v>320</v>
      </c>
      <c r="J21" s="4" t="s">
        <v>320</v>
      </c>
      <c r="K21" s="4" t="s">
        <v>327</v>
      </c>
      <c r="L21" s="4" t="s">
        <v>322</v>
      </c>
      <c r="M21" s="4" t="s">
        <v>323</v>
      </c>
      <c r="N21" s="4" t="s">
        <v>324</v>
      </c>
      <c r="O21" s="4" t="s">
        <v>319</v>
      </c>
      <c r="P21" s="5" t="e">
        <f>VLOOKUP(B21,Import!A$1:B$20000,2,FALSE)</f>
        <v>#N/A</v>
      </c>
      <c r="Q21" s="6" t="s">
        <v>455</v>
      </c>
      <c r="R21" s="9" t="e">
        <f>VLOOKUP(S21,Import!A$1:B$20000,2,FALSE)</f>
        <v>#N/A</v>
      </c>
      <c r="S21" s="10" t="str">
        <f t="shared" si="0"/>
        <v>3_A_P1B_X_X_X_1E_N_V_B_A</v>
      </c>
      <c r="T21" s="4">
        <v>1000</v>
      </c>
    </row>
    <row r="22" spans="1:20" ht="12">
      <c r="A22" s="7">
        <f>IF(ISBLANK(Inm_13447),"",$T$22*Inm_13447)</f>
      </c>
      <c r="B22" s="7">
        <v>13447</v>
      </c>
      <c r="C22" s="8" t="s">
        <v>366</v>
      </c>
      <c r="D22" s="90" t="s">
        <v>1004</v>
      </c>
      <c r="E22" s="4">
        <v>3</v>
      </c>
      <c r="F22" s="4" t="s">
        <v>319</v>
      </c>
      <c r="G22" s="4" t="s">
        <v>367</v>
      </c>
      <c r="H22" s="4" t="s">
        <v>320</v>
      </c>
      <c r="I22" s="4" t="s">
        <v>320</v>
      </c>
      <c r="J22" s="4" t="s">
        <v>320</v>
      </c>
      <c r="K22" s="4" t="s">
        <v>327</v>
      </c>
      <c r="L22" s="4" t="s">
        <v>322</v>
      </c>
      <c r="M22" s="4" t="s">
        <v>334</v>
      </c>
      <c r="N22" s="4" t="s">
        <v>324</v>
      </c>
      <c r="O22" s="4" t="s">
        <v>319</v>
      </c>
      <c r="P22" s="5" t="e">
        <f>VLOOKUP(B22,Import!A$1:B$20000,2,FALSE)</f>
        <v>#N/A</v>
      </c>
      <c r="Q22" s="6" t="s">
        <v>455</v>
      </c>
      <c r="R22" s="9" t="e">
        <f>VLOOKUP(S22,Import!A$1:B$20000,2,FALSE)</f>
        <v>#N/A</v>
      </c>
      <c r="S22" s="10" t="str">
        <f t="shared" si="0"/>
        <v>3_A_P1C_X_X_X_1E_N_SEK_B_A</v>
      </c>
      <c r="T22" s="4">
        <v>1000</v>
      </c>
    </row>
    <row r="23" spans="1:20" ht="12">
      <c r="A23" s="7">
        <f>IF(ISBLANK(Inm_13446),"",$T$23*Inm_13446)</f>
      </c>
      <c r="B23" s="7">
        <v>13446</v>
      </c>
      <c r="C23" s="8" t="s">
        <v>366</v>
      </c>
      <c r="D23" s="90" t="s">
        <v>1005</v>
      </c>
      <c r="E23" s="4">
        <v>3</v>
      </c>
      <c r="F23" s="4" t="s">
        <v>319</v>
      </c>
      <c r="G23" s="4" t="s">
        <v>367</v>
      </c>
      <c r="H23" s="4" t="s">
        <v>320</v>
      </c>
      <c r="I23" s="4" t="s">
        <v>320</v>
      </c>
      <c r="J23" s="4" t="s">
        <v>320</v>
      </c>
      <c r="K23" s="4" t="s">
        <v>329</v>
      </c>
      <c r="L23" s="4" t="s">
        <v>322</v>
      </c>
      <c r="M23" s="4" t="s">
        <v>334</v>
      </c>
      <c r="N23" s="4" t="s">
        <v>324</v>
      </c>
      <c r="O23" s="4" t="s">
        <v>319</v>
      </c>
      <c r="P23" s="5" t="e">
        <f>VLOOKUP(B23,Import!A$1:B$20000,2,FALSE)</f>
        <v>#N/A</v>
      </c>
      <c r="Q23" s="6" t="s">
        <v>455</v>
      </c>
      <c r="R23" s="9" t="e">
        <f>VLOOKUP(S23,Import!A$1:B$20000,2,FALSE)</f>
        <v>#N/A</v>
      </c>
      <c r="S23" s="10" t="str">
        <f t="shared" si="0"/>
        <v>3_A_P1C_X_X_X_3P_N_SEK_B_A</v>
      </c>
      <c r="T23" s="4">
        <v>1000</v>
      </c>
    </row>
    <row r="24" spans="1:20" ht="12">
      <c r="A24" s="7">
        <f>IF(ISBLANK(Inm_13511),"",$T$24*Inm_13511)</f>
      </c>
      <c r="B24" s="7">
        <v>13511</v>
      </c>
      <c r="C24" s="8" t="s">
        <v>366</v>
      </c>
      <c r="D24" s="90" t="s">
        <v>1006</v>
      </c>
      <c r="E24" s="4">
        <v>3</v>
      </c>
      <c r="F24" s="4" t="s">
        <v>319</v>
      </c>
      <c r="G24" s="4" t="s">
        <v>367</v>
      </c>
      <c r="H24" s="4" t="s">
        <v>320</v>
      </c>
      <c r="I24" s="4" t="s">
        <v>320</v>
      </c>
      <c r="J24" s="4" t="s">
        <v>320</v>
      </c>
      <c r="K24" s="4" t="s">
        <v>327</v>
      </c>
      <c r="L24" s="4" t="s">
        <v>322</v>
      </c>
      <c r="M24" s="4" t="s">
        <v>335</v>
      </c>
      <c r="N24" s="4" t="s">
        <v>324</v>
      </c>
      <c r="O24" s="4" t="s">
        <v>319</v>
      </c>
      <c r="P24" s="5" t="e">
        <f>VLOOKUP(B24,Import!A$1:B$20000,2,FALSE)</f>
        <v>#N/A</v>
      </c>
      <c r="Q24" s="6" t="s">
        <v>455</v>
      </c>
      <c r="R24" s="9" t="e">
        <f>VLOOKUP(S24,Import!A$1:B$20000,2,FALSE)</f>
        <v>#N/A</v>
      </c>
      <c r="S24" s="10" t="str">
        <f t="shared" si="0"/>
        <v>3_A_P1C_X_X_X_1E_N_VU_B_A</v>
      </c>
      <c r="T24" s="4">
        <v>1000</v>
      </c>
    </row>
    <row r="25" spans="1:20" ht="12">
      <c r="A25" s="7">
        <f>IF(ISBLANK(Inm_13510),"",$T$25*Inm_13510)</f>
      </c>
      <c r="B25" s="7">
        <v>13510</v>
      </c>
      <c r="C25" s="8" t="s">
        <v>366</v>
      </c>
      <c r="D25" s="90" t="s">
        <v>1007</v>
      </c>
      <c r="E25" s="4">
        <v>3</v>
      </c>
      <c r="F25" s="4" t="s">
        <v>319</v>
      </c>
      <c r="G25" s="4" t="s">
        <v>367</v>
      </c>
      <c r="H25" s="4" t="s">
        <v>320</v>
      </c>
      <c r="I25" s="4" t="s">
        <v>320</v>
      </c>
      <c r="J25" s="4" t="s">
        <v>320</v>
      </c>
      <c r="K25" s="4" t="s">
        <v>329</v>
      </c>
      <c r="L25" s="4" t="s">
        <v>322</v>
      </c>
      <c r="M25" s="4" t="s">
        <v>335</v>
      </c>
      <c r="N25" s="4" t="s">
        <v>324</v>
      </c>
      <c r="O25" s="4" t="s">
        <v>319</v>
      </c>
      <c r="P25" s="5" t="e">
        <f>VLOOKUP(B25,Import!A$1:B$20000,2,FALSE)</f>
        <v>#N/A</v>
      </c>
      <c r="Q25" s="6" t="s">
        <v>455</v>
      </c>
      <c r="R25" s="9" t="e">
        <f>VLOOKUP(S25,Import!A$1:B$20000,2,FALSE)</f>
        <v>#N/A</v>
      </c>
      <c r="S25" s="10" t="str">
        <f t="shared" si="0"/>
        <v>3_A_P1C_X_X_X_3P_N_VU_B_A</v>
      </c>
      <c r="T25" s="4">
        <v>1000</v>
      </c>
    </row>
    <row r="26" spans="1:20" ht="12">
      <c r="A26" s="7">
        <f>IF(ISBLANK(Inm_13503),"",$T$26*Inm_13503)</f>
      </c>
      <c r="B26" s="7">
        <v>13503</v>
      </c>
      <c r="C26" s="8" t="s">
        <v>366</v>
      </c>
      <c r="D26" s="90" t="s">
        <v>1010</v>
      </c>
      <c r="E26" s="4">
        <v>3</v>
      </c>
      <c r="F26" s="4" t="s">
        <v>319</v>
      </c>
      <c r="G26" s="4" t="s">
        <v>367</v>
      </c>
      <c r="H26" s="4" t="s">
        <v>320</v>
      </c>
      <c r="I26" s="4" t="s">
        <v>320</v>
      </c>
      <c r="J26" s="4" t="s">
        <v>320</v>
      </c>
      <c r="K26" s="4" t="s">
        <v>321</v>
      </c>
      <c r="L26" s="4" t="s">
        <v>322</v>
      </c>
      <c r="M26" s="4" t="s">
        <v>323</v>
      </c>
      <c r="N26" s="4" t="s">
        <v>324</v>
      </c>
      <c r="O26" s="4" t="s">
        <v>319</v>
      </c>
      <c r="P26" s="5" t="e">
        <f>VLOOKUP(B26,Import!A$1:B$20000,2,FALSE)</f>
        <v>#N/A</v>
      </c>
      <c r="Q26" s="6" t="s">
        <v>455</v>
      </c>
      <c r="R26" s="9" t="e">
        <f>VLOOKUP(S26,Import!A$1:B$20000,2,FALSE)</f>
        <v>#N/A</v>
      </c>
      <c r="S26" s="10" t="str">
        <f t="shared" si="0"/>
        <v>3_A_P1C_X_X_X_5J_N_V_B_A</v>
      </c>
      <c r="T26" s="4">
        <v>1000</v>
      </c>
    </row>
    <row r="27" spans="1:20" ht="12">
      <c r="A27" s="7">
        <f>IF(ISBLANK(Inm_17878),"",$T$27*Inm_17878)</f>
      </c>
      <c r="B27" s="7">
        <v>17878</v>
      </c>
      <c r="C27" s="8" t="s">
        <v>1011</v>
      </c>
      <c r="D27" s="90" t="s">
        <v>1012</v>
      </c>
      <c r="E27" s="4">
        <v>3</v>
      </c>
      <c r="F27" s="4" t="s">
        <v>319</v>
      </c>
      <c r="G27" s="4" t="s">
        <v>1013</v>
      </c>
      <c r="H27" s="4" t="s">
        <v>320</v>
      </c>
      <c r="I27" s="4" t="s">
        <v>320</v>
      </c>
      <c r="J27" s="4" t="s">
        <v>320</v>
      </c>
      <c r="K27" s="4" t="s">
        <v>321</v>
      </c>
      <c r="L27" s="4" t="s">
        <v>322</v>
      </c>
      <c r="M27" s="4" t="s">
        <v>323</v>
      </c>
      <c r="N27" s="4" t="s">
        <v>324</v>
      </c>
      <c r="O27" s="4" t="s">
        <v>319</v>
      </c>
      <c r="P27" s="5" t="e">
        <f>VLOOKUP(B27,Import!A$1:B$20000,2,FALSE)</f>
        <v>#N/A</v>
      </c>
      <c r="Q27" s="6" t="s">
        <v>455</v>
      </c>
      <c r="R27" s="9" t="e">
        <f>VLOOKUP(S27,Import!A$1:B$20000,2,FALSE)</f>
        <v>#N/A</v>
      </c>
      <c r="S27" s="10" t="str">
        <f t="shared" si="0"/>
        <v>3_A_P1C3_X_X_X_5J_N_V_B_A</v>
      </c>
      <c r="T27" s="4">
        <v>1000</v>
      </c>
    </row>
    <row r="28" spans="1:20" ht="12">
      <c r="A28" s="7">
        <f>IF(ISBLANK(Inm_17909),"",$T$28*Inm_17909)</f>
      </c>
      <c r="B28" s="7">
        <v>17909</v>
      </c>
      <c r="C28" s="8" t="s">
        <v>1011</v>
      </c>
      <c r="D28" s="90" t="s">
        <v>1014</v>
      </c>
      <c r="E28" s="4">
        <v>5</v>
      </c>
      <c r="F28" s="4" t="s">
        <v>319</v>
      </c>
      <c r="G28" s="4" t="s">
        <v>1013</v>
      </c>
      <c r="H28" s="4" t="s">
        <v>320</v>
      </c>
      <c r="I28" s="4" t="s">
        <v>320</v>
      </c>
      <c r="J28" s="4" t="s">
        <v>320</v>
      </c>
      <c r="K28" s="4" t="s">
        <v>321</v>
      </c>
      <c r="L28" s="4" t="s">
        <v>322</v>
      </c>
      <c r="M28" s="4" t="s">
        <v>323</v>
      </c>
      <c r="N28" s="4" t="s">
        <v>325</v>
      </c>
      <c r="O28" s="4" t="s">
        <v>319</v>
      </c>
      <c r="P28" s="5" t="e">
        <f>VLOOKUP(B28,Import!A$1:B$20000,2,FALSE)</f>
        <v>#N/A</v>
      </c>
      <c r="Q28" s="6" t="s">
        <v>455</v>
      </c>
      <c r="R28" s="9" t="e">
        <f>VLOOKUP(S28,Import!A$1:B$20000,2,FALSE)</f>
        <v>#N/A</v>
      </c>
      <c r="S28" s="10" t="str">
        <f t="shared" si="0"/>
        <v>5_A_P1C3_X_X_X_5J_N_V_M_A</v>
      </c>
      <c r="T28" s="4">
        <v>1000</v>
      </c>
    </row>
    <row r="29" spans="1:20" ht="12">
      <c r="A29" s="7">
        <f>IF(ISBLANK(Inm_13470),"",$T$29*Inm_13470)</f>
      </c>
      <c r="B29" s="7">
        <v>13470</v>
      </c>
      <c r="C29" s="8" t="s">
        <v>368</v>
      </c>
      <c r="D29" s="90" t="s">
        <v>1015</v>
      </c>
      <c r="E29" s="4">
        <v>3</v>
      </c>
      <c r="F29" s="4" t="s">
        <v>319</v>
      </c>
      <c r="G29" s="4" t="s">
        <v>369</v>
      </c>
      <c r="H29" s="4" t="s">
        <v>320</v>
      </c>
      <c r="I29" s="4" t="s">
        <v>320</v>
      </c>
      <c r="J29" s="4" t="s">
        <v>320</v>
      </c>
      <c r="K29" s="4" t="s">
        <v>327</v>
      </c>
      <c r="L29" s="4" t="s">
        <v>370</v>
      </c>
      <c r="M29" s="4" t="s">
        <v>323</v>
      </c>
      <c r="N29" s="4" t="s">
        <v>324</v>
      </c>
      <c r="O29" s="4" t="s">
        <v>319</v>
      </c>
      <c r="P29" s="5" t="e">
        <f>VLOOKUP(B29,Import!A$1:B$20000,2,FALSE)</f>
        <v>#N/A</v>
      </c>
      <c r="Q29" s="6" t="s">
        <v>455</v>
      </c>
      <c r="R29" s="9" t="e">
        <f>VLOOKUP(S29,Import!A$1:B$20000,2,FALSE)</f>
        <v>#N/A</v>
      </c>
      <c r="S29" s="10" t="str">
        <f t="shared" si="0"/>
        <v>3_A_P1C1_X_X_X_1E_N21_V_B_A</v>
      </c>
      <c r="T29" s="4">
        <v>1000</v>
      </c>
    </row>
    <row r="30" spans="1:20" ht="12">
      <c r="A30" s="7">
        <f>IF(ISBLANK(Inm_13469),"",$T$30*Inm_13469)</f>
      </c>
      <c r="B30" s="7">
        <v>13469</v>
      </c>
      <c r="C30" s="8" t="s">
        <v>368</v>
      </c>
      <c r="D30" s="90" t="s">
        <v>1016</v>
      </c>
      <c r="E30" s="4">
        <v>3</v>
      </c>
      <c r="F30" s="4" t="s">
        <v>319</v>
      </c>
      <c r="G30" s="4" t="s">
        <v>371</v>
      </c>
      <c r="H30" s="4" t="s">
        <v>320</v>
      </c>
      <c r="I30" s="4" t="s">
        <v>320</v>
      </c>
      <c r="J30" s="4" t="s">
        <v>320</v>
      </c>
      <c r="K30" s="4" t="s">
        <v>327</v>
      </c>
      <c r="L30" s="4" t="s">
        <v>370</v>
      </c>
      <c r="M30" s="4" t="s">
        <v>323</v>
      </c>
      <c r="N30" s="4" t="s">
        <v>324</v>
      </c>
      <c r="O30" s="4" t="s">
        <v>319</v>
      </c>
      <c r="P30" s="5" t="e">
        <f>VLOOKUP(B30,Import!A$1:B$20000,2,FALSE)</f>
        <v>#N/A</v>
      </c>
      <c r="Q30" s="6" t="s">
        <v>455</v>
      </c>
      <c r="R30" s="9" t="e">
        <f>VLOOKUP(S30,Import!A$1:B$20000,2,FALSE)</f>
        <v>#N/A</v>
      </c>
      <c r="S30" s="10" t="str">
        <f t="shared" si="0"/>
        <v>3_A_P1C2_X_X_X_1E_N21_V_B_A</v>
      </c>
      <c r="T30" s="4">
        <v>1000</v>
      </c>
    </row>
    <row r="31" spans="1:20" ht="12">
      <c r="A31" s="7">
        <f>IF(ISBLANK(Inm_13467),"",$T$31*Inm_13467)</f>
      </c>
      <c r="B31" s="7">
        <v>13467</v>
      </c>
      <c r="C31" s="8" t="s">
        <v>372</v>
      </c>
      <c r="D31" s="90" t="s">
        <v>1017</v>
      </c>
      <c r="E31" s="4">
        <v>3</v>
      </c>
      <c r="F31" s="4" t="s">
        <v>319</v>
      </c>
      <c r="G31" s="4" t="s">
        <v>367</v>
      </c>
      <c r="H31" s="4" t="s">
        <v>320</v>
      </c>
      <c r="I31" s="4" t="s">
        <v>320</v>
      </c>
      <c r="J31" s="4" t="s">
        <v>320</v>
      </c>
      <c r="K31" s="4" t="s">
        <v>327</v>
      </c>
      <c r="L31" s="4" t="s">
        <v>337</v>
      </c>
      <c r="M31" s="4" t="s">
        <v>323</v>
      </c>
      <c r="N31" s="4" t="s">
        <v>324</v>
      </c>
      <c r="O31" s="4" t="s">
        <v>319</v>
      </c>
      <c r="P31" s="5" t="e">
        <f>VLOOKUP(B31,Import!A$1:B$20000,2,FALSE)</f>
        <v>#N/A</v>
      </c>
      <c r="Q31" s="6" t="s">
        <v>455</v>
      </c>
      <c r="R31" s="9" t="e">
        <f>VLOOKUP(S31,Import!A$1:B$20000,2,FALSE)</f>
        <v>#N/A</v>
      </c>
      <c r="S31" s="10" t="str">
        <f t="shared" si="0"/>
        <v>3_A_P1C_X_X_X_1E_N23_V_B_A</v>
      </c>
      <c r="T31" s="4">
        <v>1000</v>
      </c>
    </row>
    <row r="32" spans="1:20" ht="12">
      <c r="A32" s="7">
        <f>IF(ISBLANK(Inm_13461),"",$T$32*Inm_13461)</f>
      </c>
      <c r="B32" s="7">
        <v>13461</v>
      </c>
      <c r="C32" s="8" t="s">
        <v>376</v>
      </c>
      <c r="D32" s="90" t="s">
        <v>1018</v>
      </c>
      <c r="E32" s="4">
        <v>3</v>
      </c>
      <c r="F32" s="4" t="s">
        <v>319</v>
      </c>
      <c r="G32" s="4" t="s">
        <v>367</v>
      </c>
      <c r="H32" s="4" t="s">
        <v>320</v>
      </c>
      <c r="I32" s="4" t="s">
        <v>320</v>
      </c>
      <c r="J32" s="4" t="s">
        <v>320</v>
      </c>
      <c r="K32" s="4" t="s">
        <v>327</v>
      </c>
      <c r="L32" s="4" t="s">
        <v>344</v>
      </c>
      <c r="M32" s="4" t="s">
        <v>323</v>
      </c>
      <c r="N32" s="4" t="s">
        <v>324</v>
      </c>
      <c r="O32" s="4" t="s">
        <v>319</v>
      </c>
      <c r="P32" s="5" t="e">
        <f>VLOOKUP(B32,Import!A$1:B$20000,2,FALSE)</f>
        <v>#N/A</v>
      </c>
      <c r="Q32" s="6" t="s">
        <v>455</v>
      </c>
      <c r="R32" s="9" t="e">
        <f>VLOOKUP(S32,Import!A$1:B$20000,2,FALSE)</f>
        <v>#N/A</v>
      </c>
      <c r="S32" s="10" t="str">
        <f t="shared" si="0"/>
        <v>3_A_P1C_X_X_X_1E_N11_V_B_A</v>
      </c>
      <c r="T32" s="4">
        <v>1000</v>
      </c>
    </row>
    <row r="33" spans="1:20" ht="12">
      <c r="A33" s="7">
        <f>IF(ISBLANK(Inm_13466),"",$T$33*Inm_13466)</f>
      </c>
      <c r="B33" s="7">
        <v>13466</v>
      </c>
      <c r="C33" s="8" t="s">
        <v>373</v>
      </c>
      <c r="D33" s="90" t="s">
        <v>1019</v>
      </c>
      <c r="E33" s="4">
        <v>3</v>
      </c>
      <c r="F33" s="4" t="s">
        <v>319</v>
      </c>
      <c r="G33" s="4" t="s">
        <v>367</v>
      </c>
      <c r="H33" s="4" t="s">
        <v>320</v>
      </c>
      <c r="I33" s="4" t="s">
        <v>320</v>
      </c>
      <c r="J33" s="4" t="s">
        <v>320</v>
      </c>
      <c r="K33" s="4" t="s">
        <v>327</v>
      </c>
      <c r="L33" s="4" t="s">
        <v>328</v>
      </c>
      <c r="M33" s="4" t="s">
        <v>323</v>
      </c>
      <c r="N33" s="4" t="s">
        <v>324</v>
      </c>
      <c r="O33" s="4" t="s">
        <v>319</v>
      </c>
      <c r="P33" s="5" t="e">
        <f>VLOOKUP(B33,Import!A$1:B$20000,2,FALSE)</f>
        <v>#N/A</v>
      </c>
      <c r="Q33" s="6" t="s">
        <v>455</v>
      </c>
      <c r="R33" s="9" t="e">
        <f>VLOOKUP(S33,Import!A$1:B$20000,2,FALSE)</f>
        <v>#N/A</v>
      </c>
      <c r="S33" s="10" t="str">
        <f t="shared" si="0"/>
        <v>3_A_P1C_X_X_X_1E_N1211121_V_B_A</v>
      </c>
      <c r="T33" s="4">
        <v>1000</v>
      </c>
    </row>
    <row r="34" spans="1:20" ht="12">
      <c r="A34" s="7">
        <f>IF(ISBLANK(Inm_13465),"",$T$34*Inm_13465)</f>
      </c>
      <c r="B34" s="7">
        <v>13465</v>
      </c>
      <c r="C34" s="8" t="s">
        <v>374</v>
      </c>
      <c r="D34" s="90" t="s">
        <v>1020</v>
      </c>
      <c r="E34" s="4">
        <v>3</v>
      </c>
      <c r="F34" s="4" t="s">
        <v>319</v>
      </c>
      <c r="G34" s="4" t="s">
        <v>367</v>
      </c>
      <c r="H34" s="4" t="s">
        <v>320</v>
      </c>
      <c r="I34" s="4" t="s">
        <v>320</v>
      </c>
      <c r="J34" s="4" t="s">
        <v>320</v>
      </c>
      <c r="K34" s="4" t="s">
        <v>327</v>
      </c>
      <c r="L34" s="4" t="s">
        <v>340</v>
      </c>
      <c r="M34" s="4" t="s">
        <v>323</v>
      </c>
      <c r="N34" s="4" t="s">
        <v>324</v>
      </c>
      <c r="O34" s="4" t="s">
        <v>319</v>
      </c>
      <c r="P34" s="5" t="e">
        <f>VLOOKUP(B34,Import!A$1:B$20000,2,FALSE)</f>
        <v>#N/A</v>
      </c>
      <c r="Q34" s="6" t="s">
        <v>455</v>
      </c>
      <c r="R34" s="9" t="e">
        <f>VLOOKUP(S34,Import!A$1:B$20000,2,FALSE)</f>
        <v>#N/A</v>
      </c>
      <c r="S34" s="10" t="str">
        <f aca="true" t="shared" si="1" ref="S34:S59">CONCATENATE(E34,"_",F34,"_",G34,"_",H34,"_",I34,"_",J34,"_",K34,"_",L34,"_",M34,"_",N34,"_",O34)</f>
        <v>3_A_P1C_X_X_X_1E_N121121_V_B_A</v>
      </c>
      <c r="T34" s="4">
        <v>1000</v>
      </c>
    </row>
    <row r="35" spans="1:20" ht="12">
      <c r="A35" s="7">
        <f>IF(ISBLANK(Inm_13464),"",$T$35*Inm_13464)</f>
      </c>
      <c r="B35" s="7">
        <v>13464</v>
      </c>
      <c r="C35" s="8" t="s">
        <v>375</v>
      </c>
      <c r="D35" s="90" t="s">
        <v>1021</v>
      </c>
      <c r="E35" s="4">
        <v>3</v>
      </c>
      <c r="F35" s="4" t="s">
        <v>319</v>
      </c>
      <c r="G35" s="4" t="s">
        <v>367</v>
      </c>
      <c r="H35" s="4" t="s">
        <v>320</v>
      </c>
      <c r="I35" s="4" t="s">
        <v>320</v>
      </c>
      <c r="J35" s="4" t="s">
        <v>320</v>
      </c>
      <c r="K35" s="4" t="s">
        <v>327</v>
      </c>
      <c r="L35" s="4" t="s">
        <v>342</v>
      </c>
      <c r="M35" s="4" t="s">
        <v>323</v>
      </c>
      <c r="N35" s="4" t="s">
        <v>324</v>
      </c>
      <c r="O35" s="4" t="s">
        <v>319</v>
      </c>
      <c r="P35" s="5" t="e">
        <f>VLOOKUP(B35,Import!A$1:B$20000,2,FALSE)</f>
        <v>#N/A</v>
      </c>
      <c r="Q35" s="6" t="s">
        <v>455</v>
      </c>
      <c r="R35" s="9" t="e">
        <f>VLOOKUP(S35,Import!A$1:B$20000,2,FALSE)</f>
        <v>#N/A</v>
      </c>
      <c r="S35" s="10" t="str">
        <f t="shared" si="1"/>
        <v>3_A_P1C_X_X_X_1E_N121122_V_B_A</v>
      </c>
      <c r="T35" s="4">
        <v>1000</v>
      </c>
    </row>
    <row r="36" spans="1:20" ht="12">
      <c r="A36" s="7">
        <f>IF(ISBLANK(Inm_16260),"",$T$36*Inm_16260)</f>
      </c>
      <c r="B36" s="7">
        <v>16260</v>
      </c>
      <c r="C36" s="8" t="s">
        <v>1022</v>
      </c>
      <c r="D36" s="90" t="s">
        <v>1023</v>
      </c>
      <c r="E36" s="4">
        <v>3</v>
      </c>
      <c r="F36" s="4" t="s">
        <v>319</v>
      </c>
      <c r="G36" s="4" t="s">
        <v>367</v>
      </c>
      <c r="H36" s="4" t="s">
        <v>320</v>
      </c>
      <c r="I36" s="4" t="s">
        <v>320</v>
      </c>
      <c r="J36" s="4" t="s">
        <v>320</v>
      </c>
      <c r="K36" s="4" t="s">
        <v>327</v>
      </c>
      <c r="L36" s="4" t="s">
        <v>998</v>
      </c>
      <c r="M36" s="4" t="s">
        <v>323</v>
      </c>
      <c r="N36" s="4" t="s">
        <v>324</v>
      </c>
      <c r="O36" s="4" t="s">
        <v>319</v>
      </c>
      <c r="P36" s="5" t="e">
        <f>VLOOKUP(B36,Import!A$1:B$20000,2,FALSE)</f>
        <v>#N/A</v>
      </c>
      <c r="Q36" s="6" t="s">
        <v>455</v>
      </c>
      <c r="R36" s="9" t="e">
        <f>VLOOKUP(S36,Import!A$1:B$20000,2,FALSE)</f>
        <v>#N/A</v>
      </c>
      <c r="S36" s="10" t="str">
        <f t="shared" si="1"/>
        <v>3_A_P1C_X_X_X_1E_N122_V_B_A</v>
      </c>
      <c r="T36" s="4">
        <v>1000</v>
      </c>
    </row>
    <row r="37" spans="1:20" ht="12">
      <c r="A37" s="7">
        <f>IF(ISBLANK(Inm_16257),"",$T$37*Inm_16257)</f>
      </c>
      <c r="B37" s="7">
        <v>16257</v>
      </c>
      <c r="C37" s="8" t="s">
        <v>1022</v>
      </c>
      <c r="D37" s="90" t="s">
        <v>1024</v>
      </c>
      <c r="E37" s="4">
        <v>5</v>
      </c>
      <c r="F37" s="4" t="s">
        <v>319</v>
      </c>
      <c r="G37" s="4" t="s">
        <v>367</v>
      </c>
      <c r="H37" s="4" t="s">
        <v>320</v>
      </c>
      <c r="I37" s="4" t="s">
        <v>320</v>
      </c>
      <c r="J37" s="4" t="s">
        <v>320</v>
      </c>
      <c r="K37" s="4" t="s">
        <v>327</v>
      </c>
      <c r="L37" s="4" t="s">
        <v>998</v>
      </c>
      <c r="M37" s="4" t="s">
        <v>323</v>
      </c>
      <c r="N37" s="4" t="s">
        <v>325</v>
      </c>
      <c r="O37" s="4" t="s">
        <v>319</v>
      </c>
      <c r="P37" s="5" t="e">
        <f>VLOOKUP(B37,Import!A$1:B$20000,2,FALSE)</f>
        <v>#N/A</v>
      </c>
      <c r="Q37" s="6" t="s">
        <v>455</v>
      </c>
      <c r="R37" s="9" t="e">
        <f>VLOOKUP(S37,Import!A$1:B$20000,2,FALSE)</f>
        <v>#N/A</v>
      </c>
      <c r="S37" s="10" t="str">
        <f t="shared" si="1"/>
        <v>5_A_P1C_X_X_X_1E_N122_V_M_A</v>
      </c>
      <c r="T37" s="4">
        <v>1000</v>
      </c>
    </row>
    <row r="38" spans="1:20" ht="12">
      <c r="A38" s="7">
        <f>IF(ISBLANK(Inm_13460),"",$T$38*Inm_13460)</f>
      </c>
      <c r="B38" s="7">
        <v>13460</v>
      </c>
      <c r="C38" s="8" t="s">
        <v>377</v>
      </c>
      <c r="D38" s="90" t="s">
        <v>1025</v>
      </c>
      <c r="E38" s="4">
        <v>3</v>
      </c>
      <c r="F38" s="4" t="s">
        <v>319</v>
      </c>
      <c r="G38" s="4" t="s">
        <v>367</v>
      </c>
      <c r="H38" s="4" t="s">
        <v>320</v>
      </c>
      <c r="I38" s="4" t="s">
        <v>320</v>
      </c>
      <c r="J38" s="4" t="s">
        <v>320</v>
      </c>
      <c r="K38" s="4" t="s">
        <v>327</v>
      </c>
      <c r="L38" s="4" t="s">
        <v>346</v>
      </c>
      <c r="M38" s="4" t="s">
        <v>323</v>
      </c>
      <c r="N38" s="4" t="s">
        <v>324</v>
      </c>
      <c r="O38" s="4" t="s">
        <v>319</v>
      </c>
      <c r="P38" s="5" t="e">
        <f>VLOOKUP(B38,Import!A$1:B$20000,2,FALSE)</f>
        <v>#N/A</v>
      </c>
      <c r="Q38" s="6" t="s">
        <v>455</v>
      </c>
      <c r="R38" s="9" t="e">
        <f>VLOOKUP(S38,Import!A$1:B$20000,2,FALSE)</f>
        <v>#N/A</v>
      </c>
      <c r="S38" s="10" t="str">
        <f t="shared" si="1"/>
        <v>3_A_P1C_X_X_X_1E_NXX_V_B_A</v>
      </c>
      <c r="T38" s="4">
        <v>1000</v>
      </c>
    </row>
    <row r="39" spans="1:20" ht="12">
      <c r="A39" s="7">
        <f>IF(ISBLANK(Inm_13468),"",$T$39*Inm_13468)</f>
      </c>
      <c r="B39" s="7">
        <v>13468</v>
      </c>
      <c r="C39" s="8" t="s">
        <v>366</v>
      </c>
      <c r="D39" s="90" t="s">
        <v>1026</v>
      </c>
      <c r="E39" s="4">
        <v>3</v>
      </c>
      <c r="F39" s="4" t="s">
        <v>319</v>
      </c>
      <c r="G39" s="4" t="s">
        <v>367</v>
      </c>
      <c r="H39" s="4" t="s">
        <v>320</v>
      </c>
      <c r="I39" s="4" t="s">
        <v>320</v>
      </c>
      <c r="J39" s="4" t="s">
        <v>320</v>
      </c>
      <c r="K39" s="4" t="s">
        <v>327</v>
      </c>
      <c r="L39" s="4" t="s">
        <v>322</v>
      </c>
      <c r="M39" s="4" t="s">
        <v>323</v>
      </c>
      <c r="N39" s="4" t="s">
        <v>324</v>
      </c>
      <c r="O39" s="4" t="s">
        <v>319</v>
      </c>
      <c r="P39" s="5" t="e">
        <f>VLOOKUP(B39,Import!A$1:B$20000,2,FALSE)</f>
        <v>#N/A</v>
      </c>
      <c r="Q39" s="6" t="s">
        <v>455</v>
      </c>
      <c r="R39" s="9" t="e">
        <f>VLOOKUP(S39,Import!A$1:B$20000,2,FALSE)</f>
        <v>#N/A</v>
      </c>
      <c r="S39" s="10" t="str">
        <f t="shared" si="1"/>
        <v>3_A_P1C_X_X_X_1E_N_V_B_A</v>
      </c>
      <c r="T39" s="4">
        <v>1000</v>
      </c>
    </row>
    <row r="40" spans="1:20" ht="12">
      <c r="A40" s="7">
        <f>IF(ISBLANK(Inm_17877),"",$T$40*Inm_17877)</f>
      </c>
      <c r="B40" s="7">
        <v>17877</v>
      </c>
      <c r="C40" s="8" t="s">
        <v>1011</v>
      </c>
      <c r="D40" s="90" t="s">
        <v>1027</v>
      </c>
      <c r="E40" s="4">
        <v>3</v>
      </c>
      <c r="F40" s="4" t="s">
        <v>319</v>
      </c>
      <c r="G40" s="4" t="s">
        <v>1013</v>
      </c>
      <c r="H40" s="4" t="s">
        <v>320</v>
      </c>
      <c r="I40" s="4" t="s">
        <v>320</v>
      </c>
      <c r="J40" s="4" t="s">
        <v>320</v>
      </c>
      <c r="K40" s="4" t="s">
        <v>327</v>
      </c>
      <c r="L40" s="4" t="s">
        <v>322</v>
      </c>
      <c r="M40" s="4" t="s">
        <v>323</v>
      </c>
      <c r="N40" s="4" t="s">
        <v>324</v>
      </c>
      <c r="O40" s="4" t="s">
        <v>319</v>
      </c>
      <c r="P40" s="5" t="e">
        <f>VLOOKUP(B40,Import!A$1:B$20000,2,FALSE)</f>
        <v>#N/A</v>
      </c>
      <c r="Q40" s="6" t="s">
        <v>455</v>
      </c>
      <c r="R40" s="9" t="e">
        <f>VLOOKUP(S40,Import!A$1:B$20000,2,FALSE)</f>
        <v>#N/A</v>
      </c>
      <c r="S40" s="10" t="str">
        <f t="shared" si="1"/>
        <v>3_A_P1C3_X_X_X_1E_N_V_B_A</v>
      </c>
      <c r="T40" s="4">
        <v>1000</v>
      </c>
    </row>
    <row r="41" spans="1:20" ht="12">
      <c r="A41" s="7">
        <f>IF(ISBLANK(Inm_17908),"",$T$41*Inm_17908)</f>
      </c>
      <c r="B41" s="7">
        <v>17908</v>
      </c>
      <c r="C41" s="8" t="s">
        <v>1011</v>
      </c>
      <c r="D41" s="90" t="s">
        <v>1028</v>
      </c>
      <c r="E41" s="4">
        <v>5</v>
      </c>
      <c r="F41" s="4" t="s">
        <v>319</v>
      </c>
      <c r="G41" s="4" t="s">
        <v>1013</v>
      </c>
      <c r="H41" s="4" t="s">
        <v>320</v>
      </c>
      <c r="I41" s="4" t="s">
        <v>320</v>
      </c>
      <c r="J41" s="4" t="s">
        <v>320</v>
      </c>
      <c r="K41" s="4" t="s">
        <v>327</v>
      </c>
      <c r="L41" s="4" t="s">
        <v>322</v>
      </c>
      <c r="M41" s="4" t="s">
        <v>323</v>
      </c>
      <c r="N41" s="4" t="s">
        <v>325</v>
      </c>
      <c r="O41" s="4" t="s">
        <v>319</v>
      </c>
      <c r="P41" s="5" t="e">
        <f>VLOOKUP(B41,Import!A$1:B$20000,2,FALSE)</f>
        <v>#N/A</v>
      </c>
      <c r="Q41" s="6" t="s">
        <v>455</v>
      </c>
      <c r="R41" s="9" t="e">
        <f>VLOOKUP(S41,Import!A$1:B$20000,2,FALSE)</f>
        <v>#N/A</v>
      </c>
      <c r="S41" s="10" t="str">
        <f t="shared" si="1"/>
        <v>5_A_P1C3_X_X_X_1E_N_V_M_A</v>
      </c>
      <c r="T41" s="4">
        <v>1000</v>
      </c>
    </row>
    <row r="42" spans="1:20" ht="12">
      <c r="A42" s="7">
        <f>IF(ISBLANK(Inm_17879),"",$T$42*Inm_17879)</f>
      </c>
      <c r="B42" s="7">
        <v>17879</v>
      </c>
      <c r="C42" s="8" t="s">
        <v>1029</v>
      </c>
      <c r="D42" s="90" t="s">
        <v>1030</v>
      </c>
      <c r="E42" s="4">
        <v>3</v>
      </c>
      <c r="F42" s="4" t="s">
        <v>319</v>
      </c>
      <c r="G42" s="4" t="s">
        <v>362</v>
      </c>
      <c r="H42" s="4" t="s">
        <v>320</v>
      </c>
      <c r="I42" s="4" t="s">
        <v>320</v>
      </c>
      <c r="J42" s="4" t="s">
        <v>320</v>
      </c>
      <c r="K42" s="4" t="s">
        <v>327</v>
      </c>
      <c r="L42" s="4" t="s">
        <v>1031</v>
      </c>
      <c r="M42" s="4" t="s">
        <v>323</v>
      </c>
      <c r="N42" s="4" t="s">
        <v>324</v>
      </c>
      <c r="O42" s="4" t="s">
        <v>319</v>
      </c>
      <c r="P42" s="5" t="e">
        <f>VLOOKUP(B42,Import!A$1:B$20000,2,FALSE)</f>
        <v>#N/A</v>
      </c>
      <c r="Q42" s="6" t="s">
        <v>455</v>
      </c>
      <c r="R42" s="9" t="e">
        <f>VLOOKUP(S42,Import!A$1:B$20000,2,FALSE)</f>
        <v>#N/A</v>
      </c>
      <c r="S42" s="10" t="str">
        <f t="shared" si="1"/>
        <v>3_A_P1D_X_X_X_1E_N121_V_B_A</v>
      </c>
      <c r="T42" s="4">
        <v>1000</v>
      </c>
    </row>
    <row r="43" spans="1:20" ht="12">
      <c r="A43" s="7">
        <f>IF(ISBLANK(Inm_17910),"",$T$43*Inm_17910)</f>
      </c>
      <c r="B43" s="7">
        <v>17910</v>
      </c>
      <c r="C43" s="8" t="s">
        <v>1029</v>
      </c>
      <c r="D43" s="90" t="s">
        <v>1032</v>
      </c>
      <c r="E43" s="4">
        <v>5</v>
      </c>
      <c r="F43" s="4" t="s">
        <v>319</v>
      </c>
      <c r="G43" s="4" t="s">
        <v>362</v>
      </c>
      <c r="H43" s="4" t="s">
        <v>320</v>
      </c>
      <c r="I43" s="4" t="s">
        <v>320</v>
      </c>
      <c r="J43" s="4" t="s">
        <v>320</v>
      </c>
      <c r="K43" s="4" t="s">
        <v>327</v>
      </c>
      <c r="L43" s="4" t="s">
        <v>1031</v>
      </c>
      <c r="M43" s="4" t="s">
        <v>323</v>
      </c>
      <c r="N43" s="4" t="s">
        <v>325</v>
      </c>
      <c r="O43" s="4" t="s">
        <v>319</v>
      </c>
      <c r="P43" s="5" t="e">
        <f>VLOOKUP(B43,Import!A$1:B$20000,2,FALSE)</f>
        <v>#N/A</v>
      </c>
      <c r="Q43" s="6" t="s">
        <v>455</v>
      </c>
      <c r="R43" s="9" t="e">
        <f>VLOOKUP(S43,Import!A$1:B$20000,2,FALSE)</f>
        <v>#N/A</v>
      </c>
      <c r="S43" s="10" t="str">
        <f t="shared" si="1"/>
        <v>5_A_P1D_X_X_X_1E_N121_V_M_A</v>
      </c>
      <c r="T43" s="4">
        <v>1000</v>
      </c>
    </row>
    <row r="44" spans="1:20" ht="12">
      <c r="A44" s="7">
        <f>IF(ISBLANK(Inm_17880),"",$T$44*Inm_17880)</f>
      </c>
      <c r="B44" s="7">
        <v>17880</v>
      </c>
      <c r="C44" s="8" t="s">
        <v>1033</v>
      </c>
      <c r="D44" s="90" t="s">
        <v>1034</v>
      </c>
      <c r="E44" s="4">
        <v>3</v>
      </c>
      <c r="F44" s="4" t="s">
        <v>319</v>
      </c>
      <c r="G44" s="4" t="s">
        <v>362</v>
      </c>
      <c r="H44" s="4" t="s">
        <v>320</v>
      </c>
      <c r="I44" s="4" t="s">
        <v>320</v>
      </c>
      <c r="J44" s="4" t="s">
        <v>320</v>
      </c>
      <c r="K44" s="4" t="s">
        <v>327</v>
      </c>
      <c r="L44" s="4" t="s">
        <v>998</v>
      </c>
      <c r="M44" s="4" t="s">
        <v>323</v>
      </c>
      <c r="N44" s="4" t="s">
        <v>324</v>
      </c>
      <c r="O44" s="4" t="s">
        <v>319</v>
      </c>
      <c r="P44" s="5" t="e">
        <f>VLOOKUP(B44,Import!A$1:B$20000,2,FALSE)</f>
        <v>#N/A</v>
      </c>
      <c r="Q44" s="6" t="s">
        <v>455</v>
      </c>
      <c r="R44" s="9" t="e">
        <f>VLOOKUP(S44,Import!A$1:B$20000,2,FALSE)</f>
        <v>#N/A</v>
      </c>
      <c r="S44" s="10" t="str">
        <f t="shared" si="1"/>
        <v>3_A_P1D_X_X_X_1E_N122_V_B_A</v>
      </c>
      <c r="T44" s="4">
        <v>1000</v>
      </c>
    </row>
    <row r="45" spans="1:20" ht="12">
      <c r="A45" s="7">
        <f>IF(ISBLANK(Inm_17911),"",$T$45*Inm_17911)</f>
      </c>
      <c r="B45" s="7">
        <v>17911</v>
      </c>
      <c r="C45" s="8" t="s">
        <v>1033</v>
      </c>
      <c r="D45" s="90" t="s">
        <v>1035</v>
      </c>
      <c r="E45" s="4">
        <v>5</v>
      </c>
      <c r="F45" s="4" t="s">
        <v>319</v>
      </c>
      <c r="G45" s="4" t="s">
        <v>362</v>
      </c>
      <c r="H45" s="4" t="s">
        <v>320</v>
      </c>
      <c r="I45" s="4" t="s">
        <v>320</v>
      </c>
      <c r="J45" s="4" t="s">
        <v>320</v>
      </c>
      <c r="K45" s="4" t="s">
        <v>327</v>
      </c>
      <c r="L45" s="4" t="s">
        <v>998</v>
      </c>
      <c r="M45" s="4" t="s">
        <v>323</v>
      </c>
      <c r="N45" s="4" t="s">
        <v>325</v>
      </c>
      <c r="O45" s="4" t="s">
        <v>319</v>
      </c>
      <c r="P45" s="5" t="e">
        <f>VLOOKUP(B45,Import!A$1:B$20000,2,FALSE)</f>
        <v>#N/A</v>
      </c>
      <c r="Q45" s="6" t="s">
        <v>455</v>
      </c>
      <c r="R45" s="9" t="e">
        <f>VLOOKUP(S45,Import!A$1:B$20000,2,FALSE)</f>
        <v>#N/A</v>
      </c>
      <c r="S45" s="10" t="str">
        <f t="shared" si="1"/>
        <v>5_A_P1D_X_X_X_1E_N122_V_M_A</v>
      </c>
      <c r="T45" s="4">
        <v>1000</v>
      </c>
    </row>
    <row r="46" spans="1:20" ht="12">
      <c r="A46" s="7">
        <f>IF(ISBLANK(Inm_17881),"",$T$46*Inm_17881)</f>
      </c>
      <c r="B46" s="7">
        <v>17881</v>
      </c>
      <c r="C46" s="8" t="s">
        <v>1036</v>
      </c>
      <c r="D46" s="90" t="s">
        <v>1037</v>
      </c>
      <c r="E46" s="4">
        <v>3</v>
      </c>
      <c r="F46" s="4" t="s">
        <v>319</v>
      </c>
      <c r="G46" s="4" t="s">
        <v>362</v>
      </c>
      <c r="H46" s="4" t="s">
        <v>320</v>
      </c>
      <c r="I46" s="4" t="s">
        <v>320</v>
      </c>
      <c r="J46" s="4" t="s">
        <v>320</v>
      </c>
      <c r="K46" s="4" t="s">
        <v>327</v>
      </c>
      <c r="L46" s="4" t="s">
        <v>397</v>
      </c>
      <c r="M46" s="4" t="s">
        <v>323</v>
      </c>
      <c r="N46" s="4" t="s">
        <v>324</v>
      </c>
      <c r="O46" s="4" t="s">
        <v>319</v>
      </c>
      <c r="P46" s="5" t="e">
        <f>VLOOKUP(B46,Import!A$1:B$20000,2,FALSE)</f>
        <v>#N/A</v>
      </c>
      <c r="Q46" s="6" t="s">
        <v>455</v>
      </c>
      <c r="R46" s="9" t="e">
        <f>VLOOKUP(S46,Import!A$1:B$20000,2,FALSE)</f>
        <v>#N/A</v>
      </c>
      <c r="S46" s="10" t="str">
        <f t="shared" si="1"/>
        <v>3_A_P1D_X_X_X_1E_NXG_V_B_A</v>
      </c>
      <c r="T46" s="4">
        <v>1000</v>
      </c>
    </row>
    <row r="47" spans="1:20" ht="12">
      <c r="A47" s="7">
        <f>IF(ISBLANK(Inm_17912),"",$T$47*Inm_17912)</f>
      </c>
      <c r="B47" s="7">
        <v>17912</v>
      </c>
      <c r="C47" s="8" t="s">
        <v>1036</v>
      </c>
      <c r="D47" s="90" t="s">
        <v>1038</v>
      </c>
      <c r="E47" s="4">
        <v>5</v>
      </c>
      <c r="F47" s="4" t="s">
        <v>319</v>
      </c>
      <c r="G47" s="4" t="s">
        <v>362</v>
      </c>
      <c r="H47" s="4" t="s">
        <v>320</v>
      </c>
      <c r="I47" s="4" t="s">
        <v>320</v>
      </c>
      <c r="J47" s="4" t="s">
        <v>320</v>
      </c>
      <c r="K47" s="4" t="s">
        <v>327</v>
      </c>
      <c r="L47" s="4" t="s">
        <v>397</v>
      </c>
      <c r="M47" s="4" t="s">
        <v>323</v>
      </c>
      <c r="N47" s="4" t="s">
        <v>325</v>
      </c>
      <c r="O47" s="4" t="s">
        <v>319</v>
      </c>
      <c r="P47" s="5" t="e">
        <f>VLOOKUP(B47,Import!A$1:B$20000,2,FALSE)</f>
        <v>#N/A</v>
      </c>
      <c r="Q47" s="6" t="s">
        <v>455</v>
      </c>
      <c r="R47" s="9" t="e">
        <f>VLOOKUP(S47,Import!A$1:B$20000,2,FALSE)</f>
        <v>#N/A</v>
      </c>
      <c r="S47" s="10" t="str">
        <f t="shared" si="1"/>
        <v>5_A_P1D_X_X_X_1E_NXG_V_M_A</v>
      </c>
      <c r="T47" s="4">
        <v>1000</v>
      </c>
    </row>
    <row r="48" spans="1:20" ht="12">
      <c r="A48" s="7">
        <f>IF(ISBLANK(Inm_13494),"",$T$48*Inm_13494)</f>
      </c>
      <c r="B48" s="7">
        <v>13494</v>
      </c>
      <c r="C48" s="8" t="s">
        <v>365</v>
      </c>
      <c r="D48" s="90" t="s">
        <v>1039</v>
      </c>
      <c r="E48" s="4">
        <v>3</v>
      </c>
      <c r="F48" s="4" t="s">
        <v>319</v>
      </c>
      <c r="G48" s="4" t="s">
        <v>362</v>
      </c>
      <c r="H48" s="4" t="s">
        <v>320</v>
      </c>
      <c r="I48" s="4" t="s">
        <v>320</v>
      </c>
      <c r="J48" s="4" t="s">
        <v>320</v>
      </c>
      <c r="K48" s="4" t="s">
        <v>329</v>
      </c>
      <c r="L48" s="4" t="s">
        <v>322</v>
      </c>
      <c r="M48" s="4" t="s">
        <v>323</v>
      </c>
      <c r="N48" s="4" t="s">
        <v>324</v>
      </c>
      <c r="O48" s="4" t="s">
        <v>319</v>
      </c>
      <c r="P48" s="5" t="e">
        <f>VLOOKUP(B48,Import!A$1:B$20000,2,FALSE)</f>
        <v>#N/A</v>
      </c>
      <c r="Q48" s="6" t="s">
        <v>455</v>
      </c>
      <c r="R48" s="9" t="e">
        <f>VLOOKUP(S48,Import!A$1:B$20000,2,FALSE)</f>
        <v>#N/A</v>
      </c>
      <c r="S48" s="10" t="str">
        <f t="shared" si="1"/>
        <v>3_A_P1D_X_X_X_3P_N_V_B_A</v>
      </c>
      <c r="T48" s="4">
        <v>1000</v>
      </c>
    </row>
    <row r="49" spans="1:20" ht="12">
      <c r="A49" s="7">
        <f>IF(ISBLANK(Inm_13502),"",$T$49*Inm_13502)</f>
      </c>
      <c r="B49" s="7">
        <v>13502</v>
      </c>
      <c r="C49" s="8" t="s">
        <v>365</v>
      </c>
      <c r="D49" s="90" t="s">
        <v>1040</v>
      </c>
      <c r="E49" s="4">
        <v>3</v>
      </c>
      <c r="F49" s="4" t="s">
        <v>319</v>
      </c>
      <c r="G49" s="4" t="s">
        <v>362</v>
      </c>
      <c r="H49" s="4" t="s">
        <v>320</v>
      </c>
      <c r="I49" s="4" t="s">
        <v>320</v>
      </c>
      <c r="J49" s="4" t="s">
        <v>320</v>
      </c>
      <c r="K49" s="4" t="s">
        <v>321</v>
      </c>
      <c r="L49" s="4" t="s">
        <v>322</v>
      </c>
      <c r="M49" s="4" t="s">
        <v>323</v>
      </c>
      <c r="N49" s="4" t="s">
        <v>324</v>
      </c>
      <c r="O49" s="4" t="s">
        <v>319</v>
      </c>
      <c r="P49" s="5" t="e">
        <f>VLOOKUP(B49,Import!A$1:B$20000,2,FALSE)</f>
        <v>#N/A</v>
      </c>
      <c r="Q49" s="6" t="s">
        <v>455</v>
      </c>
      <c r="R49" s="9" t="e">
        <f>VLOOKUP(S49,Import!A$1:B$20000,2,FALSE)</f>
        <v>#N/A</v>
      </c>
      <c r="S49" s="10" t="str">
        <f t="shared" si="1"/>
        <v>3_A_P1D_X_X_X_5J_N_V_B_A</v>
      </c>
      <c r="T49" s="4">
        <v>1000</v>
      </c>
    </row>
    <row r="50" spans="1:20" ht="12">
      <c r="A50" s="7">
        <f>IF(ISBLANK(Inm_13476),"",$T$50*Inm_13476)</f>
        <v>0</v>
      </c>
      <c r="B50" s="7">
        <v>13476</v>
      </c>
      <c r="C50" s="8" t="s">
        <v>347</v>
      </c>
      <c r="D50" s="90" t="s">
        <v>1041</v>
      </c>
      <c r="E50" s="4">
        <v>3</v>
      </c>
      <c r="F50" s="4" t="s">
        <v>319</v>
      </c>
      <c r="G50" s="4" t="s">
        <v>348</v>
      </c>
      <c r="H50" s="4" t="s">
        <v>320</v>
      </c>
      <c r="I50" s="4" t="s">
        <v>320</v>
      </c>
      <c r="J50" s="4" t="s">
        <v>320</v>
      </c>
      <c r="K50" s="4" t="s">
        <v>327</v>
      </c>
      <c r="L50" s="4" t="s">
        <v>349</v>
      </c>
      <c r="M50" s="4" t="s">
        <v>323</v>
      </c>
      <c r="N50" s="4" t="s">
        <v>324</v>
      </c>
      <c r="O50" s="4" t="s">
        <v>319</v>
      </c>
      <c r="P50" s="5" t="e">
        <f>VLOOKUP(B50,Import!A$1:B$20000,2,FALSE)</f>
        <v>#N/A</v>
      </c>
      <c r="Q50" s="6" t="s">
        <v>455</v>
      </c>
      <c r="R50" s="9" t="e">
        <f>VLOOKUP(S50,Import!A$1:B$20000,2,FALSE)</f>
        <v>#N/A</v>
      </c>
      <c r="S50" s="10" t="str">
        <f t="shared" si="1"/>
        <v>3_A_P1E1_X_X_X_1E_N1_V_B_A</v>
      </c>
      <c r="T50" s="4">
        <v>1000</v>
      </c>
    </row>
    <row r="51" spans="1:20" ht="12">
      <c r="A51" s="7">
        <f>IF(ISBLANK(Inm_17885),"",$T$51*Inm_17885)</f>
      </c>
      <c r="B51" s="7">
        <v>17885</v>
      </c>
      <c r="C51" s="8" t="s">
        <v>350</v>
      </c>
      <c r="D51" s="90" t="s">
        <v>1042</v>
      </c>
      <c r="E51" s="4">
        <v>3</v>
      </c>
      <c r="F51" s="4" t="s">
        <v>319</v>
      </c>
      <c r="G51" s="4" t="s">
        <v>348</v>
      </c>
      <c r="H51" s="4" t="s">
        <v>320</v>
      </c>
      <c r="I51" s="4" t="s">
        <v>320</v>
      </c>
      <c r="J51" s="4" t="s">
        <v>320</v>
      </c>
      <c r="K51" s="4" t="s">
        <v>327</v>
      </c>
      <c r="L51" s="4" t="s">
        <v>351</v>
      </c>
      <c r="M51" s="4" t="s">
        <v>323</v>
      </c>
      <c r="N51" s="4" t="s">
        <v>324</v>
      </c>
      <c r="O51" s="4" t="s">
        <v>319</v>
      </c>
      <c r="P51" s="5" t="e">
        <f>VLOOKUP(B51,Import!A$1:B$20000,2,FALSE)</f>
        <v>#N/A</v>
      </c>
      <c r="Q51" s="6" t="s">
        <v>455</v>
      </c>
      <c r="R51" s="9" t="e">
        <f>VLOOKUP(S51,Import!A$1:B$20000,2,FALSE)</f>
        <v>#N/A</v>
      </c>
      <c r="S51" s="10" t="str">
        <f t="shared" si="1"/>
        <v>3_A_P1E1_X_X_X_1E_N12_V_B_A</v>
      </c>
      <c r="T51" s="4">
        <v>1000</v>
      </c>
    </row>
    <row r="52" spans="1:20" ht="12">
      <c r="A52" s="7">
        <f>IF(ISBLANK(Inm_17884),"",$T$52*Inm_17884)</f>
      </c>
      <c r="B52" s="7">
        <v>17884</v>
      </c>
      <c r="C52" s="8" t="s">
        <v>352</v>
      </c>
      <c r="D52" s="90" t="s">
        <v>1043</v>
      </c>
      <c r="E52" s="4">
        <v>3</v>
      </c>
      <c r="F52" s="4" t="s">
        <v>319</v>
      </c>
      <c r="G52" s="4" t="s">
        <v>348</v>
      </c>
      <c r="H52" s="4" t="s">
        <v>320</v>
      </c>
      <c r="I52" s="4" t="s">
        <v>320</v>
      </c>
      <c r="J52" s="4" t="s">
        <v>320</v>
      </c>
      <c r="K52" s="4" t="s">
        <v>327</v>
      </c>
      <c r="L52" s="4" t="s">
        <v>344</v>
      </c>
      <c r="M52" s="4" t="s">
        <v>323</v>
      </c>
      <c r="N52" s="4" t="s">
        <v>324</v>
      </c>
      <c r="O52" s="4" t="s">
        <v>319</v>
      </c>
      <c r="P52" s="5" t="e">
        <f>VLOOKUP(B52,Import!A$1:B$20000,2,FALSE)</f>
        <v>#N/A</v>
      </c>
      <c r="Q52" s="6" t="s">
        <v>455</v>
      </c>
      <c r="R52" s="9" t="e">
        <f>VLOOKUP(S52,Import!A$1:B$20000,2,FALSE)</f>
        <v>#N/A</v>
      </c>
      <c r="S52" s="10" t="str">
        <f t="shared" si="1"/>
        <v>3_A_P1E1_X_X_X_1E_N11_V_B_A</v>
      </c>
      <c r="T52" s="4">
        <v>1000</v>
      </c>
    </row>
    <row r="53" spans="1:20" ht="12">
      <c r="A53" s="7">
        <f>IF(ISBLANK(Inm_13475),"",$T$53*Inm_13475)</f>
        <v>0</v>
      </c>
      <c r="B53" s="7">
        <v>13475</v>
      </c>
      <c r="C53" s="8" t="s">
        <v>353</v>
      </c>
      <c r="D53" s="90" t="s">
        <v>1044</v>
      </c>
      <c r="E53" s="4">
        <v>3</v>
      </c>
      <c r="F53" s="4" t="s">
        <v>319</v>
      </c>
      <c r="G53" s="4" t="s">
        <v>354</v>
      </c>
      <c r="H53" s="4" t="s">
        <v>320</v>
      </c>
      <c r="I53" s="4" t="s">
        <v>320</v>
      </c>
      <c r="J53" s="4" t="s">
        <v>320</v>
      </c>
      <c r="K53" s="4" t="s">
        <v>327</v>
      </c>
      <c r="L53" s="4" t="s">
        <v>349</v>
      </c>
      <c r="M53" s="4" t="s">
        <v>323</v>
      </c>
      <c r="N53" s="4" t="s">
        <v>324</v>
      </c>
      <c r="O53" s="4" t="s">
        <v>319</v>
      </c>
      <c r="P53" s="5" t="e">
        <f>VLOOKUP(B53,Import!A$1:B$20000,2,FALSE)</f>
        <v>#N/A</v>
      </c>
      <c r="Q53" s="6" t="s">
        <v>455</v>
      </c>
      <c r="R53" s="9" t="e">
        <f>VLOOKUP(S53,Import!A$1:B$20000,2,FALSE)</f>
        <v>#N/A</v>
      </c>
      <c r="S53" s="10" t="str">
        <f t="shared" si="1"/>
        <v>3_A_P1E2_X_X_X_1E_N1_V_B_A</v>
      </c>
      <c r="T53" s="4">
        <v>1000</v>
      </c>
    </row>
    <row r="54" spans="1:20" ht="12">
      <c r="A54" s="7">
        <f>IF(ISBLANK(Inm_17887),"",$T$54*Inm_17887)</f>
      </c>
      <c r="B54" s="7">
        <v>17887</v>
      </c>
      <c r="C54" s="8" t="s">
        <v>355</v>
      </c>
      <c r="D54" s="90" t="s">
        <v>1045</v>
      </c>
      <c r="E54" s="4">
        <v>3</v>
      </c>
      <c r="F54" s="4" t="s">
        <v>319</v>
      </c>
      <c r="G54" s="4" t="s">
        <v>354</v>
      </c>
      <c r="H54" s="4" t="s">
        <v>320</v>
      </c>
      <c r="I54" s="4" t="s">
        <v>320</v>
      </c>
      <c r="J54" s="4" t="s">
        <v>320</v>
      </c>
      <c r="K54" s="4" t="s">
        <v>327</v>
      </c>
      <c r="L54" s="4" t="s">
        <v>351</v>
      </c>
      <c r="M54" s="4" t="s">
        <v>323</v>
      </c>
      <c r="N54" s="4" t="s">
        <v>324</v>
      </c>
      <c r="O54" s="4" t="s">
        <v>319</v>
      </c>
      <c r="P54" s="5" t="e">
        <f>VLOOKUP(B54,Import!A$1:B$20000,2,FALSE)</f>
        <v>#N/A</v>
      </c>
      <c r="Q54" s="6" t="s">
        <v>455</v>
      </c>
      <c r="R54" s="9" t="e">
        <f>VLOOKUP(S54,Import!A$1:B$20000,2,FALSE)</f>
        <v>#N/A</v>
      </c>
      <c r="S54" s="10" t="str">
        <f t="shared" si="1"/>
        <v>3_A_P1E2_X_X_X_1E_N12_V_B_A</v>
      </c>
      <c r="T54" s="4">
        <v>1000</v>
      </c>
    </row>
    <row r="55" spans="1:20" ht="12">
      <c r="A55" s="7">
        <f>IF(ISBLANK(Inm_17886),"",$T$55*Inm_17886)</f>
      </c>
      <c r="B55" s="7">
        <v>17886</v>
      </c>
      <c r="C55" s="8" t="s">
        <v>356</v>
      </c>
      <c r="D55" s="90" t="s">
        <v>1046</v>
      </c>
      <c r="E55" s="4">
        <v>3</v>
      </c>
      <c r="F55" s="4" t="s">
        <v>319</v>
      </c>
      <c r="G55" s="4" t="s">
        <v>354</v>
      </c>
      <c r="H55" s="4" t="s">
        <v>320</v>
      </c>
      <c r="I55" s="4" t="s">
        <v>320</v>
      </c>
      <c r="J55" s="4" t="s">
        <v>320</v>
      </c>
      <c r="K55" s="4" t="s">
        <v>327</v>
      </c>
      <c r="L55" s="4" t="s">
        <v>344</v>
      </c>
      <c r="M55" s="4" t="s">
        <v>323</v>
      </c>
      <c r="N55" s="4" t="s">
        <v>324</v>
      </c>
      <c r="O55" s="4" t="s">
        <v>319</v>
      </c>
      <c r="P55" s="5" t="e">
        <f>VLOOKUP(B55,Import!A$1:B$20000,2,FALSE)</f>
        <v>#N/A</v>
      </c>
      <c r="Q55" s="6" t="s">
        <v>455</v>
      </c>
      <c r="R55" s="9" t="e">
        <f>VLOOKUP(S55,Import!A$1:B$20000,2,FALSE)</f>
        <v>#N/A</v>
      </c>
      <c r="S55" s="10" t="str">
        <f t="shared" si="1"/>
        <v>3_A_P1E2_X_X_X_1E_N11_V_B_A</v>
      </c>
      <c r="T55" s="4">
        <v>1000</v>
      </c>
    </row>
    <row r="56" spans="1:20" ht="12">
      <c r="A56" s="7">
        <f>IF(ISBLANK(Inm_13496),"",$T$56*Inm_13496)</f>
      </c>
      <c r="B56" s="7">
        <v>13496</v>
      </c>
      <c r="C56" s="8" t="s">
        <v>347</v>
      </c>
      <c r="D56" s="90" t="s">
        <v>1047</v>
      </c>
      <c r="E56" s="4">
        <v>3</v>
      </c>
      <c r="F56" s="4" t="s">
        <v>319</v>
      </c>
      <c r="G56" s="4" t="s">
        <v>348</v>
      </c>
      <c r="H56" s="4" t="s">
        <v>320</v>
      </c>
      <c r="I56" s="4" t="s">
        <v>320</v>
      </c>
      <c r="J56" s="4" t="s">
        <v>320</v>
      </c>
      <c r="K56" s="4" t="s">
        <v>329</v>
      </c>
      <c r="L56" s="4" t="s">
        <v>349</v>
      </c>
      <c r="M56" s="4" t="s">
        <v>323</v>
      </c>
      <c r="N56" s="4" t="s">
        <v>324</v>
      </c>
      <c r="O56" s="4" t="s">
        <v>319</v>
      </c>
      <c r="P56" s="5" t="e">
        <f>VLOOKUP(B56,Import!A$1:B$20000,2,FALSE)</f>
        <v>#N/A</v>
      </c>
      <c r="Q56" s="6" t="s">
        <v>455</v>
      </c>
      <c r="R56" s="9" t="e">
        <f>VLOOKUP(S56,Import!A$1:B$20000,2,FALSE)</f>
        <v>#N/A</v>
      </c>
      <c r="S56" s="10" t="str">
        <f t="shared" si="1"/>
        <v>3_A_P1E1_X_X_X_3P_N1_V_B_A</v>
      </c>
      <c r="T56" s="4">
        <v>1000</v>
      </c>
    </row>
    <row r="57" spans="1:20" ht="12">
      <c r="A57" s="7">
        <f>IF(ISBLANK(Inm_13495),"",$T$57*Inm_13495)</f>
      </c>
      <c r="B57" s="7">
        <v>13495</v>
      </c>
      <c r="C57" s="8" t="s">
        <v>353</v>
      </c>
      <c r="D57" s="90" t="s">
        <v>1048</v>
      </c>
      <c r="E57" s="4">
        <v>3</v>
      </c>
      <c r="F57" s="4" t="s">
        <v>319</v>
      </c>
      <c r="G57" s="4" t="s">
        <v>354</v>
      </c>
      <c r="H57" s="4" t="s">
        <v>320</v>
      </c>
      <c r="I57" s="4" t="s">
        <v>320</v>
      </c>
      <c r="J57" s="4" t="s">
        <v>320</v>
      </c>
      <c r="K57" s="4" t="s">
        <v>329</v>
      </c>
      <c r="L57" s="4" t="s">
        <v>349</v>
      </c>
      <c r="M57" s="4" t="s">
        <v>323</v>
      </c>
      <c r="N57" s="4" t="s">
        <v>324</v>
      </c>
      <c r="O57" s="4" t="s">
        <v>319</v>
      </c>
      <c r="P57" s="5" t="e">
        <f>VLOOKUP(B57,Import!A$1:B$20000,2,FALSE)</f>
        <v>#N/A</v>
      </c>
      <c r="Q57" s="6" t="s">
        <v>455</v>
      </c>
      <c r="R57" s="9" t="e">
        <f>VLOOKUP(S57,Import!A$1:B$20000,2,FALSE)</f>
        <v>#N/A</v>
      </c>
      <c r="S57" s="10" t="str">
        <f t="shared" si="1"/>
        <v>3_A_P1E2_X_X_X_3P_N1_V_B_A</v>
      </c>
      <c r="T57" s="4">
        <v>1000</v>
      </c>
    </row>
    <row r="58" spans="1:20" ht="12">
      <c r="A58" s="7">
        <f>IF(ISBLANK(Inm_13506),"",$T$58*Inm_13506)</f>
        <v>0</v>
      </c>
      <c r="B58" s="7">
        <v>13506</v>
      </c>
      <c r="C58" s="8" t="s">
        <v>357</v>
      </c>
      <c r="D58" s="90" t="s">
        <v>1049</v>
      </c>
      <c r="E58" s="4">
        <v>3</v>
      </c>
      <c r="F58" s="4" t="s">
        <v>319</v>
      </c>
      <c r="G58" s="4" t="s">
        <v>358</v>
      </c>
      <c r="H58" s="4" t="s">
        <v>320</v>
      </c>
      <c r="I58" s="4" t="s">
        <v>320</v>
      </c>
      <c r="J58" s="4" t="s">
        <v>320</v>
      </c>
      <c r="K58" s="4" t="s">
        <v>321</v>
      </c>
      <c r="L58" s="4" t="s">
        <v>349</v>
      </c>
      <c r="M58" s="4" t="s">
        <v>323</v>
      </c>
      <c r="N58" s="4" t="s">
        <v>324</v>
      </c>
      <c r="O58" s="4" t="s">
        <v>319</v>
      </c>
      <c r="P58" s="5" t="e">
        <f>VLOOKUP(B58,Import!A$1:B$20000,2,FALSE)</f>
        <v>#N/A</v>
      </c>
      <c r="Q58" s="6" t="s">
        <v>455</v>
      </c>
      <c r="R58" s="9" t="e">
        <f>VLOOKUP(S58,Import!A$1:B$20000,2,FALSE)</f>
        <v>#N/A</v>
      </c>
      <c r="S58" s="10" t="str">
        <f t="shared" si="1"/>
        <v>3_A_P1E4_X_X_X_5J_N1_V_B_A</v>
      </c>
      <c r="T58" s="4">
        <v>1000</v>
      </c>
    </row>
    <row r="59" spans="1:20" ht="12">
      <c r="A59" s="7">
        <f>IF(ISBLANK(Inm_14115),"",$T$59*Inm_14115)</f>
      </c>
      <c r="B59" s="7">
        <v>14115</v>
      </c>
      <c r="C59" s="8" t="s">
        <v>357</v>
      </c>
      <c r="D59" s="90" t="s">
        <v>1050</v>
      </c>
      <c r="E59" s="4">
        <v>3</v>
      </c>
      <c r="F59" s="4" t="s">
        <v>319</v>
      </c>
      <c r="G59" s="4" t="s">
        <v>358</v>
      </c>
      <c r="H59" s="4" t="s">
        <v>320</v>
      </c>
      <c r="I59" s="4" t="s">
        <v>320</v>
      </c>
      <c r="J59" s="4" t="s">
        <v>320</v>
      </c>
      <c r="K59" s="4" t="s">
        <v>327</v>
      </c>
      <c r="L59" s="4" t="s">
        <v>349</v>
      </c>
      <c r="M59" s="4" t="s">
        <v>323</v>
      </c>
      <c r="N59" s="4" t="s">
        <v>324</v>
      </c>
      <c r="O59" s="4" t="s">
        <v>319</v>
      </c>
      <c r="P59" s="5" t="e">
        <f>VLOOKUP(B59,Import!A$1:B$20000,2,FALSE)</f>
        <v>#N/A</v>
      </c>
      <c r="Q59" s="6" t="s">
        <v>455</v>
      </c>
      <c r="R59" s="9" t="e">
        <f>VLOOKUP(S59,Import!A$1:B$20000,2,FALSE)</f>
        <v>#N/A</v>
      </c>
      <c r="S59" s="10" t="str">
        <f t="shared" si="1"/>
        <v>3_A_P1E4_X_X_X_1E_N1_V_B_A</v>
      </c>
      <c r="T59" s="4">
        <v>1000</v>
      </c>
    </row>
    <row r="60" spans="1:20" ht="12">
      <c r="A60" s="7">
        <f>IF(ISBLANK(Inm_14117),"",$T$60*Inm_14117)</f>
      </c>
      <c r="B60" s="7">
        <v>14117</v>
      </c>
      <c r="C60" s="8" t="s">
        <v>357</v>
      </c>
      <c r="D60" s="90" t="s">
        <v>1051</v>
      </c>
      <c r="E60" s="4">
        <v>3</v>
      </c>
      <c r="F60" s="4" t="s">
        <v>319</v>
      </c>
      <c r="G60" s="4" t="s">
        <v>358</v>
      </c>
      <c r="H60" s="4" t="s">
        <v>320</v>
      </c>
      <c r="I60" s="4" t="s">
        <v>320</v>
      </c>
      <c r="J60" s="4" t="s">
        <v>320</v>
      </c>
      <c r="K60" s="4" t="s">
        <v>329</v>
      </c>
      <c r="L60" s="4" t="s">
        <v>349</v>
      </c>
      <c r="M60" s="4" t="s">
        <v>323</v>
      </c>
      <c r="N60" s="4" t="s">
        <v>324</v>
      </c>
      <c r="O60" s="4" t="s">
        <v>319</v>
      </c>
      <c r="P60" s="5" t="e">
        <f>VLOOKUP(B60,Import!A$1:B$20000,2,FALSE)</f>
        <v>#N/A</v>
      </c>
      <c r="Q60" s="6" t="s">
        <v>455</v>
      </c>
      <c r="R60" s="9" t="e">
        <f>VLOOKUP(S60,Import!A$1:B$20000,2,FALSE)</f>
        <v>#N/A</v>
      </c>
      <c r="S60" s="10" t="str">
        <f aca="true" t="shared" si="2" ref="S60:S91">CONCATENATE(E60,"_",F60,"_",G60,"_",H60,"_",I60,"_",J60,"_",K60,"_",L60,"_",M60,"_",N60,"_",O60)</f>
        <v>3_A_P1E4_X_X_X_3P_N1_V_B_A</v>
      </c>
      <c r="T60" s="4">
        <v>1000</v>
      </c>
    </row>
    <row r="61" spans="1:20" ht="12">
      <c r="A61" s="7">
        <f>IF(ISBLANK(Inm_13507),"",$T$61*Inm_13507)</f>
      </c>
      <c r="B61" s="7">
        <v>13507</v>
      </c>
      <c r="C61" s="8" t="s">
        <v>359</v>
      </c>
      <c r="D61" s="90" t="s">
        <v>1052</v>
      </c>
      <c r="E61" s="4">
        <v>3</v>
      </c>
      <c r="F61" s="4" t="s">
        <v>319</v>
      </c>
      <c r="G61" s="4" t="s">
        <v>360</v>
      </c>
      <c r="H61" s="4" t="s">
        <v>320</v>
      </c>
      <c r="I61" s="4" t="s">
        <v>320</v>
      </c>
      <c r="J61" s="4" t="s">
        <v>320</v>
      </c>
      <c r="K61" s="4" t="s">
        <v>321</v>
      </c>
      <c r="L61" s="4" t="s">
        <v>349</v>
      </c>
      <c r="M61" s="4" t="s">
        <v>323</v>
      </c>
      <c r="N61" s="4" t="s">
        <v>324</v>
      </c>
      <c r="O61" s="4" t="s">
        <v>319</v>
      </c>
      <c r="P61" s="5" t="e">
        <f>VLOOKUP(B61,Import!A$1:B$20000,2,FALSE)</f>
        <v>#N/A</v>
      </c>
      <c r="Q61" s="6" t="s">
        <v>455</v>
      </c>
      <c r="R61" s="9" t="e">
        <f>VLOOKUP(S61,Import!A$1:B$20000,2,FALSE)</f>
        <v>#N/A</v>
      </c>
      <c r="S61" s="10" t="str">
        <f t="shared" si="2"/>
        <v>3_A_P1E_X_X_X_5J_N1_V_B_A</v>
      </c>
      <c r="T61" s="4">
        <v>1000</v>
      </c>
    </row>
    <row r="62" spans="1:20" ht="12">
      <c r="A62" s="7">
        <f>IF(ISBLANK(Inm_17882),"",$T$62*Inm_17882)</f>
      </c>
      <c r="B62" s="7">
        <v>17882</v>
      </c>
      <c r="C62" s="8" t="s">
        <v>1053</v>
      </c>
      <c r="D62" s="90" t="s">
        <v>1054</v>
      </c>
      <c r="E62" s="4">
        <v>3</v>
      </c>
      <c r="F62" s="4" t="s">
        <v>319</v>
      </c>
      <c r="G62" s="4" t="s">
        <v>360</v>
      </c>
      <c r="H62" s="4" t="s">
        <v>320</v>
      </c>
      <c r="I62" s="4" t="s">
        <v>320</v>
      </c>
      <c r="J62" s="4" t="s">
        <v>320</v>
      </c>
      <c r="K62" s="4" t="s">
        <v>321</v>
      </c>
      <c r="L62" s="4" t="s">
        <v>1055</v>
      </c>
      <c r="M62" s="4" t="s">
        <v>323</v>
      </c>
      <c r="N62" s="4" t="s">
        <v>324</v>
      </c>
      <c r="O62" s="4" t="s">
        <v>319</v>
      </c>
      <c r="P62" s="5" t="e">
        <f>VLOOKUP(B62,Import!A$1:B$20000,2,FALSE)</f>
        <v>#N/A</v>
      </c>
      <c r="Q62" s="6" t="s">
        <v>455</v>
      </c>
      <c r="R62" s="9" t="e">
        <f>VLOOKUP(S62,Import!A$1:B$20000,2,FALSE)</f>
        <v>#N/A</v>
      </c>
      <c r="S62" s="10" t="str">
        <f t="shared" si="2"/>
        <v>3_A_P1E_X_X_X_5J_N1A_V_B_A</v>
      </c>
      <c r="T62" s="4">
        <v>1000</v>
      </c>
    </row>
    <row r="63" spans="1:20" ht="12">
      <c r="A63" s="7">
        <f>IF(ISBLANK(Inm_17913),"",$T$63*Inm_17913)</f>
      </c>
      <c r="B63" s="7">
        <v>17913</v>
      </c>
      <c r="C63" s="8" t="s">
        <v>1053</v>
      </c>
      <c r="D63" s="90" t="s">
        <v>1056</v>
      </c>
      <c r="E63" s="4">
        <v>5</v>
      </c>
      <c r="F63" s="4" t="s">
        <v>319</v>
      </c>
      <c r="G63" s="4" t="s">
        <v>360</v>
      </c>
      <c r="H63" s="4" t="s">
        <v>320</v>
      </c>
      <c r="I63" s="4" t="s">
        <v>320</v>
      </c>
      <c r="J63" s="4" t="s">
        <v>320</v>
      </c>
      <c r="K63" s="4" t="s">
        <v>321</v>
      </c>
      <c r="L63" s="4" t="s">
        <v>1055</v>
      </c>
      <c r="M63" s="4" t="s">
        <v>323</v>
      </c>
      <c r="N63" s="4" t="s">
        <v>325</v>
      </c>
      <c r="O63" s="4" t="s">
        <v>319</v>
      </c>
      <c r="P63" s="5" t="e">
        <f>VLOOKUP(B63,Import!A$1:B$20000,2,FALSE)</f>
        <v>#N/A</v>
      </c>
      <c r="Q63" s="6" t="s">
        <v>455</v>
      </c>
      <c r="R63" s="9" t="e">
        <f>VLOOKUP(S63,Import!A$1:B$20000,2,FALSE)</f>
        <v>#N/A</v>
      </c>
      <c r="S63" s="10" t="str">
        <f t="shared" si="2"/>
        <v>5_A_P1E_X_X_X_5J_N1A_V_M_A</v>
      </c>
      <c r="T63" s="4">
        <v>1000</v>
      </c>
    </row>
    <row r="64" spans="1:20" ht="12">
      <c r="A64" s="7">
        <f>IF(ISBLANK(Inm_17883),"",$T$64*Inm_17883)</f>
      </c>
      <c r="B64" s="7">
        <v>17883</v>
      </c>
      <c r="C64" s="8" t="s">
        <v>1057</v>
      </c>
      <c r="D64" s="90" t="s">
        <v>1058</v>
      </c>
      <c r="E64" s="4">
        <v>3</v>
      </c>
      <c r="F64" s="4" t="s">
        <v>319</v>
      </c>
      <c r="G64" s="4" t="s">
        <v>360</v>
      </c>
      <c r="H64" s="4" t="s">
        <v>320</v>
      </c>
      <c r="I64" s="4" t="s">
        <v>320</v>
      </c>
      <c r="J64" s="4" t="s">
        <v>320</v>
      </c>
      <c r="K64" s="4" t="s">
        <v>321</v>
      </c>
      <c r="L64" s="4" t="s">
        <v>1059</v>
      </c>
      <c r="M64" s="4" t="s">
        <v>323</v>
      </c>
      <c r="N64" s="4" t="s">
        <v>324</v>
      </c>
      <c r="O64" s="4" t="s">
        <v>319</v>
      </c>
      <c r="P64" s="5" t="e">
        <f>VLOOKUP(B64,Import!A$1:B$20000,2,FALSE)</f>
        <v>#N/A</v>
      </c>
      <c r="Q64" s="6" t="s">
        <v>455</v>
      </c>
      <c r="R64" s="9" t="e">
        <f>VLOOKUP(S64,Import!A$1:B$20000,2,FALSE)</f>
        <v>#N/A</v>
      </c>
      <c r="S64" s="10" t="str">
        <f t="shared" si="2"/>
        <v>3_A_P1E_X_X_X_5J_N1A1E1_V_B_A</v>
      </c>
      <c r="T64" s="4">
        <v>1000</v>
      </c>
    </row>
    <row r="65" spans="1:20" ht="12">
      <c r="A65" s="7">
        <f>IF(ISBLANK(Inm_17914),"",$T$65*Inm_17914)</f>
      </c>
      <c r="B65" s="7">
        <v>17914</v>
      </c>
      <c r="C65" s="8" t="s">
        <v>1057</v>
      </c>
      <c r="D65" s="90" t="s">
        <v>1060</v>
      </c>
      <c r="E65" s="4">
        <v>5</v>
      </c>
      <c r="F65" s="4" t="s">
        <v>319</v>
      </c>
      <c r="G65" s="4" t="s">
        <v>360</v>
      </c>
      <c r="H65" s="4" t="s">
        <v>320</v>
      </c>
      <c r="I65" s="4" t="s">
        <v>320</v>
      </c>
      <c r="J65" s="4" t="s">
        <v>320</v>
      </c>
      <c r="K65" s="4" t="s">
        <v>321</v>
      </c>
      <c r="L65" s="4" t="s">
        <v>1059</v>
      </c>
      <c r="M65" s="4" t="s">
        <v>323</v>
      </c>
      <c r="N65" s="4" t="s">
        <v>325</v>
      </c>
      <c r="O65" s="4" t="s">
        <v>319</v>
      </c>
      <c r="P65" s="5" t="e">
        <f>VLOOKUP(B65,Import!A$1:B$20000,2,FALSE)</f>
        <v>#N/A</v>
      </c>
      <c r="Q65" s="6" t="s">
        <v>455</v>
      </c>
      <c r="R65" s="9" t="e">
        <f>VLOOKUP(S65,Import!A$1:B$20000,2,FALSE)</f>
        <v>#N/A</v>
      </c>
      <c r="S65" s="10" t="str">
        <f t="shared" si="2"/>
        <v>5_A_P1E_X_X_X_5J_N1A1E1_V_M_A</v>
      </c>
      <c r="T65" s="4">
        <v>1000</v>
      </c>
    </row>
    <row r="66" spans="1:20" ht="12">
      <c r="A66" s="7">
        <f>IF(ISBLANK(Inm_17891),"",$T$66*Inm_17891)</f>
      </c>
      <c r="B66" s="7">
        <v>17891</v>
      </c>
      <c r="C66" s="8" t="s">
        <v>1061</v>
      </c>
      <c r="D66" s="90" t="s">
        <v>1062</v>
      </c>
      <c r="E66" s="4">
        <v>3</v>
      </c>
      <c r="F66" s="4" t="s">
        <v>319</v>
      </c>
      <c r="G66" s="4" t="s">
        <v>1063</v>
      </c>
      <c r="H66" s="4" t="s">
        <v>320</v>
      </c>
      <c r="I66" s="4" t="s">
        <v>320</v>
      </c>
      <c r="J66" s="4" t="s">
        <v>320</v>
      </c>
      <c r="K66" s="4" t="s">
        <v>321</v>
      </c>
      <c r="L66" s="4" t="s">
        <v>361</v>
      </c>
      <c r="M66" s="4" t="s">
        <v>323</v>
      </c>
      <c r="N66" s="4" t="s">
        <v>324</v>
      </c>
      <c r="O66" s="4" t="s">
        <v>319</v>
      </c>
      <c r="P66" s="5" t="e">
        <f>VLOOKUP(B66,Import!A$1:B$20000,2,FALSE)</f>
        <v>#N/A</v>
      </c>
      <c r="Q66" s="6" t="s">
        <v>455</v>
      </c>
      <c r="R66" s="9" t="e">
        <f>VLOOKUP(S66,Import!A$1:B$20000,2,FALSE)</f>
        <v>#N/A</v>
      </c>
      <c r="S66" s="10" t="str">
        <f t="shared" si="2"/>
        <v>3_A_P1E31_X_X_X_5J_N12A_V_B_A</v>
      </c>
      <c r="T66" s="4">
        <v>1000</v>
      </c>
    </row>
    <row r="67" spans="1:20" ht="12">
      <c r="A67" s="7">
        <f>IF(ISBLANK(Inm_17917),"",$T$67*Inm_17917)</f>
      </c>
      <c r="B67" s="7">
        <v>17917</v>
      </c>
      <c r="C67" s="8" t="s">
        <v>1061</v>
      </c>
      <c r="D67" s="90" t="s">
        <v>1064</v>
      </c>
      <c r="E67" s="4">
        <v>5</v>
      </c>
      <c r="F67" s="4" t="s">
        <v>319</v>
      </c>
      <c r="G67" s="4" t="s">
        <v>1063</v>
      </c>
      <c r="H67" s="4" t="s">
        <v>320</v>
      </c>
      <c r="I67" s="4" t="s">
        <v>320</v>
      </c>
      <c r="J67" s="4" t="s">
        <v>320</v>
      </c>
      <c r="K67" s="4" t="s">
        <v>321</v>
      </c>
      <c r="L67" s="4" t="s">
        <v>361</v>
      </c>
      <c r="M67" s="4" t="s">
        <v>323</v>
      </c>
      <c r="N67" s="4" t="s">
        <v>325</v>
      </c>
      <c r="O67" s="4" t="s">
        <v>319</v>
      </c>
      <c r="P67" s="5" t="e">
        <f>VLOOKUP(B67,Import!A$1:B$20000,2,FALSE)</f>
        <v>#N/A</v>
      </c>
      <c r="Q67" s="6" t="s">
        <v>455</v>
      </c>
      <c r="R67" s="9" t="e">
        <f>VLOOKUP(S67,Import!A$1:B$20000,2,FALSE)</f>
        <v>#N/A</v>
      </c>
      <c r="S67" s="10" t="str">
        <f t="shared" si="2"/>
        <v>5_A_P1E31_X_X_X_5J_N12A_V_M_A</v>
      </c>
      <c r="T67" s="4">
        <v>1000</v>
      </c>
    </row>
    <row r="68" spans="1:20" ht="12">
      <c r="A68" s="7">
        <f>IF(ISBLANK(Inm_17892),"",$T$68*Inm_17892)</f>
      </c>
      <c r="B68" s="7">
        <v>17892</v>
      </c>
      <c r="C68" s="8" t="s">
        <v>1065</v>
      </c>
      <c r="D68" s="90" t="s">
        <v>1066</v>
      </c>
      <c r="E68" s="4">
        <v>3</v>
      </c>
      <c r="F68" s="4" t="s">
        <v>319</v>
      </c>
      <c r="G68" s="4" t="s">
        <v>1067</v>
      </c>
      <c r="H68" s="4" t="s">
        <v>320</v>
      </c>
      <c r="I68" s="4" t="s">
        <v>320</v>
      </c>
      <c r="J68" s="4" t="s">
        <v>320</v>
      </c>
      <c r="K68" s="4" t="s">
        <v>321</v>
      </c>
      <c r="L68" s="4" t="s">
        <v>361</v>
      </c>
      <c r="M68" s="4" t="s">
        <v>323</v>
      </c>
      <c r="N68" s="4" t="s">
        <v>324</v>
      </c>
      <c r="O68" s="4" t="s">
        <v>319</v>
      </c>
      <c r="P68" s="5" t="e">
        <f>VLOOKUP(B68,Import!A$1:B$20000,2,FALSE)</f>
        <v>#N/A</v>
      </c>
      <c r="Q68" s="6" t="s">
        <v>455</v>
      </c>
      <c r="R68" s="9" t="e">
        <f>VLOOKUP(S68,Import!A$1:B$20000,2,FALSE)</f>
        <v>#N/A</v>
      </c>
      <c r="S68" s="10" t="str">
        <f t="shared" si="2"/>
        <v>3_A_P1E3A_X_X_X_5J_N12A_V_B_A</v>
      </c>
      <c r="T68" s="4">
        <v>1000</v>
      </c>
    </row>
    <row r="69" spans="1:20" ht="12">
      <c r="A69" s="7">
        <f>IF(ISBLANK(Inm_17918),"",$T$69*Inm_17918)</f>
      </c>
      <c r="B69" s="7">
        <v>17918</v>
      </c>
      <c r="C69" s="8" t="s">
        <v>1065</v>
      </c>
      <c r="D69" s="90" t="s">
        <v>1068</v>
      </c>
      <c r="E69" s="4">
        <v>5</v>
      </c>
      <c r="F69" s="4" t="s">
        <v>319</v>
      </c>
      <c r="G69" s="4" t="s">
        <v>1067</v>
      </c>
      <c r="H69" s="4" t="s">
        <v>320</v>
      </c>
      <c r="I69" s="4" t="s">
        <v>320</v>
      </c>
      <c r="J69" s="4" t="s">
        <v>320</v>
      </c>
      <c r="K69" s="4" t="s">
        <v>321</v>
      </c>
      <c r="L69" s="4" t="s">
        <v>361</v>
      </c>
      <c r="M69" s="4" t="s">
        <v>323</v>
      </c>
      <c r="N69" s="4" t="s">
        <v>325</v>
      </c>
      <c r="O69" s="4" t="s">
        <v>319</v>
      </c>
      <c r="P69" s="5" t="e">
        <f>VLOOKUP(B69,Import!A$1:B$20000,2,FALSE)</f>
        <v>#N/A</v>
      </c>
      <c r="Q69" s="6" t="s">
        <v>455</v>
      </c>
      <c r="R69" s="9" t="e">
        <f>VLOOKUP(S69,Import!A$1:B$20000,2,FALSE)</f>
        <v>#N/A</v>
      </c>
      <c r="S69" s="10" t="str">
        <f t="shared" si="2"/>
        <v>5_A_P1E3A_X_X_X_5J_N12A_V_M_A</v>
      </c>
      <c r="T69" s="4">
        <v>1000</v>
      </c>
    </row>
    <row r="70" spans="1:20" ht="12">
      <c r="A70" s="7">
        <f>IF(ISBLANK(Inm_13445),"",$T$70*Inm_13445)</f>
      </c>
      <c r="B70" s="7">
        <v>13445</v>
      </c>
      <c r="C70" s="8" t="s">
        <v>332</v>
      </c>
      <c r="D70" s="90" t="s">
        <v>1069</v>
      </c>
      <c r="E70" s="4">
        <v>3</v>
      </c>
      <c r="F70" s="4" t="s">
        <v>319</v>
      </c>
      <c r="G70" s="4" t="s">
        <v>333</v>
      </c>
      <c r="H70" s="4" t="s">
        <v>320</v>
      </c>
      <c r="I70" s="4" t="s">
        <v>320</v>
      </c>
      <c r="J70" s="4" t="s">
        <v>320</v>
      </c>
      <c r="K70" s="4" t="s">
        <v>327</v>
      </c>
      <c r="L70" s="4" t="s">
        <v>322</v>
      </c>
      <c r="M70" s="4" t="s">
        <v>334</v>
      </c>
      <c r="N70" s="4" t="s">
        <v>324</v>
      </c>
      <c r="O70" s="4" t="s">
        <v>319</v>
      </c>
      <c r="P70" s="5" t="e">
        <f>VLOOKUP(B70,Import!A$1:B$20000,2,FALSE)</f>
        <v>#N/A</v>
      </c>
      <c r="Q70" s="6" t="s">
        <v>455</v>
      </c>
      <c r="R70" s="9" t="e">
        <f>VLOOKUP(S70,Import!A$1:B$20000,2,FALSE)</f>
        <v>#N/A</v>
      </c>
      <c r="S70" s="10" t="str">
        <f t="shared" si="2"/>
        <v>3_A_P1G_X_X_X_1E_N_SEK_B_A</v>
      </c>
      <c r="T70" s="4">
        <v>1000</v>
      </c>
    </row>
    <row r="71" spans="1:20" ht="12">
      <c r="A71" s="7">
        <f>IF(ISBLANK(Inm_13444),"",$T$71*Inm_13444)</f>
      </c>
      <c r="B71" s="7">
        <v>13444</v>
      </c>
      <c r="C71" s="8" t="s">
        <v>332</v>
      </c>
      <c r="D71" s="90" t="s">
        <v>1070</v>
      </c>
      <c r="E71" s="4">
        <v>3</v>
      </c>
      <c r="F71" s="4" t="s">
        <v>319</v>
      </c>
      <c r="G71" s="4" t="s">
        <v>333</v>
      </c>
      <c r="H71" s="4" t="s">
        <v>320</v>
      </c>
      <c r="I71" s="4" t="s">
        <v>320</v>
      </c>
      <c r="J71" s="4" t="s">
        <v>320</v>
      </c>
      <c r="K71" s="4" t="s">
        <v>329</v>
      </c>
      <c r="L71" s="4" t="s">
        <v>322</v>
      </c>
      <c r="M71" s="4" t="s">
        <v>334</v>
      </c>
      <c r="N71" s="4" t="s">
        <v>324</v>
      </c>
      <c r="O71" s="4" t="s">
        <v>319</v>
      </c>
      <c r="P71" s="5" t="e">
        <f>VLOOKUP(B71,Import!A$1:B$20000,2,FALSE)</f>
        <v>#N/A</v>
      </c>
      <c r="Q71" s="6" t="s">
        <v>455</v>
      </c>
      <c r="R71" s="9" t="e">
        <f>VLOOKUP(S71,Import!A$1:B$20000,2,FALSE)</f>
        <v>#N/A</v>
      </c>
      <c r="S71" s="10" t="str">
        <f t="shared" si="2"/>
        <v>3_A_P1G_X_X_X_3P_N_SEK_B_A</v>
      </c>
      <c r="T71" s="4">
        <v>1000</v>
      </c>
    </row>
    <row r="72" spans="1:20" ht="12">
      <c r="A72" s="7">
        <f>IF(ISBLANK(Inm_13509),"",$T$72*Inm_13509)</f>
      </c>
      <c r="B72" s="7">
        <v>13509</v>
      </c>
      <c r="C72" s="8" t="s">
        <v>332</v>
      </c>
      <c r="D72" s="90" t="s">
        <v>1071</v>
      </c>
      <c r="E72" s="4">
        <v>3</v>
      </c>
      <c r="F72" s="4" t="s">
        <v>319</v>
      </c>
      <c r="G72" s="4" t="s">
        <v>333</v>
      </c>
      <c r="H72" s="4" t="s">
        <v>320</v>
      </c>
      <c r="I72" s="4" t="s">
        <v>320</v>
      </c>
      <c r="J72" s="4" t="s">
        <v>320</v>
      </c>
      <c r="K72" s="4" t="s">
        <v>327</v>
      </c>
      <c r="L72" s="4" t="s">
        <v>322</v>
      </c>
      <c r="M72" s="4" t="s">
        <v>335</v>
      </c>
      <c r="N72" s="4" t="s">
        <v>324</v>
      </c>
      <c r="O72" s="4" t="s">
        <v>319</v>
      </c>
      <c r="P72" s="5" t="e">
        <f>VLOOKUP(B72,Import!A$1:B$20000,2,FALSE)</f>
        <v>#N/A</v>
      </c>
      <c r="Q72" s="6" t="s">
        <v>455</v>
      </c>
      <c r="R72" s="9" t="e">
        <f>VLOOKUP(S72,Import!A$1:B$20000,2,FALSE)</f>
        <v>#N/A</v>
      </c>
      <c r="S72" s="10" t="str">
        <f t="shared" si="2"/>
        <v>3_A_P1G_X_X_X_1E_N_VU_B_A</v>
      </c>
      <c r="T72" s="4">
        <v>1000</v>
      </c>
    </row>
    <row r="73" spans="1:20" ht="12">
      <c r="A73" s="7">
        <f>IF(ISBLANK(Inm_13508),"",$T$73*Inm_13508)</f>
      </c>
      <c r="B73" s="7">
        <v>13508</v>
      </c>
      <c r="C73" s="8" t="s">
        <v>332</v>
      </c>
      <c r="D73" s="90" t="s">
        <v>1072</v>
      </c>
      <c r="E73" s="4">
        <v>3</v>
      </c>
      <c r="F73" s="4" t="s">
        <v>319</v>
      </c>
      <c r="G73" s="4" t="s">
        <v>333</v>
      </c>
      <c r="H73" s="4" t="s">
        <v>320</v>
      </c>
      <c r="I73" s="4" t="s">
        <v>320</v>
      </c>
      <c r="J73" s="4" t="s">
        <v>320</v>
      </c>
      <c r="K73" s="4" t="s">
        <v>329</v>
      </c>
      <c r="L73" s="4" t="s">
        <v>322</v>
      </c>
      <c r="M73" s="4" t="s">
        <v>335</v>
      </c>
      <c r="N73" s="4" t="s">
        <v>324</v>
      </c>
      <c r="O73" s="4" t="s">
        <v>319</v>
      </c>
      <c r="P73" s="5" t="e">
        <f>VLOOKUP(B73,Import!A$1:B$20000,2,FALSE)</f>
        <v>#N/A</v>
      </c>
      <c r="Q73" s="6" t="s">
        <v>455</v>
      </c>
      <c r="R73" s="9" t="e">
        <f>VLOOKUP(S73,Import!A$1:B$20000,2,FALSE)</f>
        <v>#N/A</v>
      </c>
      <c r="S73" s="10" t="str">
        <f t="shared" si="2"/>
        <v>3_A_P1G_X_X_X_3P_N_VU_B_A</v>
      </c>
      <c r="T73" s="4">
        <v>1000</v>
      </c>
    </row>
    <row r="74" spans="1:20" ht="12">
      <c r="A74" s="7">
        <f>IF(ISBLANK(Inm_13500),"",$T$74*Inm_13500)</f>
      </c>
      <c r="B74" s="7">
        <v>13500</v>
      </c>
      <c r="C74" s="8" t="s">
        <v>332</v>
      </c>
      <c r="D74" s="90" t="s">
        <v>1073</v>
      </c>
      <c r="E74" s="4">
        <v>3</v>
      </c>
      <c r="F74" s="4" t="s">
        <v>319</v>
      </c>
      <c r="G74" s="4" t="s">
        <v>333</v>
      </c>
      <c r="H74" s="4" t="s">
        <v>320</v>
      </c>
      <c r="I74" s="4" t="s">
        <v>320</v>
      </c>
      <c r="J74" s="4" t="s">
        <v>320</v>
      </c>
      <c r="K74" s="4" t="s">
        <v>321</v>
      </c>
      <c r="L74" s="4" t="s">
        <v>322</v>
      </c>
      <c r="M74" s="4" t="s">
        <v>323</v>
      </c>
      <c r="N74" s="4" t="s">
        <v>324</v>
      </c>
      <c r="O74" s="4" t="s">
        <v>319</v>
      </c>
      <c r="P74" s="5" t="e">
        <f>VLOOKUP(B74,Import!A$1:B$20000,2,FALSE)</f>
        <v>#N/A</v>
      </c>
      <c r="Q74" s="6" t="s">
        <v>455</v>
      </c>
      <c r="R74" s="9" t="e">
        <f>VLOOKUP(S74,Import!A$1:B$20000,2,FALSE)</f>
        <v>#N/A</v>
      </c>
      <c r="S74" s="10" t="str">
        <f t="shared" si="2"/>
        <v>3_A_P1G_X_X_X_5J_N_V_B_A</v>
      </c>
      <c r="T74" s="4">
        <v>1000</v>
      </c>
    </row>
    <row r="75" spans="1:20" ht="12">
      <c r="A75" s="7">
        <f>IF(ISBLANK(Inm_17893),"",$T$75*Inm_17893)</f>
      </c>
      <c r="B75" s="7">
        <v>17893</v>
      </c>
      <c r="C75" s="8" t="s">
        <v>1074</v>
      </c>
      <c r="D75" s="90" t="s">
        <v>1075</v>
      </c>
      <c r="E75" s="4">
        <v>3</v>
      </c>
      <c r="F75" s="4" t="s">
        <v>319</v>
      </c>
      <c r="G75" s="4" t="s">
        <v>333</v>
      </c>
      <c r="H75" s="4" t="s">
        <v>320</v>
      </c>
      <c r="I75" s="4" t="s">
        <v>320</v>
      </c>
      <c r="J75" s="4" t="s">
        <v>320</v>
      </c>
      <c r="K75" s="4" t="s">
        <v>327</v>
      </c>
      <c r="L75" s="4" t="s">
        <v>370</v>
      </c>
      <c r="M75" s="4" t="s">
        <v>323</v>
      </c>
      <c r="N75" s="4" t="s">
        <v>324</v>
      </c>
      <c r="O75" s="4" t="s">
        <v>319</v>
      </c>
      <c r="P75" s="5" t="e">
        <f>VLOOKUP(B75,Import!A$1:B$20000,2,FALSE)</f>
        <v>#N/A</v>
      </c>
      <c r="Q75" s="6" t="s">
        <v>455</v>
      </c>
      <c r="R75" s="9" t="e">
        <f>VLOOKUP(S75,Import!A$1:B$20000,2,FALSE)</f>
        <v>#N/A</v>
      </c>
      <c r="S75" s="10" t="str">
        <f t="shared" si="2"/>
        <v>3_A_P1G_X_X_X_1E_N21_V_B_A</v>
      </c>
      <c r="T75" s="4">
        <v>1000</v>
      </c>
    </row>
    <row r="76" spans="1:20" ht="12">
      <c r="A76" s="7">
        <f>IF(ISBLANK(Inm_11149),"",$T$76*Inm_11149)</f>
      </c>
      <c r="B76" s="7">
        <v>11149</v>
      </c>
      <c r="C76" s="8" t="s">
        <v>1074</v>
      </c>
      <c r="D76" s="90" t="s">
        <v>1076</v>
      </c>
      <c r="E76" s="4">
        <v>5</v>
      </c>
      <c r="F76" s="4" t="s">
        <v>319</v>
      </c>
      <c r="G76" s="4" t="s">
        <v>333</v>
      </c>
      <c r="H76" s="4" t="s">
        <v>320</v>
      </c>
      <c r="I76" s="4" t="s">
        <v>320</v>
      </c>
      <c r="J76" s="4" t="s">
        <v>320</v>
      </c>
      <c r="K76" s="4" t="s">
        <v>327</v>
      </c>
      <c r="L76" s="4" t="s">
        <v>370</v>
      </c>
      <c r="M76" s="4" t="s">
        <v>323</v>
      </c>
      <c r="N76" s="4" t="s">
        <v>325</v>
      </c>
      <c r="O76" s="4" t="s">
        <v>319</v>
      </c>
      <c r="P76" s="5" t="e">
        <f>VLOOKUP(B76,Import!A$1:B$20000,2,FALSE)</f>
        <v>#N/A</v>
      </c>
      <c r="Q76" s="6" t="s">
        <v>455</v>
      </c>
      <c r="R76" s="9" t="e">
        <f>VLOOKUP(S76,Import!A$1:B$20000,2,FALSE)</f>
        <v>#N/A</v>
      </c>
      <c r="S76" s="10" t="str">
        <f t="shared" si="2"/>
        <v>5_A_P1G_X_X_X_1E_N21_V_M_A</v>
      </c>
      <c r="T76" s="4">
        <v>1000</v>
      </c>
    </row>
    <row r="77" spans="1:20" ht="12">
      <c r="A77" s="7">
        <f>IF(ISBLANK(Inm_13486),"",$T$77*Inm_13486)</f>
      </c>
      <c r="B77" s="7">
        <v>13486</v>
      </c>
      <c r="C77" s="8" t="s">
        <v>336</v>
      </c>
      <c r="D77" s="90" t="s">
        <v>1077</v>
      </c>
      <c r="E77" s="4">
        <v>3</v>
      </c>
      <c r="F77" s="4" t="s">
        <v>319</v>
      </c>
      <c r="G77" s="4" t="s">
        <v>333</v>
      </c>
      <c r="H77" s="4" t="s">
        <v>320</v>
      </c>
      <c r="I77" s="4" t="s">
        <v>320</v>
      </c>
      <c r="J77" s="4" t="s">
        <v>320</v>
      </c>
      <c r="K77" s="4" t="s">
        <v>327</v>
      </c>
      <c r="L77" s="4" t="s">
        <v>337</v>
      </c>
      <c r="M77" s="4" t="s">
        <v>323</v>
      </c>
      <c r="N77" s="4" t="s">
        <v>324</v>
      </c>
      <c r="O77" s="4" t="s">
        <v>319</v>
      </c>
      <c r="P77" s="5" t="e">
        <f>VLOOKUP(B77,Import!A$1:B$20000,2,FALSE)</f>
        <v>#N/A</v>
      </c>
      <c r="Q77" s="6" t="s">
        <v>455</v>
      </c>
      <c r="R77" s="9" t="e">
        <f>VLOOKUP(S77,Import!A$1:B$20000,2,FALSE)</f>
        <v>#N/A</v>
      </c>
      <c r="S77" s="10" t="str">
        <f t="shared" si="2"/>
        <v>3_A_P1G_X_X_X_1E_N23_V_B_A</v>
      </c>
      <c r="T77" s="4">
        <v>1000</v>
      </c>
    </row>
    <row r="78" spans="1:20" ht="12">
      <c r="A78" s="7">
        <f>IF(ISBLANK(Inm_13479),"",$T$78*Inm_13479)</f>
      </c>
      <c r="B78" s="7">
        <v>13479</v>
      </c>
      <c r="C78" s="8" t="s">
        <v>343</v>
      </c>
      <c r="D78" s="90" t="s">
        <v>1078</v>
      </c>
      <c r="E78" s="4">
        <v>3</v>
      </c>
      <c r="F78" s="4" t="s">
        <v>319</v>
      </c>
      <c r="G78" s="4" t="s">
        <v>333</v>
      </c>
      <c r="H78" s="4" t="s">
        <v>320</v>
      </c>
      <c r="I78" s="4" t="s">
        <v>320</v>
      </c>
      <c r="J78" s="4" t="s">
        <v>320</v>
      </c>
      <c r="K78" s="4" t="s">
        <v>327</v>
      </c>
      <c r="L78" s="4" t="s">
        <v>344</v>
      </c>
      <c r="M78" s="4" t="s">
        <v>323</v>
      </c>
      <c r="N78" s="4" t="s">
        <v>324</v>
      </c>
      <c r="O78" s="4" t="s">
        <v>319</v>
      </c>
      <c r="P78" s="5" t="e">
        <f>VLOOKUP(B78,Import!A$1:B$20000,2,FALSE)</f>
        <v>#N/A</v>
      </c>
      <c r="Q78" s="6" t="s">
        <v>455</v>
      </c>
      <c r="R78" s="9" t="e">
        <f>VLOOKUP(S78,Import!A$1:B$20000,2,FALSE)</f>
        <v>#N/A</v>
      </c>
      <c r="S78" s="10" t="str">
        <f t="shared" si="2"/>
        <v>3_A_P1G_X_X_X_1E_N11_V_B_A</v>
      </c>
      <c r="T78" s="4">
        <v>1000</v>
      </c>
    </row>
    <row r="79" spans="1:20" ht="12">
      <c r="A79" s="7">
        <f>IF(ISBLANK(Inm_13485),"",$T$79*Inm_13485)</f>
      </c>
      <c r="B79" s="7">
        <v>13485</v>
      </c>
      <c r="C79" s="8" t="s">
        <v>338</v>
      </c>
      <c r="D79" s="90" t="s">
        <v>1079</v>
      </c>
      <c r="E79" s="4">
        <v>3</v>
      </c>
      <c r="F79" s="4" t="s">
        <v>319</v>
      </c>
      <c r="G79" s="4" t="s">
        <v>333</v>
      </c>
      <c r="H79" s="4" t="s">
        <v>320</v>
      </c>
      <c r="I79" s="4" t="s">
        <v>320</v>
      </c>
      <c r="J79" s="4" t="s">
        <v>320</v>
      </c>
      <c r="K79" s="4" t="s">
        <v>327</v>
      </c>
      <c r="L79" s="4" t="s">
        <v>328</v>
      </c>
      <c r="M79" s="4" t="s">
        <v>323</v>
      </c>
      <c r="N79" s="4" t="s">
        <v>324</v>
      </c>
      <c r="O79" s="4" t="s">
        <v>319</v>
      </c>
      <c r="P79" s="5" t="e">
        <f>VLOOKUP(B79,Import!A$1:B$20000,2,FALSE)</f>
        <v>#N/A</v>
      </c>
      <c r="Q79" s="6" t="s">
        <v>455</v>
      </c>
      <c r="R79" s="9" t="e">
        <f>VLOOKUP(S79,Import!A$1:B$20000,2,FALSE)</f>
        <v>#N/A</v>
      </c>
      <c r="S79" s="10" t="str">
        <f t="shared" si="2"/>
        <v>3_A_P1G_X_X_X_1E_N1211121_V_B_A</v>
      </c>
      <c r="T79" s="4">
        <v>1000</v>
      </c>
    </row>
    <row r="80" spans="1:20" ht="12">
      <c r="A80" s="7">
        <f>IF(ISBLANK(Inm_13483),"",$T$80*Inm_13483)</f>
      </c>
      <c r="B80" s="7">
        <v>13483</v>
      </c>
      <c r="C80" s="8" t="s">
        <v>339</v>
      </c>
      <c r="D80" s="90" t="s">
        <v>1080</v>
      </c>
      <c r="E80" s="4">
        <v>3</v>
      </c>
      <c r="F80" s="4" t="s">
        <v>319</v>
      </c>
      <c r="G80" s="4" t="s">
        <v>333</v>
      </c>
      <c r="H80" s="4" t="s">
        <v>320</v>
      </c>
      <c r="I80" s="4" t="s">
        <v>320</v>
      </c>
      <c r="J80" s="4" t="s">
        <v>320</v>
      </c>
      <c r="K80" s="4" t="s">
        <v>327</v>
      </c>
      <c r="L80" s="4" t="s">
        <v>340</v>
      </c>
      <c r="M80" s="4" t="s">
        <v>323</v>
      </c>
      <c r="N80" s="4" t="s">
        <v>324</v>
      </c>
      <c r="O80" s="4" t="s">
        <v>319</v>
      </c>
      <c r="P80" s="5" t="e">
        <f>VLOOKUP(B80,Import!A$1:B$20000,2,FALSE)</f>
        <v>#N/A</v>
      </c>
      <c r="Q80" s="6" t="s">
        <v>455</v>
      </c>
      <c r="R80" s="9" t="e">
        <f>VLOOKUP(S80,Import!A$1:B$20000,2,FALSE)</f>
        <v>#N/A</v>
      </c>
      <c r="S80" s="10" t="str">
        <f t="shared" si="2"/>
        <v>3_A_P1G_X_X_X_1E_N121121_V_B_A</v>
      </c>
      <c r="T80" s="4">
        <v>1000</v>
      </c>
    </row>
    <row r="81" spans="1:20" ht="12">
      <c r="A81" s="7">
        <f>IF(ISBLANK(Inm_13482),"",$T$81*Inm_13482)</f>
      </c>
      <c r="B81" s="7">
        <v>13482</v>
      </c>
      <c r="C81" s="8" t="s">
        <v>341</v>
      </c>
      <c r="D81" s="90" t="s">
        <v>1081</v>
      </c>
      <c r="E81" s="4">
        <v>3</v>
      </c>
      <c r="F81" s="4" t="s">
        <v>319</v>
      </c>
      <c r="G81" s="4" t="s">
        <v>333</v>
      </c>
      <c r="H81" s="4" t="s">
        <v>320</v>
      </c>
      <c r="I81" s="4" t="s">
        <v>320</v>
      </c>
      <c r="J81" s="4" t="s">
        <v>320</v>
      </c>
      <c r="K81" s="4" t="s">
        <v>327</v>
      </c>
      <c r="L81" s="4" t="s">
        <v>342</v>
      </c>
      <c r="M81" s="4" t="s">
        <v>323</v>
      </c>
      <c r="N81" s="4" t="s">
        <v>324</v>
      </c>
      <c r="O81" s="4" t="s">
        <v>319</v>
      </c>
      <c r="P81" s="5" t="e">
        <f>VLOOKUP(B81,Import!A$1:B$20000,2,FALSE)</f>
        <v>#N/A</v>
      </c>
      <c r="Q81" s="6" t="s">
        <v>455</v>
      </c>
      <c r="R81" s="9" t="e">
        <f>VLOOKUP(S81,Import!A$1:B$20000,2,FALSE)</f>
        <v>#N/A</v>
      </c>
      <c r="S81" s="10" t="str">
        <f t="shared" si="2"/>
        <v>3_A_P1G_X_X_X_1E_N121122_V_B_A</v>
      </c>
      <c r="T81" s="4">
        <v>1000</v>
      </c>
    </row>
    <row r="82" spans="1:20" ht="12">
      <c r="A82" s="7">
        <f>IF(ISBLANK(Inm_16261),"",$T$82*Inm_16261)</f>
      </c>
      <c r="B82" s="7">
        <v>16261</v>
      </c>
      <c r="C82" s="8" t="s">
        <v>1082</v>
      </c>
      <c r="D82" s="90" t="s">
        <v>1083</v>
      </c>
      <c r="E82" s="4">
        <v>3</v>
      </c>
      <c r="F82" s="4" t="s">
        <v>319</v>
      </c>
      <c r="G82" s="4" t="s">
        <v>333</v>
      </c>
      <c r="H82" s="4" t="s">
        <v>320</v>
      </c>
      <c r="I82" s="4" t="s">
        <v>320</v>
      </c>
      <c r="J82" s="4" t="s">
        <v>320</v>
      </c>
      <c r="K82" s="4" t="s">
        <v>327</v>
      </c>
      <c r="L82" s="4" t="s">
        <v>998</v>
      </c>
      <c r="M82" s="4" t="s">
        <v>323</v>
      </c>
      <c r="N82" s="4" t="s">
        <v>324</v>
      </c>
      <c r="O82" s="4" t="s">
        <v>319</v>
      </c>
      <c r="P82" s="5" t="e">
        <f>VLOOKUP(B82,Import!A$1:B$20000,2,FALSE)</f>
        <v>#N/A</v>
      </c>
      <c r="Q82" s="6" t="s">
        <v>455</v>
      </c>
      <c r="R82" s="9" t="e">
        <f>VLOOKUP(S82,Import!A$1:B$20000,2,FALSE)</f>
        <v>#N/A</v>
      </c>
      <c r="S82" s="10" t="str">
        <f t="shared" si="2"/>
        <v>3_A_P1G_X_X_X_1E_N122_V_B_A</v>
      </c>
      <c r="T82" s="4">
        <v>1000</v>
      </c>
    </row>
    <row r="83" spans="1:20" ht="12">
      <c r="A83" s="7">
        <f>IF(ISBLANK(Inm_16259),"",$T$83*Inm_16259)</f>
      </c>
      <c r="B83" s="7">
        <v>16259</v>
      </c>
      <c r="C83" s="8" t="s">
        <v>1082</v>
      </c>
      <c r="D83" s="90" t="s">
        <v>1084</v>
      </c>
      <c r="E83" s="4">
        <v>5</v>
      </c>
      <c r="F83" s="4" t="s">
        <v>319</v>
      </c>
      <c r="G83" s="4" t="s">
        <v>333</v>
      </c>
      <c r="H83" s="4" t="s">
        <v>320</v>
      </c>
      <c r="I83" s="4" t="s">
        <v>320</v>
      </c>
      <c r="J83" s="4" t="s">
        <v>320</v>
      </c>
      <c r="K83" s="4" t="s">
        <v>327</v>
      </c>
      <c r="L83" s="4" t="s">
        <v>998</v>
      </c>
      <c r="M83" s="4" t="s">
        <v>323</v>
      </c>
      <c r="N83" s="4" t="s">
        <v>325</v>
      </c>
      <c r="O83" s="4" t="s">
        <v>319</v>
      </c>
      <c r="P83" s="5" t="e">
        <f>VLOOKUP(B83,Import!A$1:B$20000,2,FALSE)</f>
        <v>#N/A</v>
      </c>
      <c r="Q83" s="6" t="s">
        <v>455</v>
      </c>
      <c r="R83" s="9" t="e">
        <f>VLOOKUP(S83,Import!A$1:B$20000,2,FALSE)</f>
        <v>#N/A</v>
      </c>
      <c r="S83" s="10" t="str">
        <f t="shared" si="2"/>
        <v>5_A_P1G_X_X_X_1E_N122_V_M_A</v>
      </c>
      <c r="T83" s="4">
        <v>1000</v>
      </c>
    </row>
    <row r="84" spans="1:20" ht="12">
      <c r="A84" s="7">
        <f>IF(ISBLANK(Inm_13488),"",$T$84*Inm_13488)</f>
      </c>
      <c r="B84" s="7">
        <v>13488</v>
      </c>
      <c r="C84" s="8" t="s">
        <v>345</v>
      </c>
      <c r="D84" s="90" t="s">
        <v>1085</v>
      </c>
      <c r="E84" s="4">
        <v>3</v>
      </c>
      <c r="F84" s="4" t="s">
        <v>319</v>
      </c>
      <c r="G84" s="4" t="s">
        <v>333</v>
      </c>
      <c r="H84" s="4" t="s">
        <v>320</v>
      </c>
      <c r="I84" s="4" t="s">
        <v>320</v>
      </c>
      <c r="J84" s="4" t="s">
        <v>320</v>
      </c>
      <c r="K84" s="4" t="s">
        <v>327</v>
      </c>
      <c r="L84" s="4" t="s">
        <v>346</v>
      </c>
      <c r="M84" s="4" t="s">
        <v>323</v>
      </c>
      <c r="N84" s="4" t="s">
        <v>324</v>
      </c>
      <c r="O84" s="4" t="s">
        <v>319</v>
      </c>
      <c r="P84" s="5" t="e">
        <f>VLOOKUP(B84,Import!A$1:B$20000,2,FALSE)</f>
        <v>#N/A</v>
      </c>
      <c r="Q84" s="6" t="s">
        <v>455</v>
      </c>
      <c r="R84" s="9" t="e">
        <f>VLOOKUP(S84,Import!A$1:B$20000,2,FALSE)</f>
        <v>#N/A</v>
      </c>
      <c r="S84" s="10" t="str">
        <f t="shared" si="2"/>
        <v>3_A_P1G_X_X_X_1E_NXX_V_B_A</v>
      </c>
      <c r="T84" s="4">
        <v>1000</v>
      </c>
    </row>
    <row r="85" spans="1:20" ht="12">
      <c r="A85" s="7">
        <f>IF(ISBLANK(Inm_13487),"",$T$85*Inm_13487)</f>
      </c>
      <c r="B85" s="7">
        <v>13487</v>
      </c>
      <c r="C85" s="8" t="s">
        <v>332</v>
      </c>
      <c r="D85" s="90" t="s">
        <v>1086</v>
      </c>
      <c r="E85" s="4">
        <v>3</v>
      </c>
      <c r="F85" s="4" t="s">
        <v>319</v>
      </c>
      <c r="G85" s="4" t="s">
        <v>333</v>
      </c>
      <c r="H85" s="4" t="s">
        <v>320</v>
      </c>
      <c r="I85" s="4" t="s">
        <v>320</v>
      </c>
      <c r="J85" s="4" t="s">
        <v>320</v>
      </c>
      <c r="K85" s="4" t="s">
        <v>327</v>
      </c>
      <c r="L85" s="4" t="s">
        <v>322</v>
      </c>
      <c r="M85" s="4" t="s">
        <v>323</v>
      </c>
      <c r="N85" s="4" t="s">
        <v>324</v>
      </c>
      <c r="O85" s="4" t="s">
        <v>319</v>
      </c>
      <c r="P85" s="5" t="e">
        <f>VLOOKUP(B85,Import!A$1:B$20000,2,FALSE)</f>
        <v>#N/A</v>
      </c>
      <c r="Q85" s="6" t="s">
        <v>455</v>
      </c>
      <c r="R85" s="9" t="e">
        <f>VLOOKUP(S85,Import!A$1:B$20000,2,FALSE)</f>
        <v>#N/A</v>
      </c>
      <c r="S85" s="10" t="str">
        <f t="shared" si="2"/>
        <v>3_A_P1G_X_X_X_1E_N_V_B_A</v>
      </c>
      <c r="T85" s="4">
        <v>1000</v>
      </c>
    </row>
    <row r="86" spans="1:20" ht="12">
      <c r="A86" s="7">
        <f>IF(ISBLANK(Inm_13490),"",$T$86*Inm_13490)</f>
      </c>
      <c r="B86" s="7">
        <v>13490</v>
      </c>
      <c r="C86" s="8" t="s">
        <v>330</v>
      </c>
      <c r="D86" s="90" t="s">
        <v>1087</v>
      </c>
      <c r="E86" s="4">
        <v>3</v>
      </c>
      <c r="F86" s="4" t="s">
        <v>319</v>
      </c>
      <c r="G86" s="4" t="s">
        <v>331</v>
      </c>
      <c r="H86" s="4" t="s">
        <v>320</v>
      </c>
      <c r="I86" s="4" t="s">
        <v>320</v>
      </c>
      <c r="J86" s="4" t="s">
        <v>320</v>
      </c>
      <c r="K86" s="4" t="s">
        <v>327</v>
      </c>
      <c r="L86" s="4" t="s">
        <v>322</v>
      </c>
      <c r="M86" s="4" t="s">
        <v>323</v>
      </c>
      <c r="N86" s="4" t="s">
        <v>324</v>
      </c>
      <c r="O86" s="4" t="s">
        <v>319</v>
      </c>
      <c r="P86" s="5" t="e">
        <f>VLOOKUP(B86,Import!A$1:B$20000,2,FALSE)</f>
        <v>#N/A</v>
      </c>
      <c r="Q86" s="6" t="s">
        <v>455</v>
      </c>
      <c r="R86" s="9" t="e">
        <f>VLOOKUP(S86,Import!A$1:B$20000,2,FALSE)</f>
        <v>#N/A</v>
      </c>
      <c r="S86" s="10" t="str">
        <f t="shared" si="2"/>
        <v>3_A_P1H_X_X_X_1E_N_V_B_A</v>
      </c>
      <c r="T86" s="4">
        <v>1000</v>
      </c>
    </row>
    <row r="87" spans="1:20" ht="12">
      <c r="A87" s="7">
        <f>IF(ISBLANK(Inm_13492),"",$T$87*Inm_13492)</f>
      </c>
      <c r="B87" s="7">
        <v>13492</v>
      </c>
      <c r="C87" s="8" t="s">
        <v>330</v>
      </c>
      <c r="D87" s="90" t="s">
        <v>1088</v>
      </c>
      <c r="E87" s="4">
        <v>3</v>
      </c>
      <c r="F87" s="4" t="s">
        <v>319</v>
      </c>
      <c r="G87" s="4" t="s">
        <v>331</v>
      </c>
      <c r="H87" s="4" t="s">
        <v>320</v>
      </c>
      <c r="I87" s="4" t="s">
        <v>320</v>
      </c>
      <c r="J87" s="4" t="s">
        <v>320</v>
      </c>
      <c r="K87" s="4" t="s">
        <v>329</v>
      </c>
      <c r="L87" s="4" t="s">
        <v>322</v>
      </c>
      <c r="M87" s="4" t="s">
        <v>323</v>
      </c>
      <c r="N87" s="4" t="s">
        <v>324</v>
      </c>
      <c r="O87" s="4" t="s">
        <v>319</v>
      </c>
      <c r="P87" s="5" t="e">
        <f>VLOOKUP(B87,Import!A$1:B$20000,2,FALSE)</f>
        <v>#N/A</v>
      </c>
      <c r="Q87" s="6" t="s">
        <v>455</v>
      </c>
      <c r="R87" s="9" t="e">
        <f>VLOOKUP(S87,Import!A$1:B$20000,2,FALSE)</f>
        <v>#N/A</v>
      </c>
      <c r="S87" s="10" t="str">
        <f t="shared" si="2"/>
        <v>3_A_P1H_X_X_X_3P_N_V_B_A</v>
      </c>
      <c r="T87" s="4">
        <v>1000</v>
      </c>
    </row>
    <row r="88" spans="1:20" ht="12">
      <c r="A88" s="7">
        <f>IF(ISBLANK(Inm_13499),"",$T$88*Inm_13499)</f>
      </c>
      <c r="B88" s="7">
        <v>13499</v>
      </c>
      <c r="C88" s="8" t="s">
        <v>330</v>
      </c>
      <c r="D88" s="90" t="s">
        <v>1089</v>
      </c>
      <c r="E88" s="4">
        <v>3</v>
      </c>
      <c r="F88" s="4" t="s">
        <v>319</v>
      </c>
      <c r="G88" s="4" t="s">
        <v>331</v>
      </c>
      <c r="H88" s="4" t="s">
        <v>320</v>
      </c>
      <c r="I88" s="4" t="s">
        <v>320</v>
      </c>
      <c r="J88" s="4" t="s">
        <v>320</v>
      </c>
      <c r="K88" s="4" t="s">
        <v>321</v>
      </c>
      <c r="L88" s="4" t="s">
        <v>322</v>
      </c>
      <c r="M88" s="4" t="s">
        <v>323</v>
      </c>
      <c r="N88" s="4" t="s">
        <v>324</v>
      </c>
      <c r="O88" s="4" t="s">
        <v>319</v>
      </c>
      <c r="P88" s="5" t="e">
        <f>VLOOKUP(B88,Import!A$1:B$20000,2,FALSE)</f>
        <v>#N/A</v>
      </c>
      <c r="Q88" s="6" t="s">
        <v>455</v>
      </c>
      <c r="R88" s="9" t="e">
        <f>VLOOKUP(S88,Import!A$1:B$20000,2,FALSE)</f>
        <v>#N/A</v>
      </c>
      <c r="S88" s="10" t="str">
        <f t="shared" si="2"/>
        <v>3_A_P1H_X_X_X_5J_N_V_B_A</v>
      </c>
      <c r="T88" s="4">
        <v>1000</v>
      </c>
    </row>
    <row r="89" spans="1:20" ht="12">
      <c r="A89" s="7">
        <f>IF(ISBLANK(Inm_17919),"",$T$89*Inm_17919)</f>
      </c>
      <c r="B89" s="7">
        <v>17919</v>
      </c>
      <c r="C89" s="8" t="s">
        <v>330</v>
      </c>
      <c r="D89" s="90" t="s">
        <v>1090</v>
      </c>
      <c r="E89" s="4">
        <v>5</v>
      </c>
      <c r="F89" s="4" t="s">
        <v>319</v>
      </c>
      <c r="G89" s="4" t="s">
        <v>331</v>
      </c>
      <c r="H89" s="4" t="s">
        <v>320</v>
      </c>
      <c r="I89" s="4" t="s">
        <v>1091</v>
      </c>
      <c r="J89" s="4" t="s">
        <v>320</v>
      </c>
      <c r="K89" s="4" t="s">
        <v>321</v>
      </c>
      <c r="L89" s="4" t="s">
        <v>322</v>
      </c>
      <c r="M89" s="4" t="s">
        <v>323</v>
      </c>
      <c r="N89" s="4" t="s">
        <v>325</v>
      </c>
      <c r="O89" s="4" t="s">
        <v>319</v>
      </c>
      <c r="P89" s="5" t="e">
        <f>VLOOKUP(B89,Import!A$1:B$20000,2,FALSE)</f>
        <v>#N/A</v>
      </c>
      <c r="Q89" s="6" t="s">
        <v>455</v>
      </c>
      <c r="R89" s="9" t="e">
        <f>VLOOKUP(S89,Import!A$1:B$20000,2,FALSE)</f>
        <v>#N/A</v>
      </c>
      <c r="S89" s="10" t="str">
        <f t="shared" si="2"/>
        <v>5_A_P1H_X_KF_X_5J_N_V_M_A</v>
      </c>
      <c r="T89" s="4">
        <v>1000</v>
      </c>
    </row>
    <row r="90" spans="1:20" ht="12">
      <c r="A90" s="7">
        <f>IF(ISBLANK(Inm_17923),"",$T$90*Inm_17923)</f>
      </c>
      <c r="B90" s="7">
        <v>17923</v>
      </c>
      <c r="C90" s="8" t="s">
        <v>1092</v>
      </c>
      <c r="D90" s="90" t="s">
        <v>0</v>
      </c>
      <c r="E90" s="4">
        <v>5</v>
      </c>
      <c r="F90" s="4" t="s">
        <v>319</v>
      </c>
      <c r="G90" s="4" t="s">
        <v>1</v>
      </c>
      <c r="H90" s="4" t="s">
        <v>320</v>
      </c>
      <c r="I90" s="4" t="s">
        <v>320</v>
      </c>
      <c r="J90" s="4" t="s">
        <v>320</v>
      </c>
      <c r="K90" s="4" t="s">
        <v>321</v>
      </c>
      <c r="L90" s="4" t="s">
        <v>322</v>
      </c>
      <c r="M90" s="4" t="s">
        <v>323</v>
      </c>
      <c r="N90" s="4" t="s">
        <v>325</v>
      </c>
      <c r="O90" s="4" t="s">
        <v>319</v>
      </c>
      <c r="P90" s="5" t="e">
        <f>VLOOKUP(B90,Import!A$1:B$20000,2,FALSE)</f>
        <v>#N/A</v>
      </c>
      <c r="Q90" s="6" t="s">
        <v>455</v>
      </c>
      <c r="R90" s="9" t="e">
        <f>VLOOKUP(S90,Import!A$1:B$20000,2,FALSE)</f>
        <v>#N/A</v>
      </c>
      <c r="S90" s="10" t="str">
        <f t="shared" si="2"/>
        <v>5_A_P1K1_X_X_X_5J_N_V_M_A</v>
      </c>
      <c r="T90" s="4">
        <v>1000</v>
      </c>
    </row>
    <row r="91" spans="1:20" ht="12">
      <c r="A91" s="7">
        <f>IF(ISBLANK(Inm_17924),"",$T$91*Inm_17924)</f>
      </c>
      <c r="B91" s="7">
        <v>17924</v>
      </c>
      <c r="C91" s="8" t="s">
        <v>1092</v>
      </c>
      <c r="D91" s="90" t="s">
        <v>2</v>
      </c>
      <c r="E91" s="4">
        <v>5</v>
      </c>
      <c r="F91" s="4" t="s">
        <v>319</v>
      </c>
      <c r="G91" s="4" t="s">
        <v>3</v>
      </c>
      <c r="H91" s="4" t="s">
        <v>320</v>
      </c>
      <c r="I91" s="4" t="s">
        <v>320</v>
      </c>
      <c r="J91" s="4" t="s">
        <v>320</v>
      </c>
      <c r="K91" s="4" t="s">
        <v>321</v>
      </c>
      <c r="L91" s="4" t="s">
        <v>322</v>
      </c>
      <c r="M91" s="4" t="s">
        <v>323</v>
      </c>
      <c r="N91" s="4" t="s">
        <v>325</v>
      </c>
      <c r="O91" s="4" t="s">
        <v>319</v>
      </c>
      <c r="P91" s="5" t="e">
        <f>VLOOKUP(B91,Import!A$1:B$20000,2,FALSE)</f>
        <v>#N/A</v>
      </c>
      <c r="Q91" s="6" t="s">
        <v>455</v>
      </c>
      <c r="R91" s="9" t="e">
        <f>VLOOKUP(S91,Import!A$1:B$20000,2,FALSE)</f>
        <v>#N/A</v>
      </c>
      <c r="S91" s="10" t="str">
        <f t="shared" si="2"/>
        <v>5_A_P1K2_X_X_X_5J_N_V_M_A</v>
      </c>
      <c r="T91" s="4">
        <v>1000</v>
      </c>
    </row>
    <row r="92" spans="1:20" ht="12">
      <c r="A92" s="7">
        <f>IF(ISBLANK(Inm_17925),"",$T$92*Inm_17925)</f>
      </c>
      <c r="B92" s="7">
        <v>17925</v>
      </c>
      <c r="C92" s="8" t="s">
        <v>1092</v>
      </c>
      <c r="D92" s="90" t="s">
        <v>4</v>
      </c>
      <c r="E92" s="4">
        <v>5</v>
      </c>
      <c r="F92" s="4" t="s">
        <v>319</v>
      </c>
      <c r="G92" s="4" t="s">
        <v>5</v>
      </c>
      <c r="H92" s="4" t="s">
        <v>320</v>
      </c>
      <c r="I92" s="4" t="s">
        <v>320</v>
      </c>
      <c r="J92" s="4" t="s">
        <v>320</v>
      </c>
      <c r="K92" s="4" t="s">
        <v>321</v>
      </c>
      <c r="L92" s="4" t="s">
        <v>322</v>
      </c>
      <c r="M92" s="4" t="s">
        <v>323</v>
      </c>
      <c r="N92" s="4" t="s">
        <v>325</v>
      </c>
      <c r="O92" s="4" t="s">
        <v>319</v>
      </c>
      <c r="P92" s="5" t="e">
        <f>VLOOKUP(B92,Import!A$1:B$20000,2,FALSE)</f>
        <v>#N/A</v>
      </c>
      <c r="Q92" s="6" t="s">
        <v>455</v>
      </c>
      <c r="R92" s="9" t="e">
        <f>VLOOKUP(S92,Import!A$1:B$20000,2,FALSE)</f>
        <v>#N/A</v>
      </c>
      <c r="S92" s="10" t="str">
        <f aca="true" t="shared" si="3" ref="S92:S122">CONCATENATE(E92,"_",F92,"_",G92,"_",H92,"_",I92,"_",J92,"_",K92,"_",L92,"_",M92,"_",N92,"_",O92)</f>
        <v>5_A_P1K3_X_X_X_5J_N_V_M_A</v>
      </c>
      <c r="T92" s="4">
        <v>1000</v>
      </c>
    </row>
    <row r="93" spans="1:20" ht="12">
      <c r="A93" s="7">
        <f>IF(ISBLANK(Inm_17926),"",$T$93*Inm_17926)</f>
      </c>
      <c r="B93" s="7">
        <v>17926</v>
      </c>
      <c r="C93" s="8" t="s">
        <v>6</v>
      </c>
      <c r="D93" s="90" t="s">
        <v>7</v>
      </c>
      <c r="E93" s="4">
        <v>5</v>
      </c>
      <c r="F93" s="4" t="s">
        <v>319</v>
      </c>
      <c r="G93" s="4" t="s">
        <v>8</v>
      </c>
      <c r="H93" s="4" t="s">
        <v>320</v>
      </c>
      <c r="I93" s="4" t="s">
        <v>320</v>
      </c>
      <c r="J93" s="4" t="s">
        <v>320</v>
      </c>
      <c r="K93" s="4" t="s">
        <v>321</v>
      </c>
      <c r="L93" s="4" t="s">
        <v>322</v>
      </c>
      <c r="M93" s="4" t="s">
        <v>323</v>
      </c>
      <c r="N93" s="4" t="s">
        <v>325</v>
      </c>
      <c r="O93" s="4" t="s">
        <v>319</v>
      </c>
      <c r="P93" s="5" t="e">
        <f>VLOOKUP(B93,Import!A$1:B$20000,2,FALSE)</f>
        <v>#N/A</v>
      </c>
      <c r="Q93" s="6" t="s">
        <v>455</v>
      </c>
      <c r="R93" s="9" t="e">
        <f>VLOOKUP(S93,Import!A$1:B$20000,2,FALSE)</f>
        <v>#N/A</v>
      </c>
      <c r="S93" s="10" t="str">
        <f t="shared" si="3"/>
        <v>5_A_P1K4_X_X_X_5J_N_V_M_A</v>
      </c>
      <c r="T93" s="4">
        <v>1000</v>
      </c>
    </row>
    <row r="94" spans="1:20" ht="12">
      <c r="A94" s="7">
        <f>IF(ISBLANK(Inm_17896),"",$T$94*Inm_17896)</f>
      </c>
      <c r="B94" s="7">
        <v>17896</v>
      </c>
      <c r="C94" s="8" t="s">
        <v>394</v>
      </c>
      <c r="D94" s="90" t="s">
        <v>9</v>
      </c>
      <c r="E94" s="4">
        <v>3</v>
      </c>
      <c r="F94" s="4" t="s">
        <v>319</v>
      </c>
      <c r="G94" s="4" t="s">
        <v>398</v>
      </c>
      <c r="H94" s="4" t="s">
        <v>320</v>
      </c>
      <c r="I94" s="4" t="s">
        <v>320</v>
      </c>
      <c r="J94" s="4" t="s">
        <v>320</v>
      </c>
      <c r="K94" s="4" t="s">
        <v>327</v>
      </c>
      <c r="L94" s="4" t="s">
        <v>322</v>
      </c>
      <c r="M94" s="4" t="s">
        <v>323</v>
      </c>
      <c r="N94" s="4" t="s">
        <v>324</v>
      </c>
      <c r="O94" s="4" t="s">
        <v>319</v>
      </c>
      <c r="P94" s="5" t="e">
        <f>VLOOKUP(B94,Import!A$1:B$20000,2,FALSE)</f>
        <v>#N/A</v>
      </c>
      <c r="Q94" s="6" t="s">
        <v>455</v>
      </c>
      <c r="R94" s="9" t="e">
        <f>VLOOKUP(S94,Import!A$1:B$20000,2,FALSE)</f>
        <v>#N/A</v>
      </c>
      <c r="S94" s="10" t="str">
        <f t="shared" si="3"/>
        <v>3_A_P1K_X_X_X_1E_N_V_B_A</v>
      </c>
      <c r="T94" s="4">
        <v>1000</v>
      </c>
    </row>
    <row r="95" spans="1:20" ht="12">
      <c r="A95" s="7">
        <f>IF(ISBLANK(Inm_17922),"",$T$95*Inm_17922)</f>
      </c>
      <c r="B95" s="7">
        <v>17922</v>
      </c>
      <c r="C95" s="8" t="s">
        <v>394</v>
      </c>
      <c r="D95" s="90" t="s">
        <v>10</v>
      </c>
      <c r="E95" s="4">
        <v>5</v>
      </c>
      <c r="F95" s="4" t="s">
        <v>319</v>
      </c>
      <c r="G95" s="4" t="s">
        <v>398</v>
      </c>
      <c r="H95" s="4" t="s">
        <v>320</v>
      </c>
      <c r="I95" s="4" t="s">
        <v>320</v>
      </c>
      <c r="J95" s="4" t="s">
        <v>320</v>
      </c>
      <c r="K95" s="4" t="s">
        <v>327</v>
      </c>
      <c r="L95" s="4" t="s">
        <v>322</v>
      </c>
      <c r="M95" s="4" t="s">
        <v>323</v>
      </c>
      <c r="N95" s="4" t="s">
        <v>325</v>
      </c>
      <c r="O95" s="4" t="s">
        <v>319</v>
      </c>
      <c r="P95" s="5" t="e">
        <f>VLOOKUP(B95,Import!A$1:B$20000,2,FALSE)</f>
        <v>#N/A</v>
      </c>
      <c r="Q95" s="6" t="s">
        <v>455</v>
      </c>
      <c r="R95" s="9" t="e">
        <f>VLOOKUP(S95,Import!A$1:B$20000,2,FALSE)</f>
        <v>#N/A</v>
      </c>
      <c r="S95" s="10" t="str">
        <f t="shared" si="3"/>
        <v>5_A_P1K_X_X_X_1E_N_V_M_A</v>
      </c>
      <c r="T95" s="4">
        <v>1000</v>
      </c>
    </row>
    <row r="96" spans="1:20" ht="12">
      <c r="A96" s="7">
        <f>IF(ISBLANK(Inm_17900),"",$T$96*Inm_17900)</f>
      </c>
      <c r="B96" s="7">
        <v>17900</v>
      </c>
      <c r="C96" s="8" t="s">
        <v>389</v>
      </c>
      <c r="D96" s="90" t="s">
        <v>11</v>
      </c>
      <c r="E96" s="4">
        <v>3</v>
      </c>
      <c r="F96" s="4" t="s">
        <v>387</v>
      </c>
      <c r="G96" s="4" t="s">
        <v>390</v>
      </c>
      <c r="H96" s="4" t="s">
        <v>320</v>
      </c>
      <c r="I96" s="4" t="s">
        <v>320</v>
      </c>
      <c r="J96" s="4" t="s">
        <v>320</v>
      </c>
      <c r="K96" s="4" t="s">
        <v>321</v>
      </c>
      <c r="L96" s="4" t="s">
        <v>322</v>
      </c>
      <c r="M96" s="4" t="s">
        <v>323</v>
      </c>
      <c r="N96" s="4" t="s">
        <v>324</v>
      </c>
      <c r="O96" s="4" t="s">
        <v>319</v>
      </c>
      <c r="P96" s="5" t="e">
        <f>VLOOKUP(B96,Import!A$1:B$20000,2,FALSE)</f>
        <v>#N/A</v>
      </c>
      <c r="Q96" s="6" t="s">
        <v>455</v>
      </c>
      <c r="R96" s="9" t="e">
        <f>VLOOKUP(S96,Import!A$1:B$20000,2,FALSE)</f>
        <v>#N/A</v>
      </c>
      <c r="S96" s="10" t="str">
        <f t="shared" si="3"/>
        <v>3_L_P2B_X_X_X_5J_N_V_B_A</v>
      </c>
      <c r="T96" s="4">
        <v>1000</v>
      </c>
    </row>
    <row r="97" spans="1:20" ht="12">
      <c r="A97" s="7">
        <f>IF(ISBLANK(Inm_17940),"",$T$97*Inm_17940)</f>
      </c>
      <c r="B97" s="7">
        <v>17940</v>
      </c>
      <c r="C97" s="8" t="s">
        <v>389</v>
      </c>
      <c r="D97" s="90" t="s">
        <v>12</v>
      </c>
      <c r="E97" s="4">
        <v>5</v>
      </c>
      <c r="F97" s="4" t="s">
        <v>387</v>
      </c>
      <c r="G97" s="4" t="s">
        <v>390</v>
      </c>
      <c r="H97" s="4" t="s">
        <v>320</v>
      </c>
      <c r="I97" s="4" t="s">
        <v>320</v>
      </c>
      <c r="J97" s="4" t="s">
        <v>320</v>
      </c>
      <c r="K97" s="4" t="s">
        <v>321</v>
      </c>
      <c r="L97" s="4" t="s">
        <v>322</v>
      </c>
      <c r="M97" s="4" t="s">
        <v>323</v>
      </c>
      <c r="N97" s="4" t="s">
        <v>325</v>
      </c>
      <c r="O97" s="4" t="s">
        <v>319</v>
      </c>
      <c r="P97" s="5" t="e">
        <f>VLOOKUP(B97,Import!A$1:B$20000,2,FALSE)</f>
        <v>#N/A</v>
      </c>
      <c r="Q97" s="6" t="s">
        <v>455</v>
      </c>
      <c r="R97" s="9" t="e">
        <f>VLOOKUP(S97,Import!A$1:B$20000,2,FALSE)</f>
        <v>#N/A</v>
      </c>
      <c r="S97" s="10" t="str">
        <f t="shared" si="3"/>
        <v>5_L_P2B_X_X_X_5J_N_V_M_A</v>
      </c>
      <c r="T97" s="4">
        <v>1000</v>
      </c>
    </row>
    <row r="98" spans="1:20" ht="12">
      <c r="A98" s="7">
        <f>IF(ISBLANK(Inm_17899),"",$T$98*Inm_17899)</f>
      </c>
      <c r="B98" s="7">
        <v>17899</v>
      </c>
      <c r="C98" s="8" t="s">
        <v>386</v>
      </c>
      <c r="D98" s="90" t="s">
        <v>13</v>
      </c>
      <c r="E98" s="4">
        <v>3</v>
      </c>
      <c r="F98" s="4" t="s">
        <v>387</v>
      </c>
      <c r="G98" s="4" t="s">
        <v>388</v>
      </c>
      <c r="H98" s="4" t="s">
        <v>320</v>
      </c>
      <c r="I98" s="4" t="s">
        <v>320</v>
      </c>
      <c r="J98" s="4" t="s">
        <v>320</v>
      </c>
      <c r="K98" s="4" t="s">
        <v>321</v>
      </c>
      <c r="L98" s="4" t="s">
        <v>322</v>
      </c>
      <c r="M98" s="4" t="s">
        <v>323</v>
      </c>
      <c r="N98" s="4" t="s">
        <v>324</v>
      </c>
      <c r="O98" s="4" t="s">
        <v>319</v>
      </c>
      <c r="P98" s="5" t="e">
        <f>VLOOKUP(B98,Import!A$1:B$20000,2,FALSE)</f>
        <v>#N/A</v>
      </c>
      <c r="Q98" s="6" t="s">
        <v>455</v>
      </c>
      <c r="R98" s="9" t="e">
        <f>VLOOKUP(S98,Import!A$1:B$20000,2,FALSE)</f>
        <v>#N/A</v>
      </c>
      <c r="S98" s="10" t="str">
        <f t="shared" si="3"/>
        <v>3_L_P2A_X_X_X_5J_N_V_B_A</v>
      </c>
      <c r="T98" s="4">
        <v>1000</v>
      </c>
    </row>
    <row r="99" spans="1:20" ht="12">
      <c r="A99" s="7">
        <f>IF(ISBLANK(Inm_17939),"",$T$99*Inm_17939)</f>
      </c>
      <c r="B99" s="7">
        <v>17939</v>
      </c>
      <c r="C99" s="8" t="s">
        <v>386</v>
      </c>
      <c r="D99" s="90" t="s">
        <v>14</v>
      </c>
      <c r="E99" s="4">
        <v>5</v>
      </c>
      <c r="F99" s="4" t="s">
        <v>387</v>
      </c>
      <c r="G99" s="4" t="s">
        <v>388</v>
      </c>
      <c r="H99" s="4" t="s">
        <v>320</v>
      </c>
      <c r="I99" s="4" t="s">
        <v>320</v>
      </c>
      <c r="J99" s="4" t="s">
        <v>320</v>
      </c>
      <c r="K99" s="4" t="s">
        <v>321</v>
      </c>
      <c r="L99" s="4" t="s">
        <v>322</v>
      </c>
      <c r="M99" s="4" t="s">
        <v>323</v>
      </c>
      <c r="N99" s="4" t="s">
        <v>325</v>
      </c>
      <c r="O99" s="4" t="s">
        <v>319</v>
      </c>
      <c r="P99" s="5" t="e">
        <f>VLOOKUP(B99,Import!A$1:B$20000,2,FALSE)</f>
        <v>#N/A</v>
      </c>
      <c r="Q99" s="6" t="s">
        <v>455</v>
      </c>
      <c r="R99" s="9" t="e">
        <f>VLOOKUP(S99,Import!A$1:B$20000,2,FALSE)</f>
        <v>#N/A</v>
      </c>
      <c r="S99" s="10" t="str">
        <f t="shared" si="3"/>
        <v>5_L_P2A_X_X_X_5J_N_V_M_A</v>
      </c>
      <c r="T99" s="4">
        <v>1000</v>
      </c>
    </row>
    <row r="100" spans="1:20" ht="12">
      <c r="A100" s="7">
        <f>IF(ISBLANK(Inm_17903),"",$T$100*Inm_17903)</f>
      </c>
      <c r="B100" s="7">
        <v>17903</v>
      </c>
      <c r="C100" s="8" t="s">
        <v>391</v>
      </c>
      <c r="D100" s="90" t="s">
        <v>15</v>
      </c>
      <c r="E100" s="4">
        <v>3</v>
      </c>
      <c r="F100" s="4" t="s">
        <v>387</v>
      </c>
      <c r="G100" s="4" t="s">
        <v>392</v>
      </c>
      <c r="H100" s="4" t="s">
        <v>320</v>
      </c>
      <c r="I100" s="4" t="s">
        <v>320</v>
      </c>
      <c r="J100" s="4" t="s">
        <v>320</v>
      </c>
      <c r="K100" s="4" t="s">
        <v>321</v>
      </c>
      <c r="L100" s="4" t="s">
        <v>328</v>
      </c>
      <c r="M100" s="4" t="s">
        <v>323</v>
      </c>
      <c r="N100" s="4" t="s">
        <v>324</v>
      </c>
      <c r="O100" s="4" t="s">
        <v>319</v>
      </c>
      <c r="P100" s="5" t="e">
        <f>VLOOKUP(B100,Import!A$1:B$20000,2,FALSE)</f>
        <v>#N/A</v>
      </c>
      <c r="Q100" s="6" t="s">
        <v>455</v>
      </c>
      <c r="R100" s="9" t="e">
        <f>VLOOKUP(S100,Import!A$1:B$20000,2,FALSE)</f>
        <v>#N/A</v>
      </c>
      <c r="S100" s="10" t="str">
        <f t="shared" si="3"/>
        <v>3_L_P2C_X_X_X_5J_N1211121_V_B_A</v>
      </c>
      <c r="T100" s="4">
        <v>1000</v>
      </c>
    </row>
    <row r="101" spans="1:20" ht="12">
      <c r="A101" s="7">
        <f>IF(ISBLANK(Inm_17943),"",$T$101*Inm_17943)</f>
      </c>
      <c r="B101" s="7">
        <v>17943</v>
      </c>
      <c r="C101" s="8" t="s">
        <v>391</v>
      </c>
      <c r="D101" s="90" t="s">
        <v>16</v>
      </c>
      <c r="E101" s="4">
        <v>5</v>
      </c>
      <c r="F101" s="4" t="s">
        <v>387</v>
      </c>
      <c r="G101" s="4" t="s">
        <v>392</v>
      </c>
      <c r="H101" s="4" t="s">
        <v>320</v>
      </c>
      <c r="I101" s="4" t="s">
        <v>320</v>
      </c>
      <c r="J101" s="4" t="s">
        <v>320</v>
      </c>
      <c r="K101" s="4" t="s">
        <v>321</v>
      </c>
      <c r="L101" s="4" t="s">
        <v>328</v>
      </c>
      <c r="M101" s="4" t="s">
        <v>323</v>
      </c>
      <c r="N101" s="4" t="s">
        <v>325</v>
      </c>
      <c r="O101" s="4" t="s">
        <v>319</v>
      </c>
      <c r="P101" s="5" t="e">
        <f>VLOOKUP(B101,Import!A$1:B$20000,2,FALSE)</f>
        <v>#N/A</v>
      </c>
      <c r="Q101" s="6" t="s">
        <v>455</v>
      </c>
      <c r="R101" s="9" t="e">
        <f>VLOOKUP(S101,Import!A$1:B$20000,2,FALSE)</f>
        <v>#N/A</v>
      </c>
      <c r="S101" s="10" t="str">
        <f t="shared" si="3"/>
        <v>5_L_P2C_X_X_X_5J_N1211121_V_M_A</v>
      </c>
      <c r="T101" s="4">
        <v>1000</v>
      </c>
    </row>
    <row r="102" spans="1:20" ht="12">
      <c r="A102" s="7">
        <f>IF(ISBLANK(Inm_17904),"",$T$102*Inm_17904)</f>
      </c>
      <c r="B102" s="7">
        <v>17904</v>
      </c>
      <c r="C102" s="8" t="s">
        <v>393</v>
      </c>
      <c r="D102" s="90" t="s">
        <v>17</v>
      </c>
      <c r="E102" s="4">
        <v>3</v>
      </c>
      <c r="F102" s="4" t="s">
        <v>387</v>
      </c>
      <c r="G102" s="4" t="s">
        <v>392</v>
      </c>
      <c r="H102" s="4" t="s">
        <v>320</v>
      </c>
      <c r="I102" s="4" t="s">
        <v>320</v>
      </c>
      <c r="J102" s="4" t="s">
        <v>320</v>
      </c>
      <c r="K102" s="4" t="s">
        <v>321</v>
      </c>
      <c r="L102" s="4" t="s">
        <v>363</v>
      </c>
      <c r="M102" s="4" t="s">
        <v>323</v>
      </c>
      <c r="N102" s="4" t="s">
        <v>324</v>
      </c>
      <c r="O102" s="4" t="s">
        <v>319</v>
      </c>
      <c r="P102" s="5" t="e">
        <f>VLOOKUP(B102,Import!A$1:B$20000,2,FALSE)</f>
        <v>#N/A</v>
      </c>
      <c r="Q102" s="6" t="s">
        <v>455</v>
      </c>
      <c r="R102" s="9" t="e">
        <f>VLOOKUP(S102,Import!A$1:B$20000,2,FALSE)</f>
        <v>#N/A</v>
      </c>
      <c r="S102" s="10" t="str">
        <f t="shared" si="3"/>
        <v>3_L_P2C_X_X_X_5J_N12F_V_B_A</v>
      </c>
      <c r="T102" s="4">
        <v>1000</v>
      </c>
    </row>
    <row r="103" spans="1:20" ht="12">
      <c r="A103" s="7">
        <f>IF(ISBLANK(Inm_17944),"",$T$103*Inm_17944)</f>
      </c>
      <c r="B103" s="7">
        <v>17944</v>
      </c>
      <c r="C103" s="8" t="s">
        <v>393</v>
      </c>
      <c r="D103" s="90" t="s">
        <v>18</v>
      </c>
      <c r="E103" s="4">
        <v>5</v>
      </c>
      <c r="F103" s="4" t="s">
        <v>387</v>
      </c>
      <c r="G103" s="4" t="s">
        <v>392</v>
      </c>
      <c r="H103" s="4" t="s">
        <v>320</v>
      </c>
      <c r="I103" s="4" t="s">
        <v>320</v>
      </c>
      <c r="J103" s="4" t="s">
        <v>320</v>
      </c>
      <c r="K103" s="4" t="s">
        <v>321</v>
      </c>
      <c r="L103" s="4" t="s">
        <v>363</v>
      </c>
      <c r="M103" s="4" t="s">
        <v>323</v>
      </c>
      <c r="N103" s="4" t="s">
        <v>325</v>
      </c>
      <c r="O103" s="4" t="s">
        <v>319</v>
      </c>
      <c r="P103" s="5" t="e">
        <f>VLOOKUP(B103,Import!A$1:B$20000,2,FALSE)</f>
        <v>#N/A</v>
      </c>
      <c r="Q103" s="6" t="s">
        <v>455</v>
      </c>
      <c r="R103" s="9" t="e">
        <f>VLOOKUP(S103,Import!A$1:B$20000,2,FALSE)</f>
        <v>#N/A</v>
      </c>
      <c r="S103" s="10" t="str">
        <f t="shared" si="3"/>
        <v>5_L_P2C_X_X_X_5J_N12F_V_M_A</v>
      </c>
      <c r="T103" s="4">
        <v>1000</v>
      </c>
    </row>
    <row r="104" spans="1:20" ht="12">
      <c r="A104" s="7">
        <f>IF(ISBLANK(Inm_17902),"",$T$104*Inm_17902)</f>
      </c>
      <c r="B104" s="7">
        <v>17902</v>
      </c>
      <c r="C104" s="8" t="s">
        <v>19</v>
      </c>
      <c r="D104" s="90" t="s">
        <v>20</v>
      </c>
      <c r="E104" s="4">
        <v>3</v>
      </c>
      <c r="F104" s="4" t="s">
        <v>387</v>
      </c>
      <c r="G104" s="4" t="s">
        <v>392</v>
      </c>
      <c r="H104" s="4" t="s">
        <v>320</v>
      </c>
      <c r="I104" s="4" t="s">
        <v>320</v>
      </c>
      <c r="J104" s="4" t="s">
        <v>320</v>
      </c>
      <c r="K104" s="4" t="s">
        <v>329</v>
      </c>
      <c r="L104" s="4" t="s">
        <v>364</v>
      </c>
      <c r="M104" s="4" t="s">
        <v>323</v>
      </c>
      <c r="N104" s="4" t="s">
        <v>324</v>
      </c>
      <c r="O104" s="4" t="s">
        <v>319</v>
      </c>
      <c r="P104" s="5" t="e">
        <f>VLOOKUP(B104,Import!A$1:B$20000,2,FALSE)</f>
        <v>#N/A</v>
      </c>
      <c r="Q104" s="6" t="s">
        <v>455</v>
      </c>
      <c r="R104" s="9" t="e">
        <f>VLOOKUP(S104,Import!A$1:B$20000,2,FALSE)</f>
        <v>#N/A</v>
      </c>
      <c r="S104" s="10" t="str">
        <f t="shared" si="3"/>
        <v>3_L_P2C_X_X_X_3P_NXY_V_B_A</v>
      </c>
      <c r="T104" s="4">
        <v>1000</v>
      </c>
    </row>
    <row r="105" spans="1:20" ht="12">
      <c r="A105" s="7">
        <f>IF(ISBLANK(Inm_17942),"",$T$105*Inm_17942)</f>
      </c>
      <c r="B105" s="7">
        <v>17942</v>
      </c>
      <c r="C105" s="8" t="s">
        <v>19</v>
      </c>
      <c r="D105" s="90" t="s">
        <v>21</v>
      </c>
      <c r="E105" s="4">
        <v>5</v>
      </c>
      <c r="F105" s="4" t="s">
        <v>387</v>
      </c>
      <c r="G105" s="4" t="s">
        <v>392</v>
      </c>
      <c r="H105" s="4" t="s">
        <v>320</v>
      </c>
      <c r="I105" s="4" t="s">
        <v>320</v>
      </c>
      <c r="J105" s="4" t="s">
        <v>320</v>
      </c>
      <c r="K105" s="4" t="s">
        <v>329</v>
      </c>
      <c r="L105" s="4" t="s">
        <v>364</v>
      </c>
      <c r="M105" s="4" t="s">
        <v>323</v>
      </c>
      <c r="N105" s="4" t="s">
        <v>325</v>
      </c>
      <c r="O105" s="4" t="s">
        <v>319</v>
      </c>
      <c r="P105" s="5" t="e">
        <f>VLOOKUP(B105,Import!A$1:B$20000,2,FALSE)</f>
        <v>#N/A</v>
      </c>
      <c r="Q105" s="6" t="s">
        <v>455</v>
      </c>
      <c r="R105" s="9" t="e">
        <f>VLOOKUP(S105,Import!A$1:B$20000,2,FALSE)</f>
        <v>#N/A</v>
      </c>
      <c r="S105" s="10" t="str">
        <f t="shared" si="3"/>
        <v>5_L_P2C_X_X_X_3P_NXY_V_M_A</v>
      </c>
      <c r="T105" s="4">
        <v>1000</v>
      </c>
    </row>
    <row r="106" spans="1:20" ht="12">
      <c r="A106" s="7">
        <f>IF(ISBLANK(Inm_17901),"",$T$106*Inm_17901)</f>
      </c>
      <c r="B106" s="7">
        <v>17901</v>
      </c>
      <c r="C106" s="8" t="s">
        <v>396</v>
      </c>
      <c r="D106" s="90" t="s">
        <v>22</v>
      </c>
      <c r="E106" s="4">
        <v>3</v>
      </c>
      <c r="F106" s="4" t="s">
        <v>387</v>
      </c>
      <c r="G106" s="4" t="s">
        <v>392</v>
      </c>
      <c r="H106" s="4" t="s">
        <v>320</v>
      </c>
      <c r="I106" s="4" t="s">
        <v>320</v>
      </c>
      <c r="J106" s="4" t="s">
        <v>320</v>
      </c>
      <c r="K106" s="4" t="s">
        <v>329</v>
      </c>
      <c r="L106" s="4" t="s">
        <v>322</v>
      </c>
      <c r="M106" s="4" t="s">
        <v>323</v>
      </c>
      <c r="N106" s="4" t="s">
        <v>324</v>
      </c>
      <c r="O106" s="4" t="s">
        <v>319</v>
      </c>
      <c r="P106" s="5" t="e">
        <f>VLOOKUP(B106,Import!A$1:B$20000,2,FALSE)</f>
        <v>#N/A</v>
      </c>
      <c r="Q106" s="6" t="s">
        <v>455</v>
      </c>
      <c r="R106" s="9" t="e">
        <f>VLOOKUP(S106,Import!A$1:B$20000,2,FALSE)</f>
        <v>#N/A</v>
      </c>
      <c r="S106" s="10" t="str">
        <f t="shared" si="3"/>
        <v>3_L_P2C_X_X_X_3P_N_V_B_A</v>
      </c>
      <c r="T106" s="4">
        <v>1000</v>
      </c>
    </row>
    <row r="107" spans="1:20" ht="12">
      <c r="A107" s="7">
        <f>IF(ISBLANK(Inm_17941),"",$T$107*Inm_17941)</f>
      </c>
      <c r="B107" s="7">
        <v>17941</v>
      </c>
      <c r="C107" s="8" t="s">
        <v>396</v>
      </c>
      <c r="D107" s="90" t="s">
        <v>23</v>
      </c>
      <c r="E107" s="4">
        <v>5</v>
      </c>
      <c r="F107" s="4" t="s">
        <v>387</v>
      </c>
      <c r="G107" s="4" t="s">
        <v>392</v>
      </c>
      <c r="H107" s="4" t="s">
        <v>320</v>
      </c>
      <c r="I107" s="4" t="s">
        <v>320</v>
      </c>
      <c r="J107" s="4" t="s">
        <v>320</v>
      </c>
      <c r="K107" s="4" t="s">
        <v>329</v>
      </c>
      <c r="L107" s="4" t="s">
        <v>322</v>
      </c>
      <c r="M107" s="4" t="s">
        <v>323</v>
      </c>
      <c r="N107" s="4" t="s">
        <v>325</v>
      </c>
      <c r="O107" s="4" t="s">
        <v>319</v>
      </c>
      <c r="P107" s="5" t="e">
        <f>VLOOKUP(B107,Import!A$1:B$20000,2,FALSE)</f>
        <v>#N/A</v>
      </c>
      <c r="Q107" s="6" t="s">
        <v>455</v>
      </c>
      <c r="R107" s="9" t="e">
        <f>VLOOKUP(S107,Import!A$1:B$20000,2,FALSE)</f>
        <v>#N/A</v>
      </c>
      <c r="S107" s="10" t="str">
        <f t="shared" si="3"/>
        <v>5_L_P2C_X_X_X_3P_N_V_M_A</v>
      </c>
      <c r="T107" s="4">
        <v>1000</v>
      </c>
    </row>
    <row r="108" spans="1:20" ht="12">
      <c r="A108" s="7">
        <f>IF(ISBLANK(Inm_17905),"",$T$108*Inm_17905)</f>
      </c>
      <c r="B108" s="7">
        <v>17905</v>
      </c>
      <c r="C108" s="8" t="s">
        <v>973</v>
      </c>
      <c r="D108" s="90" t="s">
        <v>24</v>
      </c>
      <c r="E108" s="4">
        <v>3</v>
      </c>
      <c r="F108" s="4" t="s">
        <v>387</v>
      </c>
      <c r="G108" s="4" t="s">
        <v>25</v>
      </c>
      <c r="H108" s="4" t="s">
        <v>320</v>
      </c>
      <c r="I108" s="4" t="s">
        <v>320</v>
      </c>
      <c r="J108" s="4" t="s">
        <v>320</v>
      </c>
      <c r="K108" s="4" t="s">
        <v>321</v>
      </c>
      <c r="L108" s="4" t="s">
        <v>322</v>
      </c>
      <c r="M108" s="4" t="s">
        <v>323</v>
      </c>
      <c r="N108" s="4" t="s">
        <v>324</v>
      </c>
      <c r="O108" s="4" t="s">
        <v>319</v>
      </c>
      <c r="P108" s="5" t="e">
        <f>VLOOKUP(B108,Import!A$1:B$20000,2,FALSE)</f>
        <v>#N/A</v>
      </c>
      <c r="Q108" s="6" t="s">
        <v>455</v>
      </c>
      <c r="R108" s="9" t="e">
        <f>VLOOKUP(S108,Import!A$1:B$20000,2,FALSE)</f>
        <v>#N/A</v>
      </c>
      <c r="S108" s="10" t="str">
        <f t="shared" si="3"/>
        <v>3_L_P2E1_X_X_X_5J_N_V_B_A</v>
      </c>
      <c r="T108" s="4">
        <v>1000</v>
      </c>
    </row>
    <row r="109" spans="1:20" ht="12">
      <c r="A109" s="7">
        <f>IF(ISBLANK(Inm_17952),"",$T$109*Inm_17952)</f>
      </c>
      <c r="B109" s="7">
        <v>17952</v>
      </c>
      <c r="C109" s="8" t="s">
        <v>973</v>
      </c>
      <c r="D109" s="90" t="s">
        <v>26</v>
      </c>
      <c r="E109" s="4">
        <v>5</v>
      </c>
      <c r="F109" s="4" t="s">
        <v>387</v>
      </c>
      <c r="G109" s="4" t="s">
        <v>25</v>
      </c>
      <c r="H109" s="4" t="s">
        <v>320</v>
      </c>
      <c r="I109" s="4" t="s">
        <v>320</v>
      </c>
      <c r="J109" s="4" t="s">
        <v>320</v>
      </c>
      <c r="K109" s="4" t="s">
        <v>321</v>
      </c>
      <c r="L109" s="4" t="s">
        <v>322</v>
      </c>
      <c r="M109" s="4" t="s">
        <v>323</v>
      </c>
      <c r="N109" s="4" t="s">
        <v>325</v>
      </c>
      <c r="O109" s="4" t="s">
        <v>319</v>
      </c>
      <c r="P109" s="5" t="e">
        <f>VLOOKUP(B109,Import!A$1:B$20000,2,FALSE)</f>
        <v>#N/A</v>
      </c>
      <c r="Q109" s="6" t="s">
        <v>455</v>
      </c>
      <c r="R109" s="9" t="e">
        <f>VLOOKUP(S109,Import!A$1:B$20000,2,FALSE)</f>
        <v>#N/A</v>
      </c>
      <c r="S109" s="10" t="str">
        <f t="shared" si="3"/>
        <v>5_L_P2E1_X_X_X_5J_N_V_M_A</v>
      </c>
      <c r="T109" s="4">
        <v>1000</v>
      </c>
    </row>
    <row r="110" spans="1:20" ht="12">
      <c r="A110" s="7">
        <f>IF(ISBLANK(Inm_17936),"",$T$110*Inm_17936)</f>
      </c>
      <c r="B110" s="7">
        <v>17936</v>
      </c>
      <c r="C110" s="8" t="s">
        <v>1092</v>
      </c>
      <c r="D110" s="90" t="s">
        <v>27</v>
      </c>
      <c r="E110" s="4">
        <v>5</v>
      </c>
      <c r="F110" s="4" t="s">
        <v>319</v>
      </c>
      <c r="G110" s="4" t="s">
        <v>28</v>
      </c>
      <c r="H110" s="4" t="s">
        <v>320</v>
      </c>
      <c r="I110" s="4" t="s">
        <v>320</v>
      </c>
      <c r="J110" s="4" t="s">
        <v>320</v>
      </c>
      <c r="K110" s="4" t="s">
        <v>321</v>
      </c>
      <c r="L110" s="4" t="s">
        <v>322</v>
      </c>
      <c r="M110" s="4" t="s">
        <v>323</v>
      </c>
      <c r="N110" s="4" t="s">
        <v>325</v>
      </c>
      <c r="O110" s="4" t="s">
        <v>319</v>
      </c>
      <c r="P110" s="5" t="e">
        <f>VLOOKUP(B110,Import!A$1:B$20000,2,FALSE)</f>
        <v>#N/A</v>
      </c>
      <c r="Q110" s="6" t="s">
        <v>455</v>
      </c>
      <c r="R110" s="9" t="e">
        <f>VLOOKUP(S110,Import!A$1:B$20000,2,FALSE)</f>
        <v>#N/A</v>
      </c>
      <c r="S110" s="10" t="str">
        <f t="shared" si="3"/>
        <v>5_A_P2D1_X_X_X_5J_N_V_M_A</v>
      </c>
      <c r="T110" s="4">
        <v>1000</v>
      </c>
    </row>
    <row r="111" spans="1:20" ht="12">
      <c r="A111" s="7">
        <f>IF(ISBLANK(Inm_17951),"",$T$111*Inm_17951)</f>
      </c>
      <c r="B111" s="7">
        <v>17951</v>
      </c>
      <c r="C111" s="8" t="s">
        <v>1092</v>
      </c>
      <c r="D111" s="90" t="s">
        <v>29</v>
      </c>
      <c r="E111" s="4">
        <v>5</v>
      </c>
      <c r="F111" s="4" t="s">
        <v>319</v>
      </c>
      <c r="G111" s="4" t="s">
        <v>30</v>
      </c>
      <c r="H111" s="4" t="s">
        <v>320</v>
      </c>
      <c r="I111" s="4" t="s">
        <v>320</v>
      </c>
      <c r="J111" s="4" t="s">
        <v>320</v>
      </c>
      <c r="K111" s="4" t="s">
        <v>321</v>
      </c>
      <c r="L111" s="4" t="s">
        <v>322</v>
      </c>
      <c r="M111" s="4" t="s">
        <v>323</v>
      </c>
      <c r="N111" s="4" t="s">
        <v>325</v>
      </c>
      <c r="O111" s="4" t="s">
        <v>319</v>
      </c>
      <c r="P111" s="5" t="e">
        <f>VLOOKUP(B111,Import!A$1:B$20000,2,FALSE)</f>
        <v>#N/A</v>
      </c>
      <c r="Q111" s="6" t="s">
        <v>455</v>
      </c>
      <c r="R111" s="9" t="e">
        <f>VLOOKUP(S111,Import!A$1:B$20000,2,FALSE)</f>
        <v>#N/A</v>
      </c>
      <c r="S111" s="10" t="str">
        <f t="shared" si="3"/>
        <v>5_A_P2D2_X_X_X_5J_N_V_M_A</v>
      </c>
      <c r="T111" s="4">
        <v>1000</v>
      </c>
    </row>
    <row r="112" spans="1:20" ht="12">
      <c r="A112" s="7">
        <f>IF(ISBLANK(Inm_17937),"",$T$112*Inm_17937)</f>
      </c>
      <c r="B112" s="7">
        <v>17937</v>
      </c>
      <c r="C112" s="8" t="s">
        <v>1092</v>
      </c>
      <c r="D112" s="90" t="s">
        <v>31</v>
      </c>
      <c r="E112" s="4">
        <v>5</v>
      </c>
      <c r="F112" s="4" t="s">
        <v>319</v>
      </c>
      <c r="G112" s="4" t="s">
        <v>32</v>
      </c>
      <c r="H112" s="4" t="s">
        <v>320</v>
      </c>
      <c r="I112" s="4" t="s">
        <v>320</v>
      </c>
      <c r="J112" s="4" t="s">
        <v>320</v>
      </c>
      <c r="K112" s="4" t="s">
        <v>321</v>
      </c>
      <c r="L112" s="4" t="s">
        <v>322</v>
      </c>
      <c r="M112" s="4" t="s">
        <v>323</v>
      </c>
      <c r="N112" s="4" t="s">
        <v>325</v>
      </c>
      <c r="O112" s="4" t="s">
        <v>319</v>
      </c>
      <c r="P112" s="5" t="e">
        <f>VLOOKUP(B112,Import!A$1:B$20000,2,FALSE)</f>
        <v>#N/A</v>
      </c>
      <c r="Q112" s="6" t="s">
        <v>455</v>
      </c>
      <c r="R112" s="9" t="e">
        <f>VLOOKUP(S112,Import!A$1:B$20000,2,FALSE)</f>
        <v>#N/A</v>
      </c>
      <c r="S112" s="10" t="str">
        <f t="shared" si="3"/>
        <v>5_A_P2D3_X_X_X_5J_N_V_M_A</v>
      </c>
      <c r="T112" s="4">
        <v>1000</v>
      </c>
    </row>
    <row r="113" spans="1:20" ht="12">
      <c r="A113" s="7">
        <f>IF(ISBLANK(Inm_17938),"",$T$113*Inm_17938)</f>
      </c>
      <c r="B113" s="7">
        <v>17938</v>
      </c>
      <c r="C113" s="8" t="s">
        <v>6</v>
      </c>
      <c r="D113" s="90" t="s">
        <v>33</v>
      </c>
      <c r="E113" s="4">
        <v>5</v>
      </c>
      <c r="F113" s="4" t="s">
        <v>319</v>
      </c>
      <c r="G113" s="4" t="s">
        <v>34</v>
      </c>
      <c r="H113" s="4" t="s">
        <v>320</v>
      </c>
      <c r="I113" s="4" t="s">
        <v>320</v>
      </c>
      <c r="J113" s="4" t="s">
        <v>320</v>
      </c>
      <c r="K113" s="4" t="s">
        <v>321</v>
      </c>
      <c r="L113" s="4" t="s">
        <v>322</v>
      </c>
      <c r="M113" s="4" t="s">
        <v>323</v>
      </c>
      <c r="N113" s="4" t="s">
        <v>325</v>
      </c>
      <c r="O113" s="4" t="s">
        <v>319</v>
      </c>
      <c r="P113" s="5" t="e">
        <f>VLOOKUP(B113,Import!A$1:B$20000,2,FALSE)</f>
        <v>#N/A</v>
      </c>
      <c r="Q113" s="6" t="s">
        <v>455</v>
      </c>
      <c r="R113" s="9" t="e">
        <f>VLOOKUP(S113,Import!A$1:B$20000,2,FALSE)</f>
        <v>#N/A</v>
      </c>
      <c r="S113" s="10" t="str">
        <f t="shared" si="3"/>
        <v>5_A_P2D4_X_X_X_5J_N_V_M_A</v>
      </c>
      <c r="T113" s="4">
        <v>1000</v>
      </c>
    </row>
    <row r="114" spans="1:20" ht="12">
      <c r="A114" s="7">
        <f>IF(ISBLANK(Inm_17898),"",$T$114*Inm_17898)</f>
      </c>
      <c r="B114" s="7">
        <v>17898</v>
      </c>
      <c r="C114" s="8" t="s">
        <v>394</v>
      </c>
      <c r="D114" s="90" t="s">
        <v>35</v>
      </c>
      <c r="E114" s="4">
        <v>3</v>
      </c>
      <c r="F114" s="4" t="s">
        <v>319</v>
      </c>
      <c r="G114" s="4" t="s">
        <v>395</v>
      </c>
      <c r="H114" s="4" t="s">
        <v>320</v>
      </c>
      <c r="I114" s="4" t="s">
        <v>320</v>
      </c>
      <c r="J114" s="4" t="s">
        <v>320</v>
      </c>
      <c r="K114" s="4" t="s">
        <v>321</v>
      </c>
      <c r="L114" s="4" t="s">
        <v>322</v>
      </c>
      <c r="M114" s="4" t="s">
        <v>323</v>
      </c>
      <c r="N114" s="4" t="s">
        <v>324</v>
      </c>
      <c r="O114" s="4" t="s">
        <v>319</v>
      </c>
      <c r="P114" s="5" t="e">
        <f>VLOOKUP(B114,Import!A$1:B$20000,2,FALSE)</f>
        <v>#N/A</v>
      </c>
      <c r="Q114" s="6" t="s">
        <v>455</v>
      </c>
      <c r="R114" s="9" t="e">
        <f>VLOOKUP(S114,Import!A$1:B$20000,2,FALSE)</f>
        <v>#N/A</v>
      </c>
      <c r="S114" s="10" t="str">
        <f t="shared" si="3"/>
        <v>3_A_P2D_X_X_X_5J_N_V_B_A</v>
      </c>
      <c r="T114" s="4">
        <v>1000</v>
      </c>
    </row>
    <row r="115" spans="1:20" ht="12">
      <c r="A115" s="7">
        <f>IF(ISBLANK(Inm_17929),"",$T$115*Inm_17929)</f>
      </c>
      <c r="B115" s="7">
        <v>17929</v>
      </c>
      <c r="C115" s="8" t="s">
        <v>394</v>
      </c>
      <c r="D115" s="90" t="s">
        <v>36</v>
      </c>
      <c r="E115" s="4">
        <v>5</v>
      </c>
      <c r="F115" s="4" t="s">
        <v>319</v>
      </c>
      <c r="G115" s="4" t="s">
        <v>395</v>
      </c>
      <c r="H115" s="4" t="s">
        <v>320</v>
      </c>
      <c r="I115" s="4" t="s">
        <v>320</v>
      </c>
      <c r="J115" s="4" t="s">
        <v>320</v>
      </c>
      <c r="K115" s="4" t="s">
        <v>321</v>
      </c>
      <c r="L115" s="4" t="s">
        <v>322</v>
      </c>
      <c r="M115" s="4" t="s">
        <v>323</v>
      </c>
      <c r="N115" s="4" t="s">
        <v>325</v>
      </c>
      <c r="O115" s="4" t="s">
        <v>319</v>
      </c>
      <c r="P115" s="5" t="e">
        <f>VLOOKUP(B115,Import!A$1:B$20000,2,FALSE)</f>
        <v>#N/A</v>
      </c>
      <c r="Q115" s="6" t="s">
        <v>455</v>
      </c>
      <c r="R115" s="9" t="e">
        <f>VLOOKUP(S115,Import!A$1:B$20000,2,FALSE)</f>
        <v>#N/A</v>
      </c>
      <c r="S115" s="10" t="str">
        <f t="shared" si="3"/>
        <v>5_A_P2D_X_X_X_5J_N_V_M_A</v>
      </c>
      <c r="T115" s="4">
        <v>1000</v>
      </c>
    </row>
    <row r="116" spans="1:20" ht="12">
      <c r="A116" s="7">
        <f>IF(ISBLANK(Inm_17897),"",$T$116*Inm_17897)</f>
      </c>
      <c r="B116" s="7">
        <v>17897</v>
      </c>
      <c r="C116" s="8" t="s">
        <v>394</v>
      </c>
      <c r="D116" s="90" t="s">
        <v>37</v>
      </c>
      <c r="E116" s="4">
        <v>3</v>
      </c>
      <c r="F116" s="4" t="s">
        <v>319</v>
      </c>
      <c r="G116" s="4" t="s">
        <v>395</v>
      </c>
      <c r="H116" s="4" t="s">
        <v>320</v>
      </c>
      <c r="I116" s="4" t="s">
        <v>320</v>
      </c>
      <c r="J116" s="4" t="s">
        <v>320</v>
      </c>
      <c r="K116" s="4" t="s">
        <v>327</v>
      </c>
      <c r="L116" s="4" t="s">
        <v>322</v>
      </c>
      <c r="M116" s="4" t="s">
        <v>323</v>
      </c>
      <c r="N116" s="4" t="s">
        <v>324</v>
      </c>
      <c r="O116" s="4" t="s">
        <v>319</v>
      </c>
      <c r="P116" s="5" t="e">
        <f>VLOOKUP(B116,Import!A$1:B$20000,2,FALSE)</f>
        <v>#N/A</v>
      </c>
      <c r="Q116" s="6" t="s">
        <v>455</v>
      </c>
      <c r="R116" s="9" t="e">
        <f>VLOOKUP(S116,Import!A$1:B$20000,2,FALSE)</f>
        <v>#N/A</v>
      </c>
      <c r="S116" s="10" t="str">
        <f t="shared" si="3"/>
        <v>3_A_P2D_X_X_X_1E_N_V_B_A</v>
      </c>
      <c r="T116" s="4">
        <v>1000</v>
      </c>
    </row>
    <row r="117" spans="1:20" ht="12">
      <c r="A117" s="7">
        <f>IF(ISBLANK(Inm_17928),"",$T$117*Inm_17928)</f>
      </c>
      <c r="B117" s="7">
        <v>17928</v>
      </c>
      <c r="C117" s="8" t="s">
        <v>394</v>
      </c>
      <c r="D117" s="90" t="s">
        <v>38</v>
      </c>
      <c r="E117" s="4">
        <v>5</v>
      </c>
      <c r="F117" s="4" t="s">
        <v>319</v>
      </c>
      <c r="G117" s="4" t="s">
        <v>395</v>
      </c>
      <c r="H117" s="4" t="s">
        <v>320</v>
      </c>
      <c r="I117" s="4" t="s">
        <v>320</v>
      </c>
      <c r="J117" s="4" t="s">
        <v>320</v>
      </c>
      <c r="K117" s="4" t="s">
        <v>327</v>
      </c>
      <c r="L117" s="4" t="s">
        <v>322</v>
      </c>
      <c r="M117" s="4" t="s">
        <v>323</v>
      </c>
      <c r="N117" s="4" t="s">
        <v>325</v>
      </c>
      <c r="O117" s="4" t="s">
        <v>319</v>
      </c>
      <c r="P117" s="5" t="e">
        <f>VLOOKUP(B117,Import!A$1:B$20000,2,FALSE)</f>
        <v>#N/A</v>
      </c>
      <c r="Q117" s="6" t="s">
        <v>455</v>
      </c>
      <c r="R117" s="9" t="e">
        <f>VLOOKUP(S117,Import!A$1:B$20000,2,FALSE)</f>
        <v>#N/A</v>
      </c>
      <c r="S117" s="10" t="str">
        <f t="shared" si="3"/>
        <v>5_A_P2D_X_X_X_1E_N_V_M_A</v>
      </c>
      <c r="T117" s="4">
        <v>1000</v>
      </c>
    </row>
    <row r="118" spans="1:20" ht="12">
      <c r="A118" s="7">
        <f>IF(ISBLANK(Inm_17947),"",$T$118*Inm_17947)</f>
      </c>
      <c r="B118" s="7">
        <v>17947</v>
      </c>
      <c r="C118" s="8" t="s">
        <v>39</v>
      </c>
      <c r="D118" s="90" t="s">
        <v>40</v>
      </c>
      <c r="E118" s="4">
        <v>8</v>
      </c>
      <c r="F118" s="4" t="s">
        <v>41</v>
      </c>
      <c r="G118" s="4" t="s">
        <v>42</v>
      </c>
      <c r="H118" s="4" t="s">
        <v>320</v>
      </c>
      <c r="I118" s="4" t="s">
        <v>320</v>
      </c>
      <c r="J118" s="4" t="s">
        <v>320</v>
      </c>
      <c r="K118" s="4" t="s">
        <v>321</v>
      </c>
      <c r="L118" s="4" t="s">
        <v>322</v>
      </c>
      <c r="M118" s="4" t="s">
        <v>323</v>
      </c>
      <c r="N118" s="4" t="s">
        <v>324</v>
      </c>
      <c r="O118" s="4" t="s">
        <v>319</v>
      </c>
      <c r="P118" s="5" t="e">
        <f>VLOOKUP(B118,Import!A$1:B$20000,2,FALSE)</f>
        <v>#N/A</v>
      </c>
      <c r="Q118" s="6" t="s">
        <v>455</v>
      </c>
      <c r="R118" s="9" t="e">
        <f>VLOOKUP(S118,Import!A$1:B$20000,2,FALSE)</f>
        <v>#N/A</v>
      </c>
      <c r="S118" s="10" t="str">
        <f t="shared" si="3"/>
        <v>8_R_P31_X_X_X_5J_N_V_B_A</v>
      </c>
      <c r="T118" s="4">
        <v>1000</v>
      </c>
    </row>
    <row r="119" spans="1:20" ht="12">
      <c r="A119" s="7">
        <f>IF(ISBLANK(Inm_17945),"",$T$119*Inm_17945)</f>
      </c>
      <c r="B119" s="7">
        <v>17945</v>
      </c>
      <c r="C119" s="8" t="s">
        <v>43</v>
      </c>
      <c r="D119" s="90" t="s">
        <v>44</v>
      </c>
      <c r="E119" s="4">
        <v>8</v>
      </c>
      <c r="F119" s="4" t="s">
        <v>45</v>
      </c>
      <c r="G119" s="4" t="s">
        <v>46</v>
      </c>
      <c r="H119" s="4" t="s">
        <v>320</v>
      </c>
      <c r="I119" s="4" t="s">
        <v>320</v>
      </c>
      <c r="J119" s="4" t="s">
        <v>320</v>
      </c>
      <c r="K119" s="4" t="s">
        <v>321</v>
      </c>
      <c r="L119" s="4" t="s">
        <v>322</v>
      </c>
      <c r="M119" s="4" t="s">
        <v>323</v>
      </c>
      <c r="N119" s="4" t="s">
        <v>324</v>
      </c>
      <c r="O119" s="4" t="s">
        <v>319</v>
      </c>
      <c r="P119" s="5" t="e">
        <f>VLOOKUP(B119,Import!A$1:B$20000,2,FALSE)</f>
        <v>#N/A</v>
      </c>
      <c r="Q119" s="6" t="s">
        <v>455</v>
      </c>
      <c r="R119" s="9" t="e">
        <f>VLOOKUP(S119,Import!A$1:B$20000,2,FALSE)</f>
        <v>#N/A</v>
      </c>
      <c r="S119" s="10" t="str">
        <f t="shared" si="3"/>
        <v>8_C_P32_X_X_X_5J_N_V_B_A</v>
      </c>
      <c r="T119" s="4">
        <v>1000</v>
      </c>
    </row>
    <row r="120" spans="1:20" ht="12">
      <c r="A120" s="7">
        <f>IF(ISBLANK(Inm_17948),"",$T$120*Inm_17948)</f>
      </c>
      <c r="B120" s="7">
        <v>17948</v>
      </c>
      <c r="C120" s="8" t="s">
        <v>47</v>
      </c>
      <c r="D120" s="90" t="s">
        <v>48</v>
      </c>
      <c r="E120" s="4">
        <v>8</v>
      </c>
      <c r="F120" s="4" t="s">
        <v>41</v>
      </c>
      <c r="G120" s="4" t="s">
        <v>49</v>
      </c>
      <c r="H120" s="4" t="s">
        <v>320</v>
      </c>
      <c r="I120" s="4" t="s">
        <v>320</v>
      </c>
      <c r="J120" s="4" t="s">
        <v>320</v>
      </c>
      <c r="K120" s="4" t="s">
        <v>321</v>
      </c>
      <c r="L120" s="4" t="s">
        <v>322</v>
      </c>
      <c r="M120" s="4" t="s">
        <v>323</v>
      </c>
      <c r="N120" s="4" t="s">
        <v>324</v>
      </c>
      <c r="O120" s="4" t="s">
        <v>319</v>
      </c>
      <c r="P120" s="5" t="e">
        <f>VLOOKUP(B120,Import!A$1:B$20000,2,FALSE)</f>
        <v>#N/A</v>
      </c>
      <c r="Q120" s="6" t="s">
        <v>455</v>
      </c>
      <c r="R120" s="9" t="e">
        <f>VLOOKUP(S120,Import!A$1:B$20000,2,FALSE)</f>
        <v>#N/A</v>
      </c>
      <c r="S120" s="10" t="str">
        <f t="shared" si="3"/>
        <v>8_R_P33_X_X_X_5J_N_V_B_A</v>
      </c>
      <c r="T120" s="4">
        <v>1000</v>
      </c>
    </row>
    <row r="121" spans="1:20" ht="12">
      <c r="A121" s="7">
        <f>IF(ISBLANK(Inm_17946),"",$T$121*Inm_17946)</f>
      </c>
      <c r="B121" s="7">
        <v>17946</v>
      </c>
      <c r="C121" s="8" t="s">
        <v>50</v>
      </c>
      <c r="D121" s="90" t="s">
        <v>51</v>
      </c>
      <c r="E121" s="4">
        <v>8</v>
      </c>
      <c r="F121" s="4" t="s">
        <v>45</v>
      </c>
      <c r="G121" s="4" t="s">
        <v>52</v>
      </c>
      <c r="H121" s="4" t="s">
        <v>320</v>
      </c>
      <c r="I121" s="4" t="s">
        <v>320</v>
      </c>
      <c r="J121" s="4" t="s">
        <v>320</v>
      </c>
      <c r="K121" s="4" t="s">
        <v>321</v>
      </c>
      <c r="L121" s="4" t="s">
        <v>322</v>
      </c>
      <c r="M121" s="4" t="s">
        <v>323</v>
      </c>
      <c r="N121" s="4" t="s">
        <v>324</v>
      </c>
      <c r="O121" s="4" t="s">
        <v>319</v>
      </c>
      <c r="P121" s="5" t="e">
        <f>VLOOKUP(B121,Import!A$1:B$20000,2,FALSE)</f>
        <v>#N/A</v>
      </c>
      <c r="Q121" s="6" t="s">
        <v>455</v>
      </c>
      <c r="R121" s="9" t="e">
        <f>VLOOKUP(S121,Import!A$1:B$20000,2,FALSE)</f>
        <v>#N/A</v>
      </c>
      <c r="S121" s="10" t="str">
        <f t="shared" si="3"/>
        <v>8_C_P34_X_X_X_5J_N_V_B_A</v>
      </c>
      <c r="T121" s="4">
        <v>1000</v>
      </c>
    </row>
    <row r="122" spans="1:20" ht="12">
      <c r="A122" s="7">
        <f>IF(ISBLANK(Inm_17949),"",$T$122*Inm_17949)</f>
      </c>
      <c r="B122" s="7">
        <v>17949</v>
      </c>
      <c r="C122" s="8" t="s">
        <v>53</v>
      </c>
      <c r="D122" s="90" t="s">
        <v>54</v>
      </c>
      <c r="E122" s="4">
        <v>8</v>
      </c>
      <c r="F122" s="4" t="s">
        <v>41</v>
      </c>
      <c r="G122" s="4" t="s">
        <v>55</v>
      </c>
      <c r="H122" s="4" t="s">
        <v>320</v>
      </c>
      <c r="I122" s="4" t="s">
        <v>320</v>
      </c>
      <c r="J122" s="4" t="s">
        <v>320</v>
      </c>
      <c r="K122" s="4" t="s">
        <v>321</v>
      </c>
      <c r="L122" s="4" t="s">
        <v>322</v>
      </c>
      <c r="M122" s="4" t="s">
        <v>323</v>
      </c>
      <c r="N122" s="4" t="s">
        <v>324</v>
      </c>
      <c r="O122" s="4" t="s">
        <v>319</v>
      </c>
      <c r="P122" s="5" t="e">
        <f>VLOOKUP(B122,Import!A$1:B$20000,2,FALSE)</f>
        <v>#N/A</v>
      </c>
      <c r="Q122" s="6" t="s">
        <v>455</v>
      </c>
      <c r="R122" s="9" t="e">
        <f>VLOOKUP(S122,Import!A$1:B$20000,2,FALSE)</f>
        <v>#N/A</v>
      </c>
      <c r="S122" s="10" t="str">
        <f t="shared" si="3"/>
        <v>8_R_P35_X_X_X_5J_N_V_B_A</v>
      </c>
      <c r="T122" s="4">
        <v>1000</v>
      </c>
    </row>
    <row r="123" spans="1:20" ht="12">
      <c r="A123" s="7">
        <f>IF(ISBLANK(Inm_17953),"",$T$123*Inm_17953)</f>
      </c>
      <c r="B123" s="7">
        <v>17953</v>
      </c>
      <c r="C123" s="8" t="s">
        <v>973</v>
      </c>
      <c r="D123" s="90" t="s">
        <v>440</v>
      </c>
      <c r="E123" s="4">
        <v>3</v>
      </c>
      <c r="F123" s="4" t="s">
        <v>319</v>
      </c>
      <c r="G123" s="4" t="s">
        <v>975</v>
      </c>
      <c r="H123" s="4" t="s">
        <v>320</v>
      </c>
      <c r="I123" s="4" t="s">
        <v>320</v>
      </c>
      <c r="J123" s="4" t="s">
        <v>320</v>
      </c>
      <c r="K123" s="4" t="s">
        <v>327</v>
      </c>
      <c r="L123" s="4" t="s">
        <v>322</v>
      </c>
      <c r="M123" s="4" t="s">
        <v>323</v>
      </c>
      <c r="N123" s="4" t="s">
        <v>324</v>
      </c>
      <c r="O123" s="4" t="s">
        <v>319</v>
      </c>
      <c r="P123" s="5" t="e">
        <f>VLOOKUP(B123,Import!A$1:B$20000,2,FALSE)</f>
        <v>#N/A</v>
      </c>
      <c r="Q123" s="6" t="s">
        <v>455</v>
      </c>
      <c r="R123" s="9" t="e">
        <f>VLOOKUP(S123,Import!A$1:B$20000,2,FALSE)</f>
        <v>#N/A</v>
      </c>
      <c r="S123" s="10" t="str">
        <f aca="true" t="shared" si="4" ref="S123:S167">CONCATENATE(E123,"_",F123,"_",G123,"_",H123,"_",I123,"_",J123,"_",K123,"_",L123,"_",M123,"_",N123,"_",O123)</f>
        <v>3_A_P1J1_X_X_X_1E_N_V_B_A</v>
      </c>
      <c r="T123" s="4">
        <v>1000</v>
      </c>
    </row>
    <row r="124" spans="1:20" ht="12">
      <c r="A124" s="7">
        <f>IF(ISBLANK(Inm_11169),"",$T$124*Inm_11169)</f>
      </c>
      <c r="B124" s="7">
        <v>11169</v>
      </c>
      <c r="C124" s="8" t="s">
        <v>441</v>
      </c>
      <c r="D124" s="90" t="s">
        <v>442</v>
      </c>
      <c r="E124" s="4">
        <v>5</v>
      </c>
      <c r="F124" s="4" t="s">
        <v>319</v>
      </c>
      <c r="G124" s="4" t="s">
        <v>443</v>
      </c>
      <c r="H124" s="4" t="s">
        <v>320</v>
      </c>
      <c r="I124" s="4" t="s">
        <v>320</v>
      </c>
      <c r="J124" s="4" t="s">
        <v>320</v>
      </c>
      <c r="K124" s="4" t="s">
        <v>327</v>
      </c>
      <c r="L124" s="4" t="s">
        <v>328</v>
      </c>
      <c r="M124" s="4" t="s">
        <v>323</v>
      </c>
      <c r="N124" s="4" t="s">
        <v>325</v>
      </c>
      <c r="O124" s="4" t="s">
        <v>319</v>
      </c>
      <c r="P124" s="5" t="e">
        <f>VLOOKUP(B124,Import!A$1:B$20000,2,FALSE)</f>
        <v>#N/A</v>
      </c>
      <c r="Q124" s="6" t="s">
        <v>455</v>
      </c>
      <c r="R124" s="9" t="e">
        <f>VLOOKUP(S124,Import!A$1:B$20000,2,FALSE)</f>
        <v>#N/A</v>
      </c>
      <c r="S124" s="10" t="str">
        <f t="shared" si="4"/>
        <v>5_A_P1A_X_X_X_1E_N1211121_V_M_A</v>
      </c>
      <c r="T124" s="4">
        <v>1000</v>
      </c>
    </row>
    <row r="125" spans="1:20" ht="12">
      <c r="A125" s="7">
        <f>IF(ISBLANK(Inm_11371),"",$T$125*Inm_11371)</f>
      </c>
      <c r="B125" s="7">
        <v>11371</v>
      </c>
      <c r="C125" s="8" t="s">
        <v>444</v>
      </c>
      <c r="D125" s="90" t="s">
        <v>445</v>
      </c>
      <c r="E125" s="4">
        <v>5</v>
      </c>
      <c r="F125" s="4" t="s">
        <v>319</v>
      </c>
      <c r="G125" s="4" t="s">
        <v>446</v>
      </c>
      <c r="H125" s="4" t="s">
        <v>320</v>
      </c>
      <c r="I125" s="4" t="s">
        <v>320</v>
      </c>
      <c r="J125" s="4" t="s">
        <v>320</v>
      </c>
      <c r="K125" s="4" t="s">
        <v>329</v>
      </c>
      <c r="L125" s="4" t="s">
        <v>328</v>
      </c>
      <c r="M125" s="4" t="s">
        <v>323</v>
      </c>
      <c r="N125" s="4" t="s">
        <v>325</v>
      </c>
      <c r="O125" s="4" t="s">
        <v>319</v>
      </c>
      <c r="P125" s="5" t="e">
        <f>VLOOKUP(B125,Import!A$1:B$20000,2,FALSE)</f>
        <v>#N/A</v>
      </c>
      <c r="Q125" s="6" t="s">
        <v>455</v>
      </c>
      <c r="R125" s="9" t="e">
        <f>VLOOKUP(S125,Import!A$1:B$20000,2,FALSE)</f>
        <v>#N/A</v>
      </c>
      <c r="S125" s="10" t="str">
        <f t="shared" si="4"/>
        <v>5_A_P1A1_X_X_X_3P_N1211121_V_M_A</v>
      </c>
      <c r="T125" s="4">
        <v>1000</v>
      </c>
    </row>
    <row r="126" spans="1:20" ht="12">
      <c r="A126" s="7">
        <f>IF(ISBLANK(Inm_17954),"",$T$126*Inm_17954)</f>
      </c>
      <c r="B126" s="7">
        <v>17954</v>
      </c>
      <c r="C126" s="8" t="s">
        <v>979</v>
      </c>
      <c r="D126" s="90" t="s">
        <v>447</v>
      </c>
      <c r="E126" s="4">
        <v>3</v>
      </c>
      <c r="F126" s="4" t="s">
        <v>319</v>
      </c>
      <c r="G126" s="4" t="s">
        <v>981</v>
      </c>
      <c r="H126" s="4" t="s">
        <v>320</v>
      </c>
      <c r="I126" s="4" t="s">
        <v>320</v>
      </c>
      <c r="J126" s="4" t="s">
        <v>320</v>
      </c>
      <c r="K126" s="4" t="s">
        <v>321</v>
      </c>
      <c r="L126" s="4" t="s">
        <v>322</v>
      </c>
      <c r="M126" s="4" t="s">
        <v>323</v>
      </c>
      <c r="N126" s="4" t="s">
        <v>324</v>
      </c>
      <c r="O126" s="4" t="s">
        <v>319</v>
      </c>
      <c r="P126" s="5" t="e">
        <f>VLOOKUP(B126,Import!A$1:B$20000,2,FALSE)</f>
        <v>#N/A</v>
      </c>
      <c r="Q126" s="6" t="s">
        <v>455</v>
      </c>
      <c r="R126" s="9" t="e">
        <f>VLOOKUP(S126,Import!A$1:B$20000,2,FALSE)</f>
        <v>#N/A</v>
      </c>
      <c r="S126" s="10" t="str">
        <f t="shared" si="4"/>
        <v>3_A_P1J2_X_X_X_5J_N_V_B_A</v>
      </c>
      <c r="T126" s="4">
        <v>1000</v>
      </c>
    </row>
    <row r="127" spans="1:20" ht="12">
      <c r="A127" s="7">
        <f>IF(ISBLANK(Inm_11045),"",$T$127*Inm_11045)</f>
      </c>
      <c r="B127" s="7">
        <v>11045</v>
      </c>
      <c r="C127" s="8" t="s">
        <v>378</v>
      </c>
      <c r="D127" s="90" t="s">
        <v>448</v>
      </c>
      <c r="E127" s="4">
        <v>5</v>
      </c>
      <c r="F127" s="4" t="s">
        <v>319</v>
      </c>
      <c r="G127" s="4" t="s">
        <v>379</v>
      </c>
      <c r="H127" s="4" t="s">
        <v>320</v>
      </c>
      <c r="I127" s="4" t="s">
        <v>320</v>
      </c>
      <c r="J127" s="4" t="s">
        <v>320</v>
      </c>
      <c r="K127" s="4" t="s">
        <v>327</v>
      </c>
      <c r="L127" s="4" t="s">
        <v>322</v>
      </c>
      <c r="M127" s="4" t="s">
        <v>334</v>
      </c>
      <c r="N127" s="4" t="s">
        <v>325</v>
      </c>
      <c r="O127" s="4" t="s">
        <v>319</v>
      </c>
      <c r="P127" s="5" t="e">
        <f>VLOOKUP(B127,Import!A$1:B$20000,2,FALSE)</f>
        <v>#N/A</v>
      </c>
      <c r="Q127" s="6" t="s">
        <v>455</v>
      </c>
      <c r="R127" s="9" t="e">
        <f>VLOOKUP(S127,Import!A$1:B$20000,2,FALSE)</f>
        <v>#N/A</v>
      </c>
      <c r="S127" s="10" t="str">
        <f t="shared" si="4"/>
        <v>5_A_P1B_X_X_X_1E_N_SEK_M_A</v>
      </c>
      <c r="T127" s="4">
        <v>1000</v>
      </c>
    </row>
    <row r="128" spans="1:20" ht="12">
      <c r="A128" s="7">
        <f>IF(ISBLANK(Inm_11058),"",$T$128*Inm_11058)</f>
      </c>
      <c r="B128" s="7">
        <v>11058</v>
      </c>
      <c r="C128" s="8" t="s">
        <v>378</v>
      </c>
      <c r="D128" s="90" t="s">
        <v>449</v>
      </c>
      <c r="E128" s="4">
        <v>5</v>
      </c>
      <c r="F128" s="4" t="s">
        <v>319</v>
      </c>
      <c r="G128" s="4" t="s">
        <v>379</v>
      </c>
      <c r="H128" s="4" t="s">
        <v>320</v>
      </c>
      <c r="I128" s="4" t="s">
        <v>320</v>
      </c>
      <c r="J128" s="4" t="s">
        <v>320</v>
      </c>
      <c r="K128" s="4" t="s">
        <v>329</v>
      </c>
      <c r="L128" s="4" t="s">
        <v>322</v>
      </c>
      <c r="M128" s="4" t="s">
        <v>334</v>
      </c>
      <c r="N128" s="4" t="s">
        <v>325</v>
      </c>
      <c r="O128" s="4" t="s">
        <v>319</v>
      </c>
      <c r="P128" s="5" t="e">
        <f>VLOOKUP(B128,Import!A$1:B$20000,2,FALSE)</f>
        <v>#N/A</v>
      </c>
      <c r="Q128" s="6" t="s">
        <v>455</v>
      </c>
      <c r="R128" s="9" t="e">
        <f>VLOOKUP(S128,Import!A$1:B$20000,2,FALSE)</f>
        <v>#N/A</v>
      </c>
      <c r="S128" s="10" t="str">
        <f t="shared" si="4"/>
        <v>5_A_P1B_X_X_X_3P_N_SEK_M_A</v>
      </c>
      <c r="T128" s="4">
        <v>1000</v>
      </c>
    </row>
    <row r="129" spans="1:20" ht="12">
      <c r="A129" s="7">
        <f>IF(ISBLANK(Inm_11044),"",$T$129*Inm_11044)</f>
      </c>
      <c r="B129" s="7">
        <v>11044</v>
      </c>
      <c r="C129" s="8" t="s">
        <v>378</v>
      </c>
      <c r="D129" s="90" t="s">
        <v>450</v>
      </c>
      <c r="E129" s="4">
        <v>5</v>
      </c>
      <c r="F129" s="4" t="s">
        <v>319</v>
      </c>
      <c r="G129" s="4" t="s">
        <v>379</v>
      </c>
      <c r="H129" s="4" t="s">
        <v>320</v>
      </c>
      <c r="I129" s="4" t="s">
        <v>320</v>
      </c>
      <c r="J129" s="4" t="s">
        <v>320</v>
      </c>
      <c r="K129" s="4" t="s">
        <v>327</v>
      </c>
      <c r="L129" s="4" t="s">
        <v>322</v>
      </c>
      <c r="M129" s="4" t="s">
        <v>335</v>
      </c>
      <c r="N129" s="4" t="s">
        <v>325</v>
      </c>
      <c r="O129" s="4" t="s">
        <v>319</v>
      </c>
      <c r="P129" s="5" t="e">
        <f>VLOOKUP(B129,Import!A$1:B$20000,2,FALSE)</f>
        <v>#N/A</v>
      </c>
      <c r="Q129" s="6" t="s">
        <v>455</v>
      </c>
      <c r="R129" s="9" t="e">
        <f>VLOOKUP(S129,Import!A$1:B$20000,2,FALSE)</f>
        <v>#N/A</v>
      </c>
      <c r="S129" s="10" t="str">
        <f t="shared" si="4"/>
        <v>5_A_P1B_X_X_X_1E_N_VU_M_A</v>
      </c>
      <c r="T129" s="4">
        <v>1000</v>
      </c>
    </row>
    <row r="130" spans="1:20" ht="12">
      <c r="A130" s="7">
        <f>IF(ISBLANK(Inm_11057),"",$T$130*Inm_11057)</f>
      </c>
      <c r="B130" s="7">
        <v>11057</v>
      </c>
      <c r="C130" s="8" t="s">
        <v>378</v>
      </c>
      <c r="D130" s="90" t="s">
        <v>451</v>
      </c>
      <c r="E130" s="4">
        <v>5</v>
      </c>
      <c r="F130" s="4" t="s">
        <v>319</v>
      </c>
      <c r="G130" s="4" t="s">
        <v>379</v>
      </c>
      <c r="H130" s="4" t="s">
        <v>320</v>
      </c>
      <c r="I130" s="4" t="s">
        <v>320</v>
      </c>
      <c r="J130" s="4" t="s">
        <v>320</v>
      </c>
      <c r="K130" s="4" t="s">
        <v>329</v>
      </c>
      <c r="L130" s="4" t="s">
        <v>322</v>
      </c>
      <c r="M130" s="4" t="s">
        <v>335</v>
      </c>
      <c r="N130" s="4" t="s">
        <v>325</v>
      </c>
      <c r="O130" s="4" t="s">
        <v>319</v>
      </c>
      <c r="P130" s="5" t="e">
        <f>VLOOKUP(B130,Import!A$1:B$20000,2,FALSE)</f>
        <v>#N/A</v>
      </c>
      <c r="Q130" s="6" t="s">
        <v>455</v>
      </c>
      <c r="R130" s="9" t="e">
        <f>VLOOKUP(S130,Import!A$1:B$20000,2,FALSE)</f>
        <v>#N/A</v>
      </c>
      <c r="S130" s="10" t="str">
        <f t="shared" si="4"/>
        <v>5_A_P1B_X_X_X_3P_N_VU_M_A</v>
      </c>
      <c r="T130" s="4">
        <v>1000</v>
      </c>
    </row>
    <row r="131" spans="1:20" ht="12">
      <c r="A131" s="7">
        <f>IF(ISBLANK(Inm_11291),"",$T$131*Inm_11291)</f>
      </c>
      <c r="B131" s="7">
        <v>11291</v>
      </c>
      <c r="C131" s="8" t="s">
        <v>378</v>
      </c>
      <c r="D131" s="90" t="s">
        <v>452</v>
      </c>
      <c r="E131" s="4">
        <v>5</v>
      </c>
      <c r="F131" s="4" t="s">
        <v>319</v>
      </c>
      <c r="G131" s="4" t="s">
        <v>379</v>
      </c>
      <c r="H131" s="4" t="s">
        <v>320</v>
      </c>
      <c r="I131" s="4" t="s">
        <v>320</v>
      </c>
      <c r="J131" s="4" t="s">
        <v>320</v>
      </c>
      <c r="K131" s="4" t="s">
        <v>321</v>
      </c>
      <c r="L131" s="4" t="s">
        <v>322</v>
      </c>
      <c r="M131" s="4" t="s">
        <v>323</v>
      </c>
      <c r="N131" s="4" t="s">
        <v>325</v>
      </c>
      <c r="O131" s="4" t="s">
        <v>319</v>
      </c>
      <c r="P131" s="5" t="e">
        <f>VLOOKUP(B131,Import!A$1:B$20000,2,FALSE)</f>
        <v>#N/A</v>
      </c>
      <c r="Q131" s="6" t="s">
        <v>455</v>
      </c>
      <c r="R131" s="9" t="e">
        <f>VLOOKUP(S131,Import!A$1:B$20000,2,FALSE)</f>
        <v>#N/A</v>
      </c>
      <c r="S131" s="10" t="str">
        <f t="shared" si="4"/>
        <v>5_A_P1B_X_X_X_5J_N_V_M_A</v>
      </c>
      <c r="T131" s="4">
        <v>1000</v>
      </c>
    </row>
    <row r="132" spans="1:20" ht="12">
      <c r="A132" s="7">
        <f>IF(ISBLANK(Inm_11141),"",$T$132*Inm_11141)</f>
      </c>
      <c r="B132" s="7">
        <v>11141</v>
      </c>
      <c r="C132" s="8" t="s">
        <v>380</v>
      </c>
      <c r="D132" s="90" t="s">
        <v>453</v>
      </c>
      <c r="E132" s="4">
        <v>5</v>
      </c>
      <c r="F132" s="4" t="s">
        <v>319</v>
      </c>
      <c r="G132" s="4" t="s">
        <v>379</v>
      </c>
      <c r="H132" s="4" t="s">
        <v>320</v>
      </c>
      <c r="I132" s="4" t="s">
        <v>320</v>
      </c>
      <c r="J132" s="4" t="s">
        <v>320</v>
      </c>
      <c r="K132" s="4" t="s">
        <v>327</v>
      </c>
      <c r="L132" s="4" t="s">
        <v>370</v>
      </c>
      <c r="M132" s="4" t="s">
        <v>323</v>
      </c>
      <c r="N132" s="4" t="s">
        <v>325</v>
      </c>
      <c r="O132" s="4" t="s">
        <v>319</v>
      </c>
      <c r="P132" s="5" t="e">
        <f>VLOOKUP(B132,Import!A$1:B$20000,2,FALSE)</f>
        <v>#N/A</v>
      </c>
      <c r="Q132" s="6" t="s">
        <v>455</v>
      </c>
      <c r="R132" s="9" t="e">
        <f>VLOOKUP(S132,Import!A$1:B$20000,2,FALSE)</f>
        <v>#N/A</v>
      </c>
      <c r="S132" s="10" t="str">
        <f t="shared" si="4"/>
        <v>5_A_P1B_X_X_X_1E_N21_V_M_A</v>
      </c>
      <c r="T132" s="4">
        <v>1000</v>
      </c>
    </row>
    <row r="133" spans="1:20" ht="12">
      <c r="A133" s="7">
        <f>IF(ISBLANK(Inm_11140),"",$T$133*Inm_11140)</f>
      </c>
      <c r="B133" s="7">
        <v>11140</v>
      </c>
      <c r="C133" s="8" t="s">
        <v>381</v>
      </c>
      <c r="D133" s="90" t="s">
        <v>454</v>
      </c>
      <c r="E133" s="4">
        <v>5</v>
      </c>
      <c r="F133" s="4" t="s">
        <v>319</v>
      </c>
      <c r="G133" s="4" t="s">
        <v>379</v>
      </c>
      <c r="H133" s="4" t="s">
        <v>320</v>
      </c>
      <c r="I133" s="4" t="s">
        <v>320</v>
      </c>
      <c r="J133" s="4" t="s">
        <v>320</v>
      </c>
      <c r="K133" s="4" t="s">
        <v>327</v>
      </c>
      <c r="L133" s="4" t="s">
        <v>337</v>
      </c>
      <c r="M133" s="4" t="s">
        <v>323</v>
      </c>
      <c r="N133" s="4" t="s">
        <v>325</v>
      </c>
      <c r="O133" s="4" t="s">
        <v>319</v>
      </c>
      <c r="P133" s="5" t="e">
        <f>VLOOKUP(B133,Import!A$1:B$20000,2,FALSE)</f>
        <v>#N/A</v>
      </c>
      <c r="Q133" s="6" t="s">
        <v>455</v>
      </c>
      <c r="R133" s="9" t="e">
        <f>VLOOKUP(S133,Import!A$1:B$20000,2,FALSE)</f>
        <v>#N/A</v>
      </c>
      <c r="S133" s="10" t="str">
        <f t="shared" si="4"/>
        <v>5_A_P1B_X_X_X_1E_N23_V_M_A</v>
      </c>
      <c r="T133" s="4">
        <v>1000</v>
      </c>
    </row>
    <row r="134" spans="1:20" ht="12">
      <c r="A134" s="7">
        <f>IF(ISBLANK(Inm_11147),"",$T$134*Inm_11147)</f>
      </c>
      <c r="B134" s="7">
        <v>11147</v>
      </c>
      <c r="C134" s="8" t="s">
        <v>385</v>
      </c>
      <c r="D134" s="90" t="s">
        <v>456</v>
      </c>
      <c r="E134" s="4">
        <v>5</v>
      </c>
      <c r="F134" s="4" t="s">
        <v>319</v>
      </c>
      <c r="G134" s="4" t="s">
        <v>379</v>
      </c>
      <c r="H134" s="4" t="s">
        <v>320</v>
      </c>
      <c r="I134" s="4" t="s">
        <v>320</v>
      </c>
      <c r="J134" s="4" t="s">
        <v>320</v>
      </c>
      <c r="K134" s="4" t="s">
        <v>327</v>
      </c>
      <c r="L134" s="4" t="s">
        <v>344</v>
      </c>
      <c r="M134" s="4" t="s">
        <v>323</v>
      </c>
      <c r="N134" s="4" t="s">
        <v>325</v>
      </c>
      <c r="O134" s="4" t="s">
        <v>319</v>
      </c>
      <c r="P134" s="5" t="e">
        <f>VLOOKUP(B134,Import!A$1:B$20000,2,FALSE)</f>
        <v>#N/A</v>
      </c>
      <c r="Q134" s="6" t="s">
        <v>455</v>
      </c>
      <c r="R134" s="9" t="e">
        <f>VLOOKUP(S134,Import!A$1:B$20000,2,FALSE)</f>
        <v>#N/A</v>
      </c>
      <c r="S134" s="10" t="str">
        <f t="shared" si="4"/>
        <v>5_A_P1B_X_X_X_1E_N11_V_M_A</v>
      </c>
      <c r="T134" s="4">
        <v>1000</v>
      </c>
    </row>
    <row r="135" spans="1:20" ht="12">
      <c r="A135" s="7">
        <f>IF(ISBLANK(Inm_11146),"",$T$135*Inm_11146)</f>
      </c>
      <c r="B135" s="7">
        <v>11146</v>
      </c>
      <c r="C135" s="8" t="s">
        <v>382</v>
      </c>
      <c r="D135" s="90" t="s">
        <v>457</v>
      </c>
      <c r="E135" s="4">
        <v>5</v>
      </c>
      <c r="F135" s="4" t="s">
        <v>319</v>
      </c>
      <c r="G135" s="4" t="s">
        <v>379</v>
      </c>
      <c r="H135" s="4" t="s">
        <v>320</v>
      </c>
      <c r="I135" s="4" t="s">
        <v>320</v>
      </c>
      <c r="J135" s="4" t="s">
        <v>320</v>
      </c>
      <c r="K135" s="4" t="s">
        <v>327</v>
      </c>
      <c r="L135" s="4" t="s">
        <v>328</v>
      </c>
      <c r="M135" s="4" t="s">
        <v>323</v>
      </c>
      <c r="N135" s="4" t="s">
        <v>325</v>
      </c>
      <c r="O135" s="4" t="s">
        <v>319</v>
      </c>
      <c r="P135" s="5" t="e">
        <f>VLOOKUP(B135,Import!A$1:B$20000,2,FALSE)</f>
        <v>#N/A</v>
      </c>
      <c r="Q135" s="6" t="s">
        <v>455</v>
      </c>
      <c r="R135" s="9" t="e">
        <f>VLOOKUP(S135,Import!A$1:B$20000,2,FALSE)</f>
        <v>#N/A</v>
      </c>
      <c r="S135" s="10" t="str">
        <f t="shared" si="4"/>
        <v>5_A_P1B_X_X_X_1E_N1211121_V_M_A</v>
      </c>
      <c r="T135" s="4">
        <v>1000</v>
      </c>
    </row>
    <row r="136" spans="1:20" ht="12">
      <c r="A136" s="7">
        <f>IF(ISBLANK(Inm_11145),"",$T$136*Inm_11145)</f>
      </c>
      <c r="B136" s="7">
        <v>11145</v>
      </c>
      <c r="C136" s="8" t="s">
        <v>383</v>
      </c>
      <c r="D136" s="90" t="s">
        <v>458</v>
      </c>
      <c r="E136" s="4">
        <v>5</v>
      </c>
      <c r="F136" s="4" t="s">
        <v>319</v>
      </c>
      <c r="G136" s="4" t="s">
        <v>379</v>
      </c>
      <c r="H136" s="4" t="s">
        <v>320</v>
      </c>
      <c r="I136" s="4" t="s">
        <v>320</v>
      </c>
      <c r="J136" s="4" t="s">
        <v>320</v>
      </c>
      <c r="K136" s="4" t="s">
        <v>327</v>
      </c>
      <c r="L136" s="4" t="s">
        <v>340</v>
      </c>
      <c r="M136" s="4" t="s">
        <v>323</v>
      </c>
      <c r="N136" s="4" t="s">
        <v>325</v>
      </c>
      <c r="O136" s="4" t="s">
        <v>319</v>
      </c>
      <c r="P136" s="5" t="e">
        <f>VLOOKUP(B136,Import!A$1:B$20000,2,FALSE)</f>
        <v>#N/A</v>
      </c>
      <c r="Q136" s="6" t="s">
        <v>455</v>
      </c>
      <c r="R136" s="9" t="e">
        <f>VLOOKUP(S136,Import!A$1:B$20000,2,FALSE)</f>
        <v>#N/A</v>
      </c>
      <c r="S136" s="10" t="str">
        <f t="shared" si="4"/>
        <v>5_A_P1B_X_X_X_1E_N121121_V_M_A</v>
      </c>
      <c r="T136" s="4">
        <v>1000</v>
      </c>
    </row>
    <row r="137" spans="1:20" ht="12">
      <c r="A137" s="7">
        <f>IF(ISBLANK(Inm_11144),"",$T$137*Inm_11144)</f>
      </c>
      <c r="B137" s="7">
        <v>11144</v>
      </c>
      <c r="C137" s="8" t="s">
        <v>384</v>
      </c>
      <c r="D137" s="90" t="s">
        <v>459</v>
      </c>
      <c r="E137" s="4">
        <v>5</v>
      </c>
      <c r="F137" s="4" t="s">
        <v>319</v>
      </c>
      <c r="G137" s="4" t="s">
        <v>379</v>
      </c>
      <c r="H137" s="4" t="s">
        <v>320</v>
      </c>
      <c r="I137" s="4" t="s">
        <v>320</v>
      </c>
      <c r="J137" s="4" t="s">
        <v>320</v>
      </c>
      <c r="K137" s="4" t="s">
        <v>327</v>
      </c>
      <c r="L137" s="4" t="s">
        <v>342</v>
      </c>
      <c r="M137" s="4" t="s">
        <v>323</v>
      </c>
      <c r="N137" s="4" t="s">
        <v>325</v>
      </c>
      <c r="O137" s="4" t="s">
        <v>319</v>
      </c>
      <c r="P137" s="5" t="e">
        <f>VLOOKUP(B137,Import!A$1:B$20000,2,FALSE)</f>
        <v>#N/A</v>
      </c>
      <c r="Q137" s="6" t="s">
        <v>455</v>
      </c>
      <c r="R137" s="9" t="e">
        <f>VLOOKUP(S137,Import!A$1:B$20000,2,FALSE)</f>
        <v>#N/A</v>
      </c>
      <c r="S137" s="10" t="str">
        <f t="shared" si="4"/>
        <v>5_A_P1B_X_X_X_1E_N121122_V_M_A</v>
      </c>
      <c r="T137" s="4">
        <v>1000</v>
      </c>
    </row>
    <row r="138" spans="1:20" ht="12">
      <c r="A138" s="7">
        <f>IF(ISBLANK(Inm_11046),"",$T$138*Inm_11046)</f>
      </c>
      <c r="B138" s="7">
        <v>11046</v>
      </c>
      <c r="C138" s="8" t="s">
        <v>378</v>
      </c>
      <c r="D138" s="90" t="s">
        <v>460</v>
      </c>
      <c r="E138" s="4">
        <v>5</v>
      </c>
      <c r="F138" s="4" t="s">
        <v>319</v>
      </c>
      <c r="G138" s="4" t="s">
        <v>379</v>
      </c>
      <c r="H138" s="4" t="s">
        <v>320</v>
      </c>
      <c r="I138" s="4" t="s">
        <v>320</v>
      </c>
      <c r="J138" s="4" t="s">
        <v>320</v>
      </c>
      <c r="K138" s="4" t="s">
        <v>327</v>
      </c>
      <c r="L138" s="4" t="s">
        <v>322</v>
      </c>
      <c r="M138" s="4" t="s">
        <v>323</v>
      </c>
      <c r="N138" s="4" t="s">
        <v>325</v>
      </c>
      <c r="O138" s="4" t="s">
        <v>319</v>
      </c>
      <c r="P138" s="5" t="e">
        <f>VLOOKUP(B138,Import!A$1:B$20000,2,FALSE)</f>
        <v>#N/A</v>
      </c>
      <c r="Q138" s="6" t="s">
        <v>455</v>
      </c>
      <c r="R138" s="9" t="e">
        <f>VLOOKUP(S138,Import!A$1:B$20000,2,FALSE)</f>
        <v>#N/A</v>
      </c>
      <c r="S138" s="10" t="str">
        <f t="shared" si="4"/>
        <v>5_A_P1B_X_X_X_1E_N_V_M_A</v>
      </c>
      <c r="T138" s="4">
        <v>1000</v>
      </c>
    </row>
    <row r="139" spans="1:20" ht="12">
      <c r="A139" s="7">
        <f>IF(ISBLANK(Inm_11206),"",$T$139*Inm_11206)</f>
      </c>
      <c r="B139" s="7">
        <v>11206</v>
      </c>
      <c r="C139" s="8" t="s">
        <v>365</v>
      </c>
      <c r="D139" s="90" t="s">
        <v>461</v>
      </c>
      <c r="E139" s="4">
        <v>5</v>
      </c>
      <c r="F139" s="4" t="s">
        <v>319</v>
      </c>
      <c r="G139" s="4" t="s">
        <v>362</v>
      </c>
      <c r="H139" s="4" t="s">
        <v>320</v>
      </c>
      <c r="I139" s="4" t="s">
        <v>320</v>
      </c>
      <c r="J139" s="4" t="s">
        <v>320</v>
      </c>
      <c r="K139" s="4" t="s">
        <v>329</v>
      </c>
      <c r="L139" s="4" t="s">
        <v>322</v>
      </c>
      <c r="M139" s="4" t="s">
        <v>323</v>
      </c>
      <c r="N139" s="4" t="s">
        <v>325</v>
      </c>
      <c r="O139" s="4" t="s">
        <v>319</v>
      </c>
      <c r="P139" s="5" t="e">
        <f>VLOOKUP(B139,Import!A$1:B$20000,2,FALSE)</f>
        <v>#N/A</v>
      </c>
      <c r="Q139" s="6" t="s">
        <v>455</v>
      </c>
      <c r="R139" s="9" t="e">
        <f>VLOOKUP(S139,Import!A$1:B$20000,2,FALSE)</f>
        <v>#N/A</v>
      </c>
      <c r="S139" s="10" t="str">
        <f t="shared" si="4"/>
        <v>5_A_P1D_X_X_X_3P_N_V_M_A</v>
      </c>
      <c r="T139" s="4">
        <v>1000</v>
      </c>
    </row>
    <row r="140" spans="1:20" ht="12">
      <c r="A140" s="7">
        <f>IF(ISBLANK(Inm_11288),"",$T$140*Inm_11288)</f>
      </c>
      <c r="B140" s="7">
        <v>11288</v>
      </c>
      <c r="C140" s="8" t="s">
        <v>365</v>
      </c>
      <c r="D140" s="90" t="s">
        <v>462</v>
      </c>
      <c r="E140" s="4">
        <v>5</v>
      </c>
      <c r="F140" s="4" t="s">
        <v>319</v>
      </c>
      <c r="G140" s="4" t="s">
        <v>362</v>
      </c>
      <c r="H140" s="4" t="s">
        <v>320</v>
      </c>
      <c r="I140" s="4" t="s">
        <v>320</v>
      </c>
      <c r="J140" s="4" t="s">
        <v>320</v>
      </c>
      <c r="K140" s="4" t="s">
        <v>321</v>
      </c>
      <c r="L140" s="4" t="s">
        <v>322</v>
      </c>
      <c r="M140" s="4" t="s">
        <v>323</v>
      </c>
      <c r="N140" s="4" t="s">
        <v>325</v>
      </c>
      <c r="O140" s="4" t="s">
        <v>319</v>
      </c>
      <c r="P140" s="5" t="e">
        <f>VLOOKUP(B140,Import!A$1:B$20000,2,FALSE)</f>
        <v>#N/A</v>
      </c>
      <c r="Q140" s="6" t="s">
        <v>455</v>
      </c>
      <c r="R140" s="9" t="e">
        <f>VLOOKUP(S140,Import!A$1:B$20000,2,FALSE)</f>
        <v>#N/A</v>
      </c>
      <c r="S140" s="10" t="str">
        <f t="shared" si="4"/>
        <v>5_A_P1D_X_X_X_5J_N_V_M_A</v>
      </c>
      <c r="T140" s="4">
        <v>1000</v>
      </c>
    </row>
    <row r="141" spans="1:20" ht="12">
      <c r="A141" s="7">
        <f>IF(ISBLANK(Inm_11177),"",$T$141*Inm_11177)</f>
        <v>0</v>
      </c>
      <c r="B141" s="7">
        <v>11177</v>
      </c>
      <c r="C141" s="8" t="s">
        <v>347</v>
      </c>
      <c r="D141" s="90" t="s">
        <v>463</v>
      </c>
      <c r="E141" s="4">
        <v>5</v>
      </c>
      <c r="F141" s="4" t="s">
        <v>319</v>
      </c>
      <c r="G141" s="4" t="s">
        <v>348</v>
      </c>
      <c r="H141" s="4" t="s">
        <v>320</v>
      </c>
      <c r="I141" s="4" t="s">
        <v>320</v>
      </c>
      <c r="J141" s="4" t="s">
        <v>320</v>
      </c>
      <c r="K141" s="4" t="s">
        <v>327</v>
      </c>
      <c r="L141" s="4" t="s">
        <v>349</v>
      </c>
      <c r="M141" s="4" t="s">
        <v>323</v>
      </c>
      <c r="N141" s="4" t="s">
        <v>325</v>
      </c>
      <c r="O141" s="4" t="s">
        <v>319</v>
      </c>
      <c r="P141" s="5" t="e">
        <f>VLOOKUP(B141,Import!A$1:B$20000,2,FALSE)</f>
        <v>#N/A</v>
      </c>
      <c r="Q141" s="6" t="s">
        <v>455</v>
      </c>
      <c r="R141" s="9" t="e">
        <f>VLOOKUP(S141,Import!A$1:B$20000,2,FALSE)</f>
        <v>#N/A</v>
      </c>
      <c r="S141" s="10" t="str">
        <f t="shared" si="4"/>
        <v>5_A_P1E1_X_X_X_1E_N1_V_M_A</v>
      </c>
      <c r="T141" s="4">
        <v>1000</v>
      </c>
    </row>
    <row r="142" spans="1:20" ht="12">
      <c r="A142" s="7">
        <f>IF(ISBLANK(Inm_11181),"",$T$142*Inm_11181)</f>
      </c>
      <c r="B142" s="7">
        <v>11181</v>
      </c>
      <c r="C142" s="8" t="s">
        <v>350</v>
      </c>
      <c r="D142" s="90" t="s">
        <v>464</v>
      </c>
      <c r="E142" s="4">
        <v>5</v>
      </c>
      <c r="F142" s="4" t="s">
        <v>319</v>
      </c>
      <c r="G142" s="4" t="s">
        <v>348</v>
      </c>
      <c r="H142" s="4" t="s">
        <v>320</v>
      </c>
      <c r="I142" s="4" t="s">
        <v>320</v>
      </c>
      <c r="J142" s="4" t="s">
        <v>320</v>
      </c>
      <c r="K142" s="4" t="s">
        <v>327</v>
      </c>
      <c r="L142" s="4" t="s">
        <v>351</v>
      </c>
      <c r="M142" s="4" t="s">
        <v>323</v>
      </c>
      <c r="N142" s="4" t="s">
        <v>325</v>
      </c>
      <c r="O142" s="4" t="s">
        <v>319</v>
      </c>
      <c r="P142" s="5" t="e">
        <f>VLOOKUP(B142,Import!A$1:B$20000,2,FALSE)</f>
        <v>#N/A</v>
      </c>
      <c r="Q142" s="6" t="s">
        <v>455</v>
      </c>
      <c r="R142" s="9" t="e">
        <f>VLOOKUP(S142,Import!A$1:B$20000,2,FALSE)</f>
        <v>#N/A</v>
      </c>
      <c r="S142" s="10" t="str">
        <f t="shared" si="4"/>
        <v>5_A_P1E1_X_X_X_1E_N12_V_M_A</v>
      </c>
      <c r="T142" s="4">
        <v>1000</v>
      </c>
    </row>
    <row r="143" spans="1:20" ht="12">
      <c r="A143" s="7">
        <f>IF(ISBLANK(Inm_11179),"",$T$143*Inm_11179)</f>
      </c>
      <c r="B143" s="7">
        <v>11179</v>
      </c>
      <c r="C143" s="8" t="s">
        <v>352</v>
      </c>
      <c r="D143" s="90" t="s">
        <v>465</v>
      </c>
      <c r="E143" s="4">
        <v>5</v>
      </c>
      <c r="F143" s="4" t="s">
        <v>319</v>
      </c>
      <c r="G143" s="4" t="s">
        <v>348</v>
      </c>
      <c r="H143" s="4" t="s">
        <v>320</v>
      </c>
      <c r="I143" s="4" t="s">
        <v>320</v>
      </c>
      <c r="J143" s="4" t="s">
        <v>320</v>
      </c>
      <c r="K143" s="4" t="s">
        <v>327</v>
      </c>
      <c r="L143" s="4" t="s">
        <v>344</v>
      </c>
      <c r="M143" s="4" t="s">
        <v>323</v>
      </c>
      <c r="N143" s="4" t="s">
        <v>325</v>
      </c>
      <c r="O143" s="4" t="s">
        <v>319</v>
      </c>
      <c r="P143" s="5" t="e">
        <f>VLOOKUP(B143,Import!A$1:B$20000,2,FALSE)</f>
        <v>#N/A</v>
      </c>
      <c r="Q143" s="6" t="s">
        <v>455</v>
      </c>
      <c r="R143" s="9" t="e">
        <f>VLOOKUP(S143,Import!A$1:B$20000,2,FALSE)</f>
        <v>#N/A</v>
      </c>
      <c r="S143" s="10" t="str">
        <f t="shared" si="4"/>
        <v>5_A_P1E1_X_X_X_1E_N11_V_M_A</v>
      </c>
      <c r="T143" s="4">
        <v>1000</v>
      </c>
    </row>
    <row r="144" spans="1:20" ht="12">
      <c r="A144" s="7">
        <f>IF(ISBLANK(Inm_11176),"",$T$144*Inm_11176)</f>
        <v>0</v>
      </c>
      <c r="B144" s="7">
        <v>11176</v>
      </c>
      <c r="C144" s="8" t="s">
        <v>353</v>
      </c>
      <c r="D144" s="90" t="s">
        <v>466</v>
      </c>
      <c r="E144" s="4">
        <v>5</v>
      </c>
      <c r="F144" s="4" t="s">
        <v>319</v>
      </c>
      <c r="G144" s="4" t="s">
        <v>354</v>
      </c>
      <c r="H144" s="4" t="s">
        <v>320</v>
      </c>
      <c r="I144" s="4" t="s">
        <v>320</v>
      </c>
      <c r="J144" s="4" t="s">
        <v>320</v>
      </c>
      <c r="K144" s="4" t="s">
        <v>327</v>
      </c>
      <c r="L144" s="4" t="s">
        <v>349</v>
      </c>
      <c r="M144" s="4" t="s">
        <v>323</v>
      </c>
      <c r="N144" s="4" t="s">
        <v>325</v>
      </c>
      <c r="O144" s="4" t="s">
        <v>319</v>
      </c>
      <c r="P144" s="5" t="e">
        <f>VLOOKUP(B144,Import!A$1:B$20000,2,FALSE)</f>
        <v>#N/A</v>
      </c>
      <c r="Q144" s="6" t="s">
        <v>455</v>
      </c>
      <c r="R144" s="9" t="e">
        <f>VLOOKUP(S144,Import!A$1:B$20000,2,FALSE)</f>
        <v>#N/A</v>
      </c>
      <c r="S144" s="10" t="str">
        <f t="shared" si="4"/>
        <v>5_A_P1E2_X_X_X_1E_N1_V_M_A</v>
      </c>
      <c r="T144" s="4">
        <v>1000</v>
      </c>
    </row>
    <row r="145" spans="1:20" ht="12">
      <c r="A145" s="7">
        <f>IF(ISBLANK(Inm_11180),"",$T$145*Inm_11180)</f>
      </c>
      <c r="B145" s="7">
        <v>11180</v>
      </c>
      <c r="C145" s="8" t="s">
        <v>355</v>
      </c>
      <c r="D145" s="90" t="s">
        <v>467</v>
      </c>
      <c r="E145" s="4">
        <v>5</v>
      </c>
      <c r="F145" s="4" t="s">
        <v>319</v>
      </c>
      <c r="G145" s="4" t="s">
        <v>354</v>
      </c>
      <c r="H145" s="4" t="s">
        <v>320</v>
      </c>
      <c r="I145" s="4" t="s">
        <v>320</v>
      </c>
      <c r="J145" s="4" t="s">
        <v>320</v>
      </c>
      <c r="K145" s="4" t="s">
        <v>327</v>
      </c>
      <c r="L145" s="4" t="s">
        <v>351</v>
      </c>
      <c r="M145" s="4" t="s">
        <v>323</v>
      </c>
      <c r="N145" s="4" t="s">
        <v>325</v>
      </c>
      <c r="O145" s="4" t="s">
        <v>319</v>
      </c>
      <c r="P145" s="5" t="e">
        <f>VLOOKUP(B145,Import!A$1:B$20000,2,FALSE)</f>
        <v>#N/A</v>
      </c>
      <c r="Q145" s="6" t="s">
        <v>455</v>
      </c>
      <c r="R145" s="9" t="e">
        <f>VLOOKUP(S145,Import!A$1:B$20000,2,FALSE)</f>
        <v>#N/A</v>
      </c>
      <c r="S145" s="10" t="str">
        <f t="shared" si="4"/>
        <v>5_A_P1E2_X_X_X_1E_N12_V_M_A</v>
      </c>
      <c r="T145" s="4">
        <v>1000</v>
      </c>
    </row>
    <row r="146" spans="1:20" ht="12">
      <c r="A146" s="7">
        <f>IF(ISBLANK(Inm_11178),"",$T$146*Inm_11178)</f>
      </c>
      <c r="B146" s="7">
        <v>11178</v>
      </c>
      <c r="C146" s="8" t="s">
        <v>356</v>
      </c>
      <c r="D146" s="90" t="s">
        <v>468</v>
      </c>
      <c r="E146" s="4">
        <v>5</v>
      </c>
      <c r="F146" s="4" t="s">
        <v>319</v>
      </c>
      <c r="G146" s="4" t="s">
        <v>354</v>
      </c>
      <c r="H146" s="4" t="s">
        <v>320</v>
      </c>
      <c r="I146" s="4" t="s">
        <v>320</v>
      </c>
      <c r="J146" s="4" t="s">
        <v>320</v>
      </c>
      <c r="K146" s="4" t="s">
        <v>327</v>
      </c>
      <c r="L146" s="4" t="s">
        <v>344</v>
      </c>
      <c r="M146" s="4" t="s">
        <v>323</v>
      </c>
      <c r="N146" s="4" t="s">
        <v>325</v>
      </c>
      <c r="O146" s="4" t="s">
        <v>319</v>
      </c>
      <c r="P146" s="5" t="e">
        <f>VLOOKUP(B146,Import!A$1:B$20000,2,FALSE)</f>
        <v>#N/A</v>
      </c>
      <c r="Q146" s="6" t="s">
        <v>455</v>
      </c>
      <c r="R146" s="9" t="e">
        <f>VLOOKUP(S146,Import!A$1:B$20000,2,FALSE)</f>
        <v>#N/A</v>
      </c>
      <c r="S146" s="10" t="str">
        <f t="shared" si="4"/>
        <v>5_A_P1E2_X_X_X_1E_N11_V_M_A</v>
      </c>
      <c r="T146" s="4">
        <v>1000</v>
      </c>
    </row>
    <row r="147" spans="1:20" ht="12">
      <c r="A147" s="7">
        <f>IF(ISBLANK(Inm_11200),"",$T$147*Inm_11200)</f>
      </c>
      <c r="B147" s="7">
        <v>11200</v>
      </c>
      <c r="C147" s="8" t="s">
        <v>347</v>
      </c>
      <c r="D147" s="90" t="s">
        <v>469</v>
      </c>
      <c r="E147" s="4">
        <v>5</v>
      </c>
      <c r="F147" s="4" t="s">
        <v>319</v>
      </c>
      <c r="G147" s="4" t="s">
        <v>348</v>
      </c>
      <c r="H147" s="4" t="s">
        <v>320</v>
      </c>
      <c r="I147" s="4" t="s">
        <v>320</v>
      </c>
      <c r="J147" s="4" t="s">
        <v>320</v>
      </c>
      <c r="K147" s="4" t="s">
        <v>329</v>
      </c>
      <c r="L147" s="4" t="s">
        <v>349</v>
      </c>
      <c r="M147" s="4" t="s">
        <v>323</v>
      </c>
      <c r="N147" s="4" t="s">
        <v>325</v>
      </c>
      <c r="O147" s="4" t="s">
        <v>319</v>
      </c>
      <c r="P147" s="5" t="e">
        <f>VLOOKUP(B147,Import!A$1:B$20000,2,FALSE)</f>
        <v>#N/A</v>
      </c>
      <c r="Q147" s="6" t="s">
        <v>455</v>
      </c>
      <c r="R147" s="9" t="e">
        <f>VLOOKUP(S147,Import!A$1:B$20000,2,FALSE)</f>
        <v>#N/A</v>
      </c>
      <c r="S147" s="10" t="str">
        <f t="shared" si="4"/>
        <v>5_A_P1E1_X_X_X_3P_N1_V_M_A</v>
      </c>
      <c r="T147" s="4">
        <v>1000</v>
      </c>
    </row>
    <row r="148" spans="1:20" ht="12">
      <c r="A148" s="7">
        <f>IF(ISBLANK(Inm_11199),"",$T$148*Inm_11199)</f>
      </c>
      <c r="B148" s="7">
        <v>11199</v>
      </c>
      <c r="C148" s="8" t="s">
        <v>353</v>
      </c>
      <c r="D148" s="90" t="s">
        <v>470</v>
      </c>
      <c r="E148" s="4">
        <v>5</v>
      </c>
      <c r="F148" s="4" t="s">
        <v>319</v>
      </c>
      <c r="G148" s="4" t="s">
        <v>354</v>
      </c>
      <c r="H148" s="4" t="s">
        <v>320</v>
      </c>
      <c r="I148" s="4" t="s">
        <v>320</v>
      </c>
      <c r="J148" s="4" t="s">
        <v>320</v>
      </c>
      <c r="K148" s="4" t="s">
        <v>329</v>
      </c>
      <c r="L148" s="4" t="s">
        <v>349</v>
      </c>
      <c r="M148" s="4" t="s">
        <v>323</v>
      </c>
      <c r="N148" s="4" t="s">
        <v>325</v>
      </c>
      <c r="O148" s="4" t="s">
        <v>319</v>
      </c>
      <c r="P148" s="5" t="e">
        <f>VLOOKUP(B148,Import!A$1:B$20000,2,FALSE)</f>
        <v>#N/A</v>
      </c>
      <c r="Q148" s="6" t="s">
        <v>455</v>
      </c>
      <c r="R148" s="9" t="e">
        <f>VLOOKUP(S148,Import!A$1:B$20000,2,FALSE)</f>
        <v>#N/A</v>
      </c>
      <c r="S148" s="10" t="str">
        <f t="shared" si="4"/>
        <v>5_A_P1E2_X_X_X_3P_N1_V_M_A</v>
      </c>
      <c r="T148" s="4">
        <v>1000</v>
      </c>
    </row>
    <row r="149" spans="1:20" ht="12">
      <c r="A149" s="7">
        <f>IF(ISBLANK(Inm_11493),"",$T$149*Inm_11493)</f>
        <v>0</v>
      </c>
      <c r="B149" s="7">
        <v>11493</v>
      </c>
      <c r="C149" s="8" t="s">
        <v>357</v>
      </c>
      <c r="D149" s="90" t="s">
        <v>471</v>
      </c>
      <c r="E149" s="4">
        <v>5</v>
      </c>
      <c r="F149" s="4" t="s">
        <v>319</v>
      </c>
      <c r="G149" s="4" t="s">
        <v>358</v>
      </c>
      <c r="H149" s="4" t="s">
        <v>320</v>
      </c>
      <c r="I149" s="4" t="s">
        <v>320</v>
      </c>
      <c r="J149" s="4" t="s">
        <v>320</v>
      </c>
      <c r="K149" s="4" t="s">
        <v>321</v>
      </c>
      <c r="L149" s="4" t="s">
        <v>349</v>
      </c>
      <c r="M149" s="4" t="s">
        <v>323</v>
      </c>
      <c r="N149" s="4" t="s">
        <v>325</v>
      </c>
      <c r="O149" s="4" t="s">
        <v>319</v>
      </c>
      <c r="P149" s="5" t="e">
        <f>VLOOKUP(B149,Import!A$1:B$20000,2,FALSE)</f>
        <v>#N/A</v>
      </c>
      <c r="Q149" s="6" t="s">
        <v>455</v>
      </c>
      <c r="R149" s="9" t="e">
        <f>VLOOKUP(S149,Import!A$1:B$20000,2,FALSE)</f>
        <v>#N/A</v>
      </c>
      <c r="S149" s="10" t="str">
        <f t="shared" si="4"/>
        <v>5_A_P1E4_X_X_X_5J_N1_V_M_A</v>
      </c>
      <c r="T149" s="4">
        <v>1000</v>
      </c>
    </row>
    <row r="150" spans="1:20" ht="12">
      <c r="A150" s="7">
        <f>IF(ISBLANK(Inm_11174),"",$T$150*Inm_11174)</f>
      </c>
      <c r="B150" s="7">
        <v>11174</v>
      </c>
      <c r="C150" s="8" t="s">
        <v>357</v>
      </c>
      <c r="D150" s="90" t="s">
        <v>472</v>
      </c>
      <c r="E150" s="4">
        <v>5</v>
      </c>
      <c r="F150" s="4" t="s">
        <v>319</v>
      </c>
      <c r="G150" s="4" t="s">
        <v>358</v>
      </c>
      <c r="H150" s="4" t="s">
        <v>320</v>
      </c>
      <c r="I150" s="4" t="s">
        <v>320</v>
      </c>
      <c r="J150" s="4" t="s">
        <v>320</v>
      </c>
      <c r="K150" s="4" t="s">
        <v>327</v>
      </c>
      <c r="L150" s="4" t="s">
        <v>349</v>
      </c>
      <c r="M150" s="4" t="s">
        <v>323</v>
      </c>
      <c r="N150" s="4" t="s">
        <v>325</v>
      </c>
      <c r="O150" s="4" t="s">
        <v>319</v>
      </c>
      <c r="P150" s="5" t="e">
        <f>VLOOKUP(B150,Import!A$1:B$20000,2,FALSE)</f>
        <v>#N/A</v>
      </c>
      <c r="Q150" s="6" t="s">
        <v>455</v>
      </c>
      <c r="R150" s="9" t="e">
        <f>VLOOKUP(S150,Import!A$1:B$20000,2,FALSE)</f>
        <v>#N/A</v>
      </c>
      <c r="S150" s="10" t="str">
        <f t="shared" si="4"/>
        <v>5_A_P1E4_X_X_X_1E_N1_V_M_A</v>
      </c>
      <c r="T150" s="4">
        <v>1000</v>
      </c>
    </row>
    <row r="151" spans="1:20" ht="12">
      <c r="A151" s="7">
        <f>IF(ISBLANK(Inm_11198),"",$T$151*Inm_11198)</f>
      </c>
      <c r="B151" s="7">
        <v>11198</v>
      </c>
      <c r="C151" s="8" t="s">
        <v>357</v>
      </c>
      <c r="D151" s="90" t="s">
        <v>473</v>
      </c>
      <c r="E151" s="4">
        <v>5</v>
      </c>
      <c r="F151" s="4" t="s">
        <v>319</v>
      </c>
      <c r="G151" s="4" t="s">
        <v>358</v>
      </c>
      <c r="H151" s="4" t="s">
        <v>320</v>
      </c>
      <c r="I151" s="4" t="s">
        <v>320</v>
      </c>
      <c r="J151" s="4" t="s">
        <v>320</v>
      </c>
      <c r="K151" s="4" t="s">
        <v>329</v>
      </c>
      <c r="L151" s="4" t="s">
        <v>349</v>
      </c>
      <c r="M151" s="4" t="s">
        <v>323</v>
      </c>
      <c r="N151" s="4" t="s">
        <v>325</v>
      </c>
      <c r="O151" s="4" t="s">
        <v>319</v>
      </c>
      <c r="P151" s="5" t="e">
        <f>VLOOKUP(B151,Import!A$1:B$20000,2,FALSE)</f>
        <v>#N/A</v>
      </c>
      <c r="Q151" s="6" t="s">
        <v>455</v>
      </c>
      <c r="R151" s="9" t="e">
        <f>VLOOKUP(S151,Import!A$1:B$20000,2,FALSE)</f>
        <v>#N/A</v>
      </c>
      <c r="S151" s="10" t="str">
        <f t="shared" si="4"/>
        <v>5_A_P1E4_X_X_X_3P_N1_V_M_A</v>
      </c>
      <c r="T151" s="4">
        <v>1000</v>
      </c>
    </row>
    <row r="152" spans="1:20" ht="12">
      <c r="A152" s="7">
        <f>IF(ISBLANK(Inm_11399),"",$T$152*Inm_11399)</f>
      </c>
      <c r="B152" s="7">
        <v>11399</v>
      </c>
      <c r="C152" s="8" t="s">
        <v>359</v>
      </c>
      <c r="D152" s="90" t="s">
        <v>474</v>
      </c>
      <c r="E152" s="4">
        <v>5</v>
      </c>
      <c r="F152" s="4" t="s">
        <v>319</v>
      </c>
      <c r="G152" s="4" t="s">
        <v>360</v>
      </c>
      <c r="H152" s="4" t="s">
        <v>320</v>
      </c>
      <c r="I152" s="4" t="s">
        <v>320</v>
      </c>
      <c r="J152" s="4" t="s">
        <v>320</v>
      </c>
      <c r="K152" s="4" t="s">
        <v>321</v>
      </c>
      <c r="L152" s="4" t="s">
        <v>349</v>
      </c>
      <c r="M152" s="4" t="s">
        <v>323</v>
      </c>
      <c r="N152" s="4" t="s">
        <v>325</v>
      </c>
      <c r="O152" s="4" t="s">
        <v>319</v>
      </c>
      <c r="P152" s="5" t="e">
        <f>VLOOKUP(B152,Import!A$1:B$20000,2,FALSE)</f>
        <v>#N/A</v>
      </c>
      <c r="Q152" s="6" t="s">
        <v>455</v>
      </c>
      <c r="R152" s="9" t="e">
        <f>VLOOKUP(S152,Import!A$1:B$20000,2,FALSE)</f>
        <v>#N/A</v>
      </c>
      <c r="S152" s="10" t="str">
        <f t="shared" si="4"/>
        <v>5_A_P1E_X_X_X_5J_N1_V_M_A</v>
      </c>
      <c r="T152" s="4">
        <v>1000</v>
      </c>
    </row>
    <row r="153" spans="1:20" ht="12">
      <c r="A153" s="7">
        <f>IF(ISBLANK(Inm_11042),"",$T$153*Inm_11042)</f>
      </c>
      <c r="B153" s="7">
        <v>11042</v>
      </c>
      <c r="C153" s="8" t="s">
        <v>332</v>
      </c>
      <c r="D153" s="90" t="s">
        <v>475</v>
      </c>
      <c r="E153" s="4">
        <v>5</v>
      </c>
      <c r="F153" s="4" t="s">
        <v>319</v>
      </c>
      <c r="G153" s="4" t="s">
        <v>333</v>
      </c>
      <c r="H153" s="4" t="s">
        <v>320</v>
      </c>
      <c r="I153" s="4" t="s">
        <v>320</v>
      </c>
      <c r="J153" s="4" t="s">
        <v>320</v>
      </c>
      <c r="K153" s="4" t="s">
        <v>327</v>
      </c>
      <c r="L153" s="4" t="s">
        <v>322</v>
      </c>
      <c r="M153" s="4" t="s">
        <v>334</v>
      </c>
      <c r="N153" s="4" t="s">
        <v>325</v>
      </c>
      <c r="O153" s="4" t="s">
        <v>319</v>
      </c>
      <c r="P153" s="5" t="e">
        <f>VLOOKUP(B153,Import!A$1:B$20000,2,FALSE)</f>
        <v>#N/A</v>
      </c>
      <c r="Q153" s="6" t="s">
        <v>455</v>
      </c>
      <c r="R153" s="9" t="e">
        <f>VLOOKUP(S153,Import!A$1:B$20000,2,FALSE)</f>
        <v>#N/A</v>
      </c>
      <c r="S153" s="10" t="str">
        <f t="shared" si="4"/>
        <v>5_A_P1G_X_X_X_1E_N_SEK_M_A</v>
      </c>
      <c r="T153" s="4">
        <v>1000</v>
      </c>
    </row>
    <row r="154" spans="1:20" ht="12">
      <c r="A154" s="7">
        <f>IF(ISBLANK(Inm_11056),"",$T$154*Inm_11056)</f>
      </c>
      <c r="B154" s="7">
        <v>11056</v>
      </c>
      <c r="C154" s="8" t="s">
        <v>332</v>
      </c>
      <c r="D154" s="90" t="s">
        <v>476</v>
      </c>
      <c r="E154" s="4">
        <v>5</v>
      </c>
      <c r="F154" s="4" t="s">
        <v>319</v>
      </c>
      <c r="G154" s="4" t="s">
        <v>333</v>
      </c>
      <c r="H154" s="4" t="s">
        <v>320</v>
      </c>
      <c r="I154" s="4" t="s">
        <v>320</v>
      </c>
      <c r="J154" s="4" t="s">
        <v>320</v>
      </c>
      <c r="K154" s="4" t="s">
        <v>329</v>
      </c>
      <c r="L154" s="4" t="s">
        <v>322</v>
      </c>
      <c r="M154" s="4" t="s">
        <v>334</v>
      </c>
      <c r="N154" s="4" t="s">
        <v>325</v>
      </c>
      <c r="O154" s="4" t="s">
        <v>319</v>
      </c>
      <c r="P154" s="5" t="e">
        <f>VLOOKUP(B154,Import!A$1:B$20000,2,FALSE)</f>
        <v>#N/A</v>
      </c>
      <c r="Q154" s="6" t="s">
        <v>455</v>
      </c>
      <c r="R154" s="9" t="e">
        <f>VLOOKUP(S154,Import!A$1:B$20000,2,FALSE)</f>
        <v>#N/A</v>
      </c>
      <c r="S154" s="10" t="str">
        <f t="shared" si="4"/>
        <v>5_A_P1G_X_X_X_3P_N_SEK_M_A</v>
      </c>
      <c r="T154" s="4">
        <v>1000</v>
      </c>
    </row>
    <row r="155" spans="1:20" ht="12">
      <c r="A155" s="7">
        <f>IF(ISBLANK(Inm_11041),"",$T$155*Inm_11041)</f>
      </c>
      <c r="B155" s="7">
        <v>11041</v>
      </c>
      <c r="C155" s="8" t="s">
        <v>332</v>
      </c>
      <c r="D155" s="90" t="s">
        <v>477</v>
      </c>
      <c r="E155" s="4">
        <v>5</v>
      </c>
      <c r="F155" s="4" t="s">
        <v>319</v>
      </c>
      <c r="G155" s="4" t="s">
        <v>333</v>
      </c>
      <c r="H155" s="4" t="s">
        <v>320</v>
      </c>
      <c r="I155" s="4" t="s">
        <v>320</v>
      </c>
      <c r="J155" s="4" t="s">
        <v>320</v>
      </c>
      <c r="K155" s="4" t="s">
        <v>327</v>
      </c>
      <c r="L155" s="4" t="s">
        <v>322</v>
      </c>
      <c r="M155" s="4" t="s">
        <v>335</v>
      </c>
      <c r="N155" s="4" t="s">
        <v>325</v>
      </c>
      <c r="O155" s="4" t="s">
        <v>319</v>
      </c>
      <c r="P155" s="5" t="e">
        <f>VLOOKUP(B155,Import!A$1:B$20000,2,FALSE)</f>
        <v>#N/A</v>
      </c>
      <c r="Q155" s="6" t="s">
        <v>455</v>
      </c>
      <c r="R155" s="9" t="e">
        <f>VLOOKUP(S155,Import!A$1:B$20000,2,FALSE)</f>
        <v>#N/A</v>
      </c>
      <c r="S155" s="10" t="str">
        <f t="shared" si="4"/>
        <v>5_A_P1G_X_X_X_1E_N_VU_M_A</v>
      </c>
      <c r="T155" s="4">
        <v>1000</v>
      </c>
    </row>
    <row r="156" spans="1:20" ht="12">
      <c r="A156" s="7">
        <f>IF(ISBLANK(Inm_11055),"",$T$156*Inm_11055)</f>
      </c>
      <c r="B156" s="7">
        <v>11055</v>
      </c>
      <c r="C156" s="8" t="s">
        <v>332</v>
      </c>
      <c r="D156" s="90" t="s">
        <v>478</v>
      </c>
      <c r="E156" s="4">
        <v>5</v>
      </c>
      <c r="F156" s="4" t="s">
        <v>319</v>
      </c>
      <c r="G156" s="4" t="s">
        <v>333</v>
      </c>
      <c r="H156" s="4" t="s">
        <v>320</v>
      </c>
      <c r="I156" s="4" t="s">
        <v>320</v>
      </c>
      <c r="J156" s="4" t="s">
        <v>320</v>
      </c>
      <c r="K156" s="4" t="s">
        <v>329</v>
      </c>
      <c r="L156" s="4" t="s">
        <v>322</v>
      </c>
      <c r="M156" s="4" t="s">
        <v>335</v>
      </c>
      <c r="N156" s="4" t="s">
        <v>325</v>
      </c>
      <c r="O156" s="4" t="s">
        <v>319</v>
      </c>
      <c r="P156" s="5" t="e">
        <f>VLOOKUP(B156,Import!A$1:B$20000,2,FALSE)</f>
        <v>#N/A</v>
      </c>
      <c r="Q156" s="6" t="s">
        <v>455</v>
      </c>
      <c r="R156" s="9" t="e">
        <f>VLOOKUP(S156,Import!A$1:B$20000,2,FALSE)</f>
        <v>#N/A</v>
      </c>
      <c r="S156" s="10" t="str">
        <f t="shared" si="4"/>
        <v>5_A_P1G_X_X_X_3P_N_VU_M_A</v>
      </c>
      <c r="T156" s="4">
        <v>1000</v>
      </c>
    </row>
    <row r="157" spans="1:20" ht="12">
      <c r="A157" s="7">
        <f>IF(ISBLANK(Inm_11299),"",$T$157*Inm_11299)</f>
      </c>
      <c r="B157" s="7">
        <v>11299</v>
      </c>
      <c r="C157" s="8" t="s">
        <v>332</v>
      </c>
      <c r="D157" s="90" t="s">
        <v>479</v>
      </c>
      <c r="E157" s="4">
        <v>5</v>
      </c>
      <c r="F157" s="4" t="s">
        <v>319</v>
      </c>
      <c r="G157" s="4" t="s">
        <v>333</v>
      </c>
      <c r="H157" s="4" t="s">
        <v>320</v>
      </c>
      <c r="I157" s="4" t="s">
        <v>320</v>
      </c>
      <c r="J157" s="4" t="s">
        <v>320</v>
      </c>
      <c r="K157" s="4" t="s">
        <v>321</v>
      </c>
      <c r="L157" s="4" t="s">
        <v>322</v>
      </c>
      <c r="M157" s="4" t="s">
        <v>323</v>
      </c>
      <c r="N157" s="4" t="s">
        <v>325</v>
      </c>
      <c r="O157" s="4" t="s">
        <v>319</v>
      </c>
      <c r="P157" s="5" t="e">
        <f>VLOOKUP(B157,Import!A$1:B$20000,2,FALSE)</f>
        <v>#N/A</v>
      </c>
      <c r="Q157" s="6" t="s">
        <v>455</v>
      </c>
      <c r="R157" s="9" t="e">
        <f>VLOOKUP(S157,Import!A$1:B$20000,2,FALSE)</f>
        <v>#N/A</v>
      </c>
      <c r="S157" s="10" t="str">
        <f t="shared" si="4"/>
        <v>5_A_P1G_X_X_X_5J_N_V_M_A</v>
      </c>
      <c r="T157" s="4">
        <v>1000</v>
      </c>
    </row>
    <row r="158" spans="1:20" ht="12">
      <c r="A158" s="7">
        <f>IF(ISBLANK(Inm_11148),"",$T$158*Inm_11148)</f>
      </c>
      <c r="B158" s="7">
        <v>11148</v>
      </c>
      <c r="C158" s="8" t="s">
        <v>336</v>
      </c>
      <c r="D158" s="90" t="s">
        <v>480</v>
      </c>
      <c r="E158" s="4">
        <v>5</v>
      </c>
      <c r="F158" s="4" t="s">
        <v>319</v>
      </c>
      <c r="G158" s="4" t="s">
        <v>333</v>
      </c>
      <c r="H158" s="4" t="s">
        <v>320</v>
      </c>
      <c r="I158" s="4" t="s">
        <v>320</v>
      </c>
      <c r="J158" s="4" t="s">
        <v>320</v>
      </c>
      <c r="K158" s="4" t="s">
        <v>327</v>
      </c>
      <c r="L158" s="4" t="s">
        <v>337</v>
      </c>
      <c r="M158" s="4" t="s">
        <v>323</v>
      </c>
      <c r="N158" s="4" t="s">
        <v>325</v>
      </c>
      <c r="O158" s="4" t="s">
        <v>319</v>
      </c>
      <c r="P158" s="5" t="e">
        <f>VLOOKUP(B158,Import!A$1:B$20000,2,FALSE)</f>
        <v>#N/A</v>
      </c>
      <c r="Q158" s="6" t="s">
        <v>455</v>
      </c>
      <c r="R158" s="9" t="e">
        <f>VLOOKUP(S158,Import!A$1:B$20000,2,FALSE)</f>
        <v>#N/A</v>
      </c>
      <c r="S158" s="10" t="str">
        <f t="shared" si="4"/>
        <v>5_A_P1G_X_X_X_1E_N23_V_M_A</v>
      </c>
      <c r="T158" s="4">
        <v>1000</v>
      </c>
    </row>
    <row r="159" spans="1:20" ht="12">
      <c r="A159" s="7">
        <f>IF(ISBLANK(Inm_11155),"",$T$159*Inm_11155)</f>
      </c>
      <c r="B159" s="7">
        <v>11155</v>
      </c>
      <c r="C159" s="8" t="s">
        <v>343</v>
      </c>
      <c r="D159" s="90" t="s">
        <v>481</v>
      </c>
      <c r="E159" s="4">
        <v>5</v>
      </c>
      <c r="F159" s="4" t="s">
        <v>319</v>
      </c>
      <c r="G159" s="4" t="s">
        <v>333</v>
      </c>
      <c r="H159" s="4" t="s">
        <v>320</v>
      </c>
      <c r="I159" s="4" t="s">
        <v>320</v>
      </c>
      <c r="J159" s="4" t="s">
        <v>320</v>
      </c>
      <c r="K159" s="4" t="s">
        <v>327</v>
      </c>
      <c r="L159" s="4" t="s">
        <v>344</v>
      </c>
      <c r="M159" s="4" t="s">
        <v>323</v>
      </c>
      <c r="N159" s="4" t="s">
        <v>325</v>
      </c>
      <c r="O159" s="4" t="s">
        <v>319</v>
      </c>
      <c r="P159" s="5" t="e">
        <f>VLOOKUP(B159,Import!A$1:B$20000,2,FALSE)</f>
        <v>#N/A</v>
      </c>
      <c r="Q159" s="6" t="s">
        <v>455</v>
      </c>
      <c r="R159" s="9" t="e">
        <f>VLOOKUP(S159,Import!A$1:B$20000,2,FALSE)</f>
        <v>#N/A</v>
      </c>
      <c r="S159" s="10" t="str">
        <f t="shared" si="4"/>
        <v>5_A_P1G_X_X_X_1E_N11_V_M_A</v>
      </c>
      <c r="T159" s="4">
        <v>1000</v>
      </c>
    </row>
    <row r="160" spans="1:20" ht="12">
      <c r="A160" s="7">
        <f>IF(ISBLANK(Inm_11154),"",$T$160*Inm_11154)</f>
      </c>
      <c r="B160" s="7">
        <v>11154</v>
      </c>
      <c r="C160" s="8" t="s">
        <v>338</v>
      </c>
      <c r="D160" s="90" t="s">
        <v>482</v>
      </c>
      <c r="E160" s="4">
        <v>5</v>
      </c>
      <c r="F160" s="4" t="s">
        <v>319</v>
      </c>
      <c r="G160" s="4" t="s">
        <v>333</v>
      </c>
      <c r="H160" s="4" t="s">
        <v>320</v>
      </c>
      <c r="I160" s="4" t="s">
        <v>320</v>
      </c>
      <c r="J160" s="4" t="s">
        <v>320</v>
      </c>
      <c r="K160" s="4" t="s">
        <v>327</v>
      </c>
      <c r="L160" s="4" t="s">
        <v>328</v>
      </c>
      <c r="M160" s="4" t="s">
        <v>323</v>
      </c>
      <c r="N160" s="4" t="s">
        <v>325</v>
      </c>
      <c r="O160" s="4" t="s">
        <v>319</v>
      </c>
      <c r="P160" s="5" t="e">
        <f>VLOOKUP(B160,Import!A$1:B$20000,2,FALSE)</f>
        <v>#N/A</v>
      </c>
      <c r="Q160" s="6" t="s">
        <v>455</v>
      </c>
      <c r="R160" s="9" t="e">
        <f>VLOOKUP(S160,Import!A$1:B$20000,2,FALSE)</f>
        <v>#N/A</v>
      </c>
      <c r="S160" s="10" t="str">
        <f t="shared" si="4"/>
        <v>5_A_P1G_X_X_X_1E_N1211121_V_M_A</v>
      </c>
      <c r="T160" s="4">
        <v>1000</v>
      </c>
    </row>
    <row r="161" spans="1:20" ht="12">
      <c r="A161" s="7">
        <f>IF(ISBLANK(Inm_11153),"",$T$161*Inm_11153)</f>
      </c>
      <c r="B161" s="7">
        <v>11153</v>
      </c>
      <c r="C161" s="8" t="s">
        <v>339</v>
      </c>
      <c r="D161" s="90" t="s">
        <v>483</v>
      </c>
      <c r="E161" s="4">
        <v>5</v>
      </c>
      <c r="F161" s="4" t="s">
        <v>319</v>
      </c>
      <c r="G161" s="4" t="s">
        <v>333</v>
      </c>
      <c r="H161" s="4" t="s">
        <v>320</v>
      </c>
      <c r="I161" s="4" t="s">
        <v>320</v>
      </c>
      <c r="J161" s="4" t="s">
        <v>320</v>
      </c>
      <c r="K161" s="4" t="s">
        <v>327</v>
      </c>
      <c r="L161" s="4" t="s">
        <v>340</v>
      </c>
      <c r="M161" s="4" t="s">
        <v>323</v>
      </c>
      <c r="N161" s="4" t="s">
        <v>325</v>
      </c>
      <c r="O161" s="4" t="s">
        <v>319</v>
      </c>
      <c r="P161" s="5" t="e">
        <f>VLOOKUP(B161,Import!A$1:B$20000,2,FALSE)</f>
        <v>#N/A</v>
      </c>
      <c r="Q161" s="6" t="s">
        <v>455</v>
      </c>
      <c r="R161" s="9" t="e">
        <f>VLOOKUP(S161,Import!A$1:B$20000,2,FALSE)</f>
        <v>#N/A</v>
      </c>
      <c r="S161" s="10" t="str">
        <f t="shared" si="4"/>
        <v>5_A_P1G_X_X_X_1E_N121121_V_M_A</v>
      </c>
      <c r="T161" s="4">
        <v>1000</v>
      </c>
    </row>
    <row r="162" spans="1:20" ht="12">
      <c r="A162" s="7">
        <f>IF(ISBLANK(Inm_11152),"",$T$162*Inm_11152)</f>
      </c>
      <c r="B162" s="7">
        <v>11152</v>
      </c>
      <c r="C162" s="8" t="s">
        <v>341</v>
      </c>
      <c r="D162" s="90" t="s">
        <v>484</v>
      </c>
      <c r="E162" s="4">
        <v>5</v>
      </c>
      <c r="F162" s="4" t="s">
        <v>319</v>
      </c>
      <c r="G162" s="4" t="s">
        <v>333</v>
      </c>
      <c r="H162" s="4" t="s">
        <v>320</v>
      </c>
      <c r="I162" s="4" t="s">
        <v>320</v>
      </c>
      <c r="J162" s="4" t="s">
        <v>320</v>
      </c>
      <c r="K162" s="4" t="s">
        <v>327</v>
      </c>
      <c r="L162" s="4" t="s">
        <v>342</v>
      </c>
      <c r="M162" s="4" t="s">
        <v>323</v>
      </c>
      <c r="N162" s="4" t="s">
        <v>325</v>
      </c>
      <c r="O162" s="4" t="s">
        <v>319</v>
      </c>
      <c r="P162" s="5" t="e">
        <f>VLOOKUP(B162,Import!A$1:B$20000,2,FALSE)</f>
        <v>#N/A</v>
      </c>
      <c r="Q162" s="6" t="s">
        <v>455</v>
      </c>
      <c r="R162" s="9" t="e">
        <f>VLOOKUP(S162,Import!A$1:B$20000,2,FALSE)</f>
        <v>#N/A</v>
      </c>
      <c r="S162" s="10" t="str">
        <f t="shared" si="4"/>
        <v>5_A_P1G_X_X_X_1E_N121122_V_M_A</v>
      </c>
      <c r="T162" s="4">
        <v>1000</v>
      </c>
    </row>
    <row r="163" spans="1:20" ht="12">
      <c r="A163" s="7">
        <f>IF(ISBLANK(Inm_11191),"",$T$163*Inm_11191)</f>
      </c>
      <c r="B163" s="7">
        <v>11191</v>
      </c>
      <c r="C163" s="8" t="s">
        <v>345</v>
      </c>
      <c r="D163" s="90" t="s">
        <v>485</v>
      </c>
      <c r="E163" s="4">
        <v>5</v>
      </c>
      <c r="F163" s="4" t="s">
        <v>319</v>
      </c>
      <c r="G163" s="4" t="s">
        <v>333</v>
      </c>
      <c r="H163" s="4" t="s">
        <v>320</v>
      </c>
      <c r="I163" s="4" t="s">
        <v>320</v>
      </c>
      <c r="J163" s="4" t="s">
        <v>320</v>
      </c>
      <c r="K163" s="4" t="s">
        <v>327</v>
      </c>
      <c r="L163" s="4" t="s">
        <v>346</v>
      </c>
      <c r="M163" s="4" t="s">
        <v>323</v>
      </c>
      <c r="N163" s="4" t="s">
        <v>325</v>
      </c>
      <c r="O163" s="4" t="s">
        <v>319</v>
      </c>
      <c r="P163" s="5" t="e">
        <f>VLOOKUP(B163,Import!A$1:B$20000,2,FALSE)</f>
        <v>#N/A</v>
      </c>
      <c r="Q163" s="6" t="s">
        <v>455</v>
      </c>
      <c r="R163" s="9" t="e">
        <f>VLOOKUP(S163,Import!A$1:B$20000,2,FALSE)</f>
        <v>#N/A</v>
      </c>
      <c r="S163" s="10" t="str">
        <f t="shared" si="4"/>
        <v>5_A_P1G_X_X_X_1E_NXX_V_M_A</v>
      </c>
      <c r="T163" s="4">
        <v>1000</v>
      </c>
    </row>
    <row r="164" spans="1:20" ht="12">
      <c r="A164" s="7">
        <f>IF(ISBLANK(Inm_11043),"",$T$164*Inm_11043)</f>
      </c>
      <c r="B164" s="7">
        <v>11043</v>
      </c>
      <c r="C164" s="8" t="s">
        <v>332</v>
      </c>
      <c r="D164" s="90" t="s">
        <v>486</v>
      </c>
      <c r="E164" s="4">
        <v>5</v>
      </c>
      <c r="F164" s="4" t="s">
        <v>319</v>
      </c>
      <c r="G164" s="4" t="s">
        <v>333</v>
      </c>
      <c r="H164" s="4" t="s">
        <v>320</v>
      </c>
      <c r="I164" s="4" t="s">
        <v>320</v>
      </c>
      <c r="J164" s="4" t="s">
        <v>320</v>
      </c>
      <c r="K164" s="4" t="s">
        <v>327</v>
      </c>
      <c r="L164" s="4" t="s">
        <v>322</v>
      </c>
      <c r="M164" s="4" t="s">
        <v>323</v>
      </c>
      <c r="N164" s="4" t="s">
        <v>325</v>
      </c>
      <c r="O164" s="4" t="s">
        <v>319</v>
      </c>
      <c r="P164" s="5" t="e">
        <f>VLOOKUP(B164,Import!A$1:B$20000,2,FALSE)</f>
        <v>#N/A</v>
      </c>
      <c r="Q164" s="6" t="s">
        <v>455</v>
      </c>
      <c r="R164" s="9" t="e">
        <f>VLOOKUP(S164,Import!A$1:B$20000,2,FALSE)</f>
        <v>#N/A</v>
      </c>
      <c r="S164" s="10" t="str">
        <f t="shared" si="4"/>
        <v>5_A_P1G_X_X_X_1E_N_V_M_A</v>
      </c>
      <c r="T164" s="4">
        <v>1000</v>
      </c>
    </row>
    <row r="165" spans="1:20" ht="12">
      <c r="A165" s="7">
        <f>IF(ISBLANK(Inm_11172),"",$T$165*Inm_11172)</f>
      </c>
      <c r="B165" s="7">
        <v>11172</v>
      </c>
      <c r="C165" s="8" t="s">
        <v>330</v>
      </c>
      <c r="D165" s="90" t="s">
        <v>487</v>
      </c>
      <c r="E165" s="4">
        <v>5</v>
      </c>
      <c r="F165" s="4" t="s">
        <v>319</v>
      </c>
      <c r="G165" s="4" t="s">
        <v>331</v>
      </c>
      <c r="H165" s="4" t="s">
        <v>320</v>
      </c>
      <c r="I165" s="4" t="s">
        <v>320</v>
      </c>
      <c r="J165" s="4" t="s">
        <v>320</v>
      </c>
      <c r="K165" s="4" t="s">
        <v>327</v>
      </c>
      <c r="L165" s="4" t="s">
        <v>322</v>
      </c>
      <c r="M165" s="4" t="s">
        <v>323</v>
      </c>
      <c r="N165" s="4" t="s">
        <v>325</v>
      </c>
      <c r="O165" s="4" t="s">
        <v>319</v>
      </c>
      <c r="P165" s="5" t="e">
        <f>VLOOKUP(B165,Import!A$1:B$20000,2,FALSE)</f>
        <v>#N/A</v>
      </c>
      <c r="Q165" s="6" t="s">
        <v>455</v>
      </c>
      <c r="R165" s="9" t="e">
        <f>VLOOKUP(S165,Import!A$1:B$20000,2,FALSE)</f>
        <v>#N/A</v>
      </c>
      <c r="S165" s="10" t="str">
        <f t="shared" si="4"/>
        <v>5_A_P1H_X_X_X_1E_N_V_M_A</v>
      </c>
      <c r="T165" s="4">
        <v>1000</v>
      </c>
    </row>
    <row r="166" spans="1:20" ht="12">
      <c r="A166" s="7">
        <f>IF(ISBLANK(Inm_11204),"",$T$166*Inm_11204)</f>
      </c>
      <c r="B166" s="7">
        <v>11204</v>
      </c>
      <c r="C166" s="8" t="s">
        <v>330</v>
      </c>
      <c r="D166" s="90" t="s">
        <v>488</v>
      </c>
      <c r="E166" s="4">
        <v>5</v>
      </c>
      <c r="F166" s="4" t="s">
        <v>319</v>
      </c>
      <c r="G166" s="4" t="s">
        <v>331</v>
      </c>
      <c r="H166" s="4" t="s">
        <v>320</v>
      </c>
      <c r="I166" s="4" t="s">
        <v>320</v>
      </c>
      <c r="J166" s="4" t="s">
        <v>320</v>
      </c>
      <c r="K166" s="4" t="s">
        <v>329</v>
      </c>
      <c r="L166" s="4" t="s">
        <v>322</v>
      </c>
      <c r="M166" s="4" t="s">
        <v>323</v>
      </c>
      <c r="N166" s="4" t="s">
        <v>325</v>
      </c>
      <c r="O166" s="4" t="s">
        <v>319</v>
      </c>
      <c r="P166" s="5" t="e">
        <f>VLOOKUP(B166,Import!A$1:B$20000,2,FALSE)</f>
        <v>#N/A</v>
      </c>
      <c r="Q166" s="6" t="s">
        <v>455</v>
      </c>
      <c r="R166" s="9" t="e">
        <f>VLOOKUP(S166,Import!A$1:B$20000,2,FALSE)</f>
        <v>#N/A</v>
      </c>
      <c r="S166" s="10" t="str">
        <f t="shared" si="4"/>
        <v>5_A_P1H_X_X_X_3P_N_V_M_A</v>
      </c>
      <c r="T166" s="4">
        <v>1000</v>
      </c>
    </row>
    <row r="167" spans="1:20" ht="12">
      <c r="A167" s="7">
        <f>IF(ISBLANK(Inm_11300),"",$T$167*Inm_11300)</f>
      </c>
      <c r="B167" s="7">
        <v>11300</v>
      </c>
      <c r="C167" s="8" t="s">
        <v>330</v>
      </c>
      <c r="D167" s="90" t="s">
        <v>489</v>
      </c>
      <c r="E167" s="4">
        <v>5</v>
      </c>
      <c r="F167" s="4" t="s">
        <v>319</v>
      </c>
      <c r="G167" s="4" t="s">
        <v>331</v>
      </c>
      <c r="H167" s="4" t="s">
        <v>320</v>
      </c>
      <c r="I167" s="4" t="s">
        <v>320</v>
      </c>
      <c r="J167" s="4" t="s">
        <v>320</v>
      </c>
      <c r="K167" s="4" t="s">
        <v>321</v>
      </c>
      <c r="L167" s="4" t="s">
        <v>322</v>
      </c>
      <c r="M167" s="4" t="s">
        <v>323</v>
      </c>
      <c r="N167" s="4" t="s">
        <v>325</v>
      </c>
      <c r="O167" s="4" t="s">
        <v>319</v>
      </c>
      <c r="P167" s="5" t="e">
        <f>VLOOKUP(B167,Import!A$1:B$20000,2,FALSE)</f>
        <v>#N/A</v>
      </c>
      <c r="Q167" s="6" t="s">
        <v>455</v>
      </c>
      <c r="R167" s="9" t="e">
        <f>VLOOKUP(S167,Import!A$1:B$20000,2,FALSE)</f>
        <v>#N/A</v>
      </c>
      <c r="S167" s="10" t="str">
        <f t="shared" si="4"/>
        <v>5_A_P1H_X_X_X_5J_N_V_M_A</v>
      </c>
      <c r="T167" s="4">
        <v>1000</v>
      </c>
    </row>
    <row r="168" spans="1:20" ht="12">
      <c r="A168" s="7">
        <f>IF(ISBLANK(Inm_11290),"",$T$168*Inm_11290)</f>
      </c>
      <c r="B168" s="7">
        <v>11290</v>
      </c>
      <c r="C168" s="8" t="s">
        <v>1008</v>
      </c>
      <c r="D168" s="90" t="s">
        <v>1009</v>
      </c>
      <c r="E168" s="4">
        <v>5</v>
      </c>
      <c r="F168" s="4" t="s">
        <v>319</v>
      </c>
      <c r="G168" s="4" t="s">
        <v>326</v>
      </c>
      <c r="H168" s="4" t="s">
        <v>320</v>
      </c>
      <c r="I168" s="4" t="s">
        <v>320</v>
      </c>
      <c r="J168" s="4" t="s">
        <v>320</v>
      </c>
      <c r="K168" s="4" t="s">
        <v>321</v>
      </c>
      <c r="L168" s="4" t="s">
        <v>322</v>
      </c>
      <c r="M168" s="4" t="s">
        <v>323</v>
      </c>
      <c r="N168" s="4" t="s">
        <v>325</v>
      </c>
      <c r="O168" s="4" t="s">
        <v>319</v>
      </c>
      <c r="P168" s="5" t="e">
        <f>VLOOKUP(B168,Import!A$1:B$20000,2,FALSE)</f>
        <v>#N/A</v>
      </c>
      <c r="Q168" s="6" t="s">
        <v>455</v>
      </c>
      <c r="R168" s="9" t="e">
        <f>VLOOKUP(S168,Import!A$1:B$20000,2,FALSE)</f>
        <v>#N/A</v>
      </c>
      <c r="S168" s="10" t="str">
        <f aca="true" t="shared" si="5" ref="S168:S185">CONCATENATE(E168,"_",F168,"_",G168,"_",H168,"_",I168,"_",J168,"_",K168,"_",L168,"_",M168,"_",N168,"_",O168)</f>
        <v>5_A_P1_X_X_X_5J_N_V_M_A</v>
      </c>
      <c r="T168" s="4">
        <v>1000</v>
      </c>
    </row>
    <row r="169" spans="1:20" ht="12">
      <c r="A169" s="7">
        <f>IF(ISBLANK(Inm_11281),"",$T$169*Inm_11281)</f>
      </c>
      <c r="B169" s="7">
        <v>11281</v>
      </c>
      <c r="C169" s="8" t="s">
        <v>165</v>
      </c>
      <c r="D169" s="90" t="s">
        <v>166</v>
      </c>
      <c r="E169" s="4">
        <v>5</v>
      </c>
      <c r="F169" s="4" t="s">
        <v>319</v>
      </c>
      <c r="G169" s="4" t="s">
        <v>167</v>
      </c>
      <c r="H169" s="4" t="s">
        <v>320</v>
      </c>
      <c r="I169" s="4" t="s">
        <v>320</v>
      </c>
      <c r="J169" s="4" t="s">
        <v>320</v>
      </c>
      <c r="K169" s="4" t="s">
        <v>321</v>
      </c>
      <c r="L169" s="4" t="s">
        <v>322</v>
      </c>
      <c r="M169" s="4" t="s">
        <v>323</v>
      </c>
      <c r="N169" s="4" t="s">
        <v>325</v>
      </c>
      <c r="O169" s="4" t="s">
        <v>319</v>
      </c>
      <c r="P169" s="5" t="e">
        <f>VLOOKUP(B169,Import!A$1:B$20000,2,FALSE)</f>
        <v>#N/A</v>
      </c>
      <c r="Q169" s="6" t="s">
        <v>455</v>
      </c>
      <c r="R169" s="9" t="e">
        <f>VLOOKUP(S169,Import!A$1:B$20000,2,FALSE)</f>
        <v>#N/A</v>
      </c>
      <c r="S169" s="10" t="str">
        <f t="shared" si="5"/>
        <v>5_A_P1L1_X_X_X_5J_N_V_M_A</v>
      </c>
      <c r="T169" s="4">
        <v>1000</v>
      </c>
    </row>
    <row r="170" spans="1:20" ht="12">
      <c r="A170" s="7">
        <f>IF(ISBLANK(Inm_11054),"",$T$170*Inm_11054)</f>
      </c>
      <c r="B170" s="7">
        <v>11054</v>
      </c>
      <c r="C170" s="8" t="s">
        <v>366</v>
      </c>
      <c r="D170" s="90" t="s">
        <v>168</v>
      </c>
      <c r="E170" s="4">
        <v>5</v>
      </c>
      <c r="F170" s="4" t="s">
        <v>319</v>
      </c>
      <c r="G170" s="4" t="s">
        <v>367</v>
      </c>
      <c r="H170" s="4" t="s">
        <v>320</v>
      </c>
      <c r="I170" s="4" t="s">
        <v>320</v>
      </c>
      <c r="J170" s="4" t="s">
        <v>320</v>
      </c>
      <c r="K170" s="4" t="s">
        <v>327</v>
      </c>
      <c r="L170" s="4" t="s">
        <v>322</v>
      </c>
      <c r="M170" s="4" t="s">
        <v>334</v>
      </c>
      <c r="N170" s="4" t="s">
        <v>325</v>
      </c>
      <c r="O170" s="4" t="s">
        <v>319</v>
      </c>
      <c r="P170" s="5" t="e">
        <f>VLOOKUP(B170,Import!A$1:B$20000,2,FALSE)</f>
        <v>#N/A</v>
      </c>
      <c r="Q170" s="6" t="s">
        <v>455</v>
      </c>
      <c r="R170" s="9" t="e">
        <f>VLOOKUP(S170,Import!A$1:B$20000,2,FALSE)</f>
        <v>#N/A</v>
      </c>
      <c r="S170" s="10" t="str">
        <f t="shared" si="5"/>
        <v>5_A_P1C_X_X_X_1E_N_SEK_M_A</v>
      </c>
      <c r="T170" s="4">
        <v>1000</v>
      </c>
    </row>
    <row r="171" spans="1:20" ht="12">
      <c r="A171" s="7">
        <f>IF(ISBLANK(Inm_11050),"",$T$171*Inm_11050)</f>
      </c>
      <c r="B171" s="7">
        <v>11050</v>
      </c>
      <c r="C171" s="8" t="s">
        <v>366</v>
      </c>
      <c r="D171" s="90" t="s">
        <v>169</v>
      </c>
      <c r="E171" s="4">
        <v>5</v>
      </c>
      <c r="F171" s="4" t="s">
        <v>319</v>
      </c>
      <c r="G171" s="4" t="s">
        <v>367</v>
      </c>
      <c r="H171" s="4" t="s">
        <v>320</v>
      </c>
      <c r="I171" s="4" t="s">
        <v>320</v>
      </c>
      <c r="J171" s="4" t="s">
        <v>320</v>
      </c>
      <c r="K171" s="4" t="s">
        <v>329</v>
      </c>
      <c r="L171" s="4" t="s">
        <v>322</v>
      </c>
      <c r="M171" s="4" t="s">
        <v>334</v>
      </c>
      <c r="N171" s="4" t="s">
        <v>325</v>
      </c>
      <c r="O171" s="4" t="s">
        <v>319</v>
      </c>
      <c r="P171" s="5" t="e">
        <f>VLOOKUP(B171,Import!A$1:B$20000,2,FALSE)</f>
        <v>#N/A</v>
      </c>
      <c r="Q171" s="6" t="s">
        <v>455</v>
      </c>
      <c r="R171" s="9" t="e">
        <f>VLOOKUP(S171,Import!A$1:B$20000,2,FALSE)</f>
        <v>#N/A</v>
      </c>
      <c r="S171" s="10" t="str">
        <f t="shared" si="5"/>
        <v>5_A_P1C_X_X_X_3P_N_SEK_M_A</v>
      </c>
      <c r="T171" s="4">
        <v>1000</v>
      </c>
    </row>
    <row r="172" spans="1:20" ht="12">
      <c r="A172" s="7">
        <f>IF(ISBLANK(Inm_11052),"",$T$172*Inm_11052)</f>
      </c>
      <c r="B172" s="7">
        <v>11052</v>
      </c>
      <c r="C172" s="8" t="s">
        <v>366</v>
      </c>
      <c r="D172" s="90" t="s">
        <v>170</v>
      </c>
      <c r="E172" s="4">
        <v>5</v>
      </c>
      <c r="F172" s="4" t="s">
        <v>319</v>
      </c>
      <c r="G172" s="4" t="s">
        <v>367</v>
      </c>
      <c r="H172" s="4" t="s">
        <v>320</v>
      </c>
      <c r="I172" s="4" t="s">
        <v>320</v>
      </c>
      <c r="J172" s="4" t="s">
        <v>320</v>
      </c>
      <c r="K172" s="4" t="s">
        <v>327</v>
      </c>
      <c r="L172" s="4" t="s">
        <v>322</v>
      </c>
      <c r="M172" s="4" t="s">
        <v>335</v>
      </c>
      <c r="N172" s="4" t="s">
        <v>325</v>
      </c>
      <c r="O172" s="4" t="s">
        <v>319</v>
      </c>
      <c r="P172" s="5" t="e">
        <f>VLOOKUP(B172,Import!A$1:B$20000,2,FALSE)</f>
        <v>#N/A</v>
      </c>
      <c r="Q172" s="6" t="s">
        <v>455</v>
      </c>
      <c r="R172" s="9" t="e">
        <f>VLOOKUP(S172,Import!A$1:B$20000,2,FALSE)</f>
        <v>#N/A</v>
      </c>
      <c r="S172" s="10" t="str">
        <f t="shared" si="5"/>
        <v>5_A_P1C_X_X_X_1E_N_VU_M_A</v>
      </c>
      <c r="T172" s="4">
        <v>1000</v>
      </c>
    </row>
    <row r="173" spans="1:20" ht="12">
      <c r="A173" s="7">
        <f>IF(ISBLANK(Inm_11048),"",$T$173*Inm_11048)</f>
      </c>
      <c r="B173" s="7">
        <v>11048</v>
      </c>
      <c r="C173" s="8" t="s">
        <v>366</v>
      </c>
      <c r="D173" s="90" t="s">
        <v>171</v>
      </c>
      <c r="E173" s="4">
        <v>5</v>
      </c>
      <c r="F173" s="4" t="s">
        <v>319</v>
      </c>
      <c r="G173" s="4" t="s">
        <v>367</v>
      </c>
      <c r="H173" s="4" t="s">
        <v>320</v>
      </c>
      <c r="I173" s="4" t="s">
        <v>320</v>
      </c>
      <c r="J173" s="4" t="s">
        <v>320</v>
      </c>
      <c r="K173" s="4" t="s">
        <v>329</v>
      </c>
      <c r="L173" s="4" t="s">
        <v>322</v>
      </c>
      <c r="M173" s="4" t="s">
        <v>335</v>
      </c>
      <c r="N173" s="4" t="s">
        <v>325</v>
      </c>
      <c r="O173" s="4" t="s">
        <v>319</v>
      </c>
      <c r="P173" s="5" t="e">
        <f>VLOOKUP(B173,Import!A$1:B$20000,2,FALSE)</f>
        <v>#N/A</v>
      </c>
      <c r="Q173" s="6" t="s">
        <v>455</v>
      </c>
      <c r="R173" s="9" t="e">
        <f>VLOOKUP(S173,Import!A$1:B$20000,2,FALSE)</f>
        <v>#N/A</v>
      </c>
      <c r="S173" s="10" t="str">
        <f t="shared" si="5"/>
        <v>5_A_P1C_X_X_X_3P_N_VU_M_A</v>
      </c>
      <c r="T173" s="4">
        <v>1000</v>
      </c>
    </row>
    <row r="174" spans="1:20" ht="12">
      <c r="A174" s="7">
        <f>IF(ISBLANK(Inm_11292),"",$T$174*Inm_11292)</f>
      </c>
      <c r="B174" s="7">
        <v>11292</v>
      </c>
      <c r="C174" s="8" t="s">
        <v>366</v>
      </c>
      <c r="D174" s="90" t="s">
        <v>172</v>
      </c>
      <c r="E174" s="4">
        <v>5</v>
      </c>
      <c r="F174" s="4" t="s">
        <v>319</v>
      </c>
      <c r="G174" s="4" t="s">
        <v>367</v>
      </c>
      <c r="H174" s="4" t="s">
        <v>320</v>
      </c>
      <c r="I174" s="4" t="s">
        <v>320</v>
      </c>
      <c r="J174" s="4" t="s">
        <v>320</v>
      </c>
      <c r="K174" s="4" t="s">
        <v>321</v>
      </c>
      <c r="L174" s="4" t="s">
        <v>322</v>
      </c>
      <c r="M174" s="4" t="s">
        <v>323</v>
      </c>
      <c r="N174" s="4" t="s">
        <v>325</v>
      </c>
      <c r="O174" s="4" t="s">
        <v>319</v>
      </c>
      <c r="P174" s="5" t="e">
        <f>VLOOKUP(B174,Import!A$1:B$20000,2,FALSE)</f>
        <v>#N/A</v>
      </c>
      <c r="Q174" s="6" t="s">
        <v>455</v>
      </c>
      <c r="R174" s="9" t="e">
        <f>VLOOKUP(S174,Import!A$1:B$20000,2,FALSE)</f>
        <v>#N/A</v>
      </c>
      <c r="S174" s="10" t="str">
        <f t="shared" si="5"/>
        <v>5_A_P1C_X_X_X_5J_N_V_M_A</v>
      </c>
      <c r="T174" s="4">
        <v>1000</v>
      </c>
    </row>
    <row r="175" spans="1:20" ht="12">
      <c r="A175" s="7">
        <f>IF(ISBLANK(Inm_11187),"",$T$175*Inm_11187)</f>
      </c>
      <c r="B175" s="7">
        <v>11187</v>
      </c>
      <c r="C175" s="8" t="s">
        <v>368</v>
      </c>
      <c r="D175" s="90" t="s">
        <v>173</v>
      </c>
      <c r="E175" s="4">
        <v>5</v>
      </c>
      <c r="F175" s="4" t="s">
        <v>319</v>
      </c>
      <c r="G175" s="4" t="s">
        <v>369</v>
      </c>
      <c r="H175" s="4" t="s">
        <v>320</v>
      </c>
      <c r="I175" s="4" t="s">
        <v>320</v>
      </c>
      <c r="J175" s="4" t="s">
        <v>320</v>
      </c>
      <c r="K175" s="4" t="s">
        <v>327</v>
      </c>
      <c r="L175" s="4" t="s">
        <v>370</v>
      </c>
      <c r="M175" s="4" t="s">
        <v>323</v>
      </c>
      <c r="N175" s="4" t="s">
        <v>325</v>
      </c>
      <c r="O175" s="4" t="s">
        <v>319</v>
      </c>
      <c r="P175" s="5" t="e">
        <f>VLOOKUP(B175,Import!A$1:B$20000,2,FALSE)</f>
        <v>#N/A</v>
      </c>
      <c r="Q175" s="6" t="s">
        <v>455</v>
      </c>
      <c r="R175" s="9" t="e">
        <f>VLOOKUP(S175,Import!A$1:B$20000,2,FALSE)</f>
        <v>#N/A</v>
      </c>
      <c r="S175" s="10" t="str">
        <f t="shared" si="5"/>
        <v>5_A_P1C1_X_X_X_1E_N21_V_M_A</v>
      </c>
      <c r="T175" s="4">
        <v>1000</v>
      </c>
    </row>
    <row r="176" spans="1:20" ht="12">
      <c r="A176" s="7">
        <f>IF(ISBLANK(Inm_11186),"",$T$176*Inm_11186)</f>
      </c>
      <c r="B176" s="7">
        <v>11186</v>
      </c>
      <c r="C176" s="8" t="s">
        <v>368</v>
      </c>
      <c r="D176" s="90" t="s">
        <v>174</v>
      </c>
      <c r="E176" s="4">
        <v>5</v>
      </c>
      <c r="F176" s="4" t="s">
        <v>319</v>
      </c>
      <c r="G176" s="4" t="s">
        <v>371</v>
      </c>
      <c r="H176" s="4" t="s">
        <v>320</v>
      </c>
      <c r="I176" s="4" t="s">
        <v>320</v>
      </c>
      <c r="J176" s="4" t="s">
        <v>320</v>
      </c>
      <c r="K176" s="4" t="s">
        <v>327</v>
      </c>
      <c r="L176" s="4" t="s">
        <v>370</v>
      </c>
      <c r="M176" s="4" t="s">
        <v>323</v>
      </c>
      <c r="N176" s="4" t="s">
        <v>325</v>
      </c>
      <c r="O176" s="4" t="s">
        <v>319</v>
      </c>
      <c r="P176" s="5" t="e">
        <f>VLOOKUP(B176,Import!A$1:B$20000,2,FALSE)</f>
        <v>#N/A</v>
      </c>
      <c r="Q176" s="6" t="s">
        <v>455</v>
      </c>
      <c r="R176" s="9" t="e">
        <f>VLOOKUP(S176,Import!A$1:B$20000,2,FALSE)</f>
        <v>#N/A</v>
      </c>
      <c r="S176" s="10" t="str">
        <f t="shared" si="5"/>
        <v>5_A_P1C2_X_X_X_1E_N21_V_M_A</v>
      </c>
      <c r="T176" s="4">
        <v>1000</v>
      </c>
    </row>
    <row r="177" spans="1:20" ht="12">
      <c r="A177" s="7">
        <f>IF(ISBLANK(Inm_11156),"",$T$177*Inm_11156)</f>
      </c>
      <c r="B177" s="7">
        <v>11156</v>
      </c>
      <c r="C177" s="8" t="s">
        <v>372</v>
      </c>
      <c r="D177" s="90" t="s">
        <v>175</v>
      </c>
      <c r="E177" s="4">
        <v>5</v>
      </c>
      <c r="F177" s="4" t="s">
        <v>319</v>
      </c>
      <c r="G177" s="4" t="s">
        <v>367</v>
      </c>
      <c r="H177" s="4" t="s">
        <v>320</v>
      </c>
      <c r="I177" s="4" t="s">
        <v>320</v>
      </c>
      <c r="J177" s="4" t="s">
        <v>320</v>
      </c>
      <c r="K177" s="4" t="s">
        <v>327</v>
      </c>
      <c r="L177" s="4" t="s">
        <v>337</v>
      </c>
      <c r="M177" s="4" t="s">
        <v>323</v>
      </c>
      <c r="N177" s="4" t="s">
        <v>325</v>
      </c>
      <c r="O177" s="4" t="s">
        <v>319</v>
      </c>
      <c r="P177" s="5" t="e">
        <f>VLOOKUP(B177,Import!A$1:B$20000,2,FALSE)</f>
        <v>#N/A</v>
      </c>
      <c r="Q177" s="6" t="s">
        <v>455</v>
      </c>
      <c r="R177" s="9" t="e">
        <f>VLOOKUP(S177,Import!A$1:B$20000,2,FALSE)</f>
        <v>#N/A</v>
      </c>
      <c r="S177" s="10" t="str">
        <f t="shared" si="5"/>
        <v>5_A_P1C_X_X_X_1E_N23_V_M_A</v>
      </c>
      <c r="T177" s="4">
        <v>1000</v>
      </c>
    </row>
    <row r="178" spans="1:20" ht="12">
      <c r="A178" s="7">
        <f>IF(ISBLANK(Inm_11139),"",$T$178*Inm_11139)</f>
      </c>
      <c r="B178" s="7">
        <v>11139</v>
      </c>
      <c r="C178" s="8" t="s">
        <v>376</v>
      </c>
      <c r="D178" s="90" t="s">
        <v>176</v>
      </c>
      <c r="E178" s="4">
        <v>5</v>
      </c>
      <c r="F178" s="4" t="s">
        <v>319</v>
      </c>
      <c r="G178" s="4" t="s">
        <v>367</v>
      </c>
      <c r="H178" s="4" t="s">
        <v>320</v>
      </c>
      <c r="I178" s="4" t="s">
        <v>320</v>
      </c>
      <c r="J178" s="4" t="s">
        <v>320</v>
      </c>
      <c r="K178" s="4" t="s">
        <v>327</v>
      </c>
      <c r="L178" s="4" t="s">
        <v>344</v>
      </c>
      <c r="M178" s="4" t="s">
        <v>323</v>
      </c>
      <c r="N178" s="4" t="s">
        <v>325</v>
      </c>
      <c r="O178" s="4" t="s">
        <v>319</v>
      </c>
      <c r="P178" s="5" t="e">
        <f>VLOOKUP(B178,Import!A$1:B$20000,2,FALSE)</f>
        <v>#N/A</v>
      </c>
      <c r="Q178" s="6" t="s">
        <v>455</v>
      </c>
      <c r="R178" s="9" t="e">
        <f>VLOOKUP(S178,Import!A$1:B$20000,2,FALSE)</f>
        <v>#N/A</v>
      </c>
      <c r="S178" s="10" t="str">
        <f t="shared" si="5"/>
        <v>5_A_P1C_X_X_X_1E_N11_V_M_A</v>
      </c>
      <c r="T178" s="4">
        <v>1000</v>
      </c>
    </row>
    <row r="179" spans="1:20" ht="12">
      <c r="A179" s="7">
        <f>IF(ISBLANK(Inm_11138),"",$T$179*Inm_11138)</f>
      </c>
      <c r="B179" s="7">
        <v>11138</v>
      </c>
      <c r="C179" s="8" t="s">
        <v>373</v>
      </c>
      <c r="D179" s="90" t="s">
        <v>177</v>
      </c>
      <c r="E179" s="4">
        <v>5</v>
      </c>
      <c r="F179" s="4" t="s">
        <v>319</v>
      </c>
      <c r="G179" s="4" t="s">
        <v>367</v>
      </c>
      <c r="H179" s="4" t="s">
        <v>320</v>
      </c>
      <c r="I179" s="4" t="s">
        <v>320</v>
      </c>
      <c r="J179" s="4" t="s">
        <v>320</v>
      </c>
      <c r="K179" s="4" t="s">
        <v>327</v>
      </c>
      <c r="L179" s="4" t="s">
        <v>328</v>
      </c>
      <c r="M179" s="4" t="s">
        <v>323</v>
      </c>
      <c r="N179" s="4" t="s">
        <v>325</v>
      </c>
      <c r="O179" s="4" t="s">
        <v>319</v>
      </c>
      <c r="P179" s="5" t="e">
        <f>VLOOKUP(B179,Import!A$1:B$20000,2,FALSE)</f>
        <v>#N/A</v>
      </c>
      <c r="Q179" s="6" t="s">
        <v>455</v>
      </c>
      <c r="R179" s="9" t="e">
        <f>VLOOKUP(S179,Import!A$1:B$20000,2,FALSE)</f>
        <v>#N/A</v>
      </c>
      <c r="S179" s="10" t="str">
        <f t="shared" si="5"/>
        <v>5_A_P1C_X_X_X_1E_N1211121_V_M_A</v>
      </c>
      <c r="T179" s="4">
        <v>1000</v>
      </c>
    </row>
    <row r="180" spans="1:20" ht="12">
      <c r="A180" s="7">
        <f>IF(ISBLANK(Inm_11137),"",$T$180*Inm_11137)</f>
      </c>
      <c r="B180" s="7">
        <v>11137</v>
      </c>
      <c r="C180" s="8" t="s">
        <v>374</v>
      </c>
      <c r="D180" s="90" t="s">
        <v>178</v>
      </c>
      <c r="E180" s="4">
        <v>5</v>
      </c>
      <c r="F180" s="4" t="s">
        <v>319</v>
      </c>
      <c r="G180" s="4" t="s">
        <v>367</v>
      </c>
      <c r="H180" s="4" t="s">
        <v>320</v>
      </c>
      <c r="I180" s="4" t="s">
        <v>320</v>
      </c>
      <c r="J180" s="4" t="s">
        <v>320</v>
      </c>
      <c r="K180" s="4" t="s">
        <v>327</v>
      </c>
      <c r="L180" s="4" t="s">
        <v>340</v>
      </c>
      <c r="M180" s="4" t="s">
        <v>323</v>
      </c>
      <c r="N180" s="4" t="s">
        <v>325</v>
      </c>
      <c r="O180" s="4" t="s">
        <v>319</v>
      </c>
      <c r="P180" s="5" t="e">
        <f>VLOOKUP(B180,Import!A$1:B$20000,2,FALSE)</f>
        <v>#N/A</v>
      </c>
      <c r="Q180" s="6" t="s">
        <v>455</v>
      </c>
      <c r="R180" s="9" t="e">
        <f>VLOOKUP(S180,Import!A$1:B$20000,2,FALSE)</f>
        <v>#N/A</v>
      </c>
      <c r="S180" s="10" t="str">
        <f t="shared" si="5"/>
        <v>5_A_P1C_X_X_X_1E_N121121_V_M_A</v>
      </c>
      <c r="T180" s="4">
        <v>1000</v>
      </c>
    </row>
    <row r="181" spans="1:20" ht="12">
      <c r="A181" s="7">
        <f>IF(ISBLANK(Inm_11136),"",$T$181*Inm_11136)</f>
      </c>
      <c r="B181" s="7">
        <v>11136</v>
      </c>
      <c r="C181" s="8" t="s">
        <v>375</v>
      </c>
      <c r="D181" s="90" t="s">
        <v>179</v>
      </c>
      <c r="E181" s="4">
        <v>5</v>
      </c>
      <c r="F181" s="4" t="s">
        <v>319</v>
      </c>
      <c r="G181" s="4" t="s">
        <v>367</v>
      </c>
      <c r="H181" s="4" t="s">
        <v>320</v>
      </c>
      <c r="I181" s="4" t="s">
        <v>320</v>
      </c>
      <c r="J181" s="4" t="s">
        <v>320</v>
      </c>
      <c r="K181" s="4" t="s">
        <v>327</v>
      </c>
      <c r="L181" s="4" t="s">
        <v>342</v>
      </c>
      <c r="M181" s="4" t="s">
        <v>323</v>
      </c>
      <c r="N181" s="4" t="s">
        <v>325</v>
      </c>
      <c r="O181" s="4" t="s">
        <v>319</v>
      </c>
      <c r="P181" s="5" t="e">
        <f>VLOOKUP(B181,Import!A$1:B$20000,2,FALSE)</f>
        <v>#N/A</v>
      </c>
      <c r="Q181" s="6" t="s">
        <v>455</v>
      </c>
      <c r="R181" s="9" t="e">
        <f>VLOOKUP(S181,Import!A$1:B$20000,2,FALSE)</f>
        <v>#N/A</v>
      </c>
      <c r="S181" s="10" t="str">
        <f t="shared" si="5"/>
        <v>5_A_P1C_X_X_X_1E_N121122_V_M_A</v>
      </c>
      <c r="T181" s="4">
        <v>1000</v>
      </c>
    </row>
    <row r="182" spans="1:20" ht="12">
      <c r="A182" s="7">
        <f>IF(ISBLANK(Inm_11192),"",$T$182*Inm_11192)</f>
      </c>
      <c r="B182" s="7">
        <v>11192</v>
      </c>
      <c r="C182" s="8" t="s">
        <v>377</v>
      </c>
      <c r="D182" s="90" t="s">
        <v>180</v>
      </c>
      <c r="E182" s="4">
        <v>5</v>
      </c>
      <c r="F182" s="4" t="s">
        <v>319</v>
      </c>
      <c r="G182" s="4" t="s">
        <v>367</v>
      </c>
      <c r="H182" s="4" t="s">
        <v>320</v>
      </c>
      <c r="I182" s="4" t="s">
        <v>320</v>
      </c>
      <c r="J182" s="4" t="s">
        <v>320</v>
      </c>
      <c r="K182" s="4" t="s">
        <v>327</v>
      </c>
      <c r="L182" s="4" t="s">
        <v>346</v>
      </c>
      <c r="M182" s="4" t="s">
        <v>323</v>
      </c>
      <c r="N182" s="4" t="s">
        <v>325</v>
      </c>
      <c r="O182" s="4" t="s">
        <v>319</v>
      </c>
      <c r="P182" s="5" t="e">
        <f>VLOOKUP(B182,Import!A$1:B$20000,2,FALSE)</f>
        <v>#N/A</v>
      </c>
      <c r="Q182" s="6" t="s">
        <v>455</v>
      </c>
      <c r="R182" s="9" t="e">
        <f>VLOOKUP(S182,Import!A$1:B$20000,2,FALSE)</f>
        <v>#N/A</v>
      </c>
      <c r="S182" s="10" t="str">
        <f t="shared" si="5"/>
        <v>5_A_P1C_X_X_X_1E_NXX_V_M_A</v>
      </c>
      <c r="T182" s="4">
        <v>1000</v>
      </c>
    </row>
    <row r="183" spans="1:20" ht="12">
      <c r="A183" s="7">
        <f>IF(ISBLANK(Inm_11171),"",$T$183*Inm_11171)</f>
      </c>
      <c r="B183" s="7">
        <v>11171</v>
      </c>
      <c r="C183" s="8" t="s">
        <v>366</v>
      </c>
      <c r="D183" s="90" t="s">
        <v>181</v>
      </c>
      <c r="E183" s="4">
        <v>5</v>
      </c>
      <c r="F183" s="4" t="s">
        <v>319</v>
      </c>
      <c r="G183" s="4" t="s">
        <v>367</v>
      </c>
      <c r="H183" s="4" t="s">
        <v>320</v>
      </c>
      <c r="I183" s="4" t="s">
        <v>320</v>
      </c>
      <c r="J183" s="4" t="s">
        <v>320</v>
      </c>
      <c r="K183" s="4" t="s">
        <v>327</v>
      </c>
      <c r="L183" s="4" t="s">
        <v>322</v>
      </c>
      <c r="M183" s="4" t="s">
        <v>323</v>
      </c>
      <c r="N183" s="4" t="s">
        <v>325</v>
      </c>
      <c r="O183" s="4" t="s">
        <v>319</v>
      </c>
      <c r="P183" s="5" t="e">
        <f>VLOOKUP(B183,Import!A$1:B$20000,2,FALSE)</f>
        <v>#N/A</v>
      </c>
      <c r="Q183" s="6" t="s">
        <v>455</v>
      </c>
      <c r="R183" s="9" t="e">
        <f>VLOOKUP(S183,Import!A$1:B$20000,2,FALSE)</f>
        <v>#N/A</v>
      </c>
      <c r="S183" s="10" t="str">
        <f t="shared" si="5"/>
        <v>5_A_P1C_X_X_X_1E_N_V_M_A</v>
      </c>
      <c r="T183" s="4">
        <v>1000</v>
      </c>
    </row>
    <row r="184" spans="1:20" ht="12">
      <c r="A184" s="7">
        <f>IF(ISBLANK(Inm_11061),"",$T$184*Inm_11061)</f>
      </c>
      <c r="B184" s="7">
        <v>11061</v>
      </c>
      <c r="C184" s="8" t="s">
        <v>394</v>
      </c>
      <c r="D184" s="90" t="s">
        <v>182</v>
      </c>
      <c r="E184" s="4">
        <v>3</v>
      </c>
      <c r="F184" s="4" t="s">
        <v>319</v>
      </c>
      <c r="G184" s="4" t="s">
        <v>398</v>
      </c>
      <c r="H184" s="4" t="s">
        <v>320</v>
      </c>
      <c r="I184" s="4" t="s">
        <v>320</v>
      </c>
      <c r="J184" s="4" t="s">
        <v>320</v>
      </c>
      <c r="K184" s="4" t="s">
        <v>321</v>
      </c>
      <c r="L184" s="4" t="s">
        <v>322</v>
      </c>
      <c r="M184" s="4" t="s">
        <v>323</v>
      </c>
      <c r="N184" s="4" t="s">
        <v>324</v>
      </c>
      <c r="O184" s="4" t="s">
        <v>319</v>
      </c>
      <c r="P184" s="5" t="e">
        <f>VLOOKUP(B184,Import!A$1:B$20000,2,FALSE)</f>
        <v>#N/A</v>
      </c>
      <c r="Q184" s="6" t="s">
        <v>455</v>
      </c>
      <c r="R184" s="9" t="e">
        <f>VLOOKUP(S184,Import!A$1:B$20000,2,FALSE)</f>
        <v>#N/A</v>
      </c>
      <c r="S184" s="10" t="str">
        <f t="shared" si="5"/>
        <v>3_A_P1K_X_X_X_5J_N_V_B_A</v>
      </c>
      <c r="T184" s="4">
        <v>1000</v>
      </c>
    </row>
    <row r="185" spans="1:20" ht="12">
      <c r="A185" s="7">
        <f>IF(ISBLANK(Inm_11283),"",$T$185*Inm_11283)</f>
      </c>
      <c r="B185" s="7">
        <v>11283</v>
      </c>
      <c r="C185" s="8" t="s">
        <v>394</v>
      </c>
      <c r="D185" s="90" t="s">
        <v>183</v>
      </c>
      <c r="E185" s="4">
        <v>5</v>
      </c>
      <c r="F185" s="4" t="s">
        <v>319</v>
      </c>
      <c r="G185" s="4" t="s">
        <v>398</v>
      </c>
      <c r="H185" s="4" t="s">
        <v>320</v>
      </c>
      <c r="I185" s="4" t="s">
        <v>320</v>
      </c>
      <c r="J185" s="4" t="s">
        <v>320</v>
      </c>
      <c r="K185" s="4" t="s">
        <v>321</v>
      </c>
      <c r="L185" s="4" t="s">
        <v>322</v>
      </c>
      <c r="M185" s="4" t="s">
        <v>323</v>
      </c>
      <c r="N185" s="4" t="s">
        <v>325</v>
      </c>
      <c r="O185" s="4" t="s">
        <v>319</v>
      </c>
      <c r="P185" s="5" t="e">
        <f>VLOOKUP(B185,Import!A$1:B$20000,2,FALSE)</f>
        <v>#N/A</v>
      </c>
      <c r="Q185" s="6" t="s">
        <v>455</v>
      </c>
      <c r="R185" s="9" t="e">
        <f>VLOOKUP(S185,Import!A$1:B$20000,2,FALSE)</f>
        <v>#N/A</v>
      </c>
      <c r="S185" s="10" t="str">
        <f t="shared" si="5"/>
        <v>5_A_P1K_X_X_X_5J_N_V_M_A</v>
      </c>
      <c r="T185" s="4">
        <v>1000</v>
      </c>
    </row>
    <row r="186" spans="1:20" ht="12">
      <c r="A186" s="7">
        <f>IF(ISBLANK(Inm_20203),"",$T$186*Inm_20203)</f>
      </c>
      <c r="B186" s="7">
        <v>20203</v>
      </c>
      <c r="C186" s="8" t="s">
        <v>1140</v>
      </c>
      <c r="D186" s="90" t="s">
        <v>1141</v>
      </c>
      <c r="E186" s="4">
        <v>5</v>
      </c>
      <c r="F186" s="4" t="s">
        <v>319</v>
      </c>
      <c r="G186" s="4" t="s">
        <v>1142</v>
      </c>
      <c r="H186" s="4" t="s">
        <v>320</v>
      </c>
      <c r="I186" s="4" t="s">
        <v>320</v>
      </c>
      <c r="J186" s="4" t="s">
        <v>320</v>
      </c>
      <c r="K186" s="4" t="s">
        <v>321</v>
      </c>
      <c r="L186" s="4" t="s">
        <v>322</v>
      </c>
      <c r="M186" s="4" t="s">
        <v>323</v>
      </c>
      <c r="N186" s="4" t="s">
        <v>325</v>
      </c>
      <c r="O186" s="4" t="s">
        <v>319</v>
      </c>
      <c r="P186" s="5" t="e">
        <f>VLOOKUP(B186,Import!A$1:B$20000,2,FALSE)</f>
        <v>#N/A</v>
      </c>
      <c r="Q186" s="6" t="s">
        <v>1143</v>
      </c>
      <c r="R186" s="9" t="e">
        <f>VLOOKUP(S186,Import!A$1:B$20000,2,FALSE)</f>
        <v>#N/A</v>
      </c>
      <c r="S186" s="10" t="str">
        <f aca="true" t="shared" si="6" ref="S186:S202">CONCATENATE(E186,"_",F186,"_",G186,"_",H186,"_",I186,"_",J186,"_",K186,"_",L186,"_",M186,"_",N186,"_",O186)</f>
        <v>5_A_P1M_X_X_X_5J_N_V_M_A</v>
      </c>
      <c r="T186" s="4">
        <v>1000</v>
      </c>
    </row>
    <row r="187" spans="1:20" ht="12">
      <c r="A187" s="7">
        <f>IF(ISBLANK(Inm_20201),"",$T$187*Inm_20201)</f>
      </c>
      <c r="B187" s="7">
        <v>20201</v>
      </c>
      <c r="C187" s="8" t="s">
        <v>1144</v>
      </c>
      <c r="D187" s="90" t="s">
        <v>1145</v>
      </c>
      <c r="E187" s="4">
        <v>3</v>
      </c>
      <c r="F187" s="4" t="s">
        <v>319</v>
      </c>
      <c r="G187" s="4" t="s">
        <v>1146</v>
      </c>
      <c r="H187" s="4" t="s">
        <v>320</v>
      </c>
      <c r="I187" s="4" t="s">
        <v>320</v>
      </c>
      <c r="J187" s="4" t="s">
        <v>320</v>
      </c>
      <c r="K187" s="4" t="s">
        <v>321</v>
      </c>
      <c r="L187" s="4" t="s">
        <v>322</v>
      </c>
      <c r="M187" s="4" t="s">
        <v>323</v>
      </c>
      <c r="N187" s="4" t="s">
        <v>324</v>
      </c>
      <c r="O187" s="4" t="s">
        <v>319</v>
      </c>
      <c r="P187" s="5" t="e">
        <f>VLOOKUP(B187,Import!A$1:B$20000,2,FALSE)</f>
        <v>#N/A</v>
      </c>
      <c r="Q187" s="6" t="s">
        <v>1143</v>
      </c>
      <c r="R187" s="9" t="e">
        <f>VLOOKUP(S187,Import!A$1:B$20000,2,FALSE)</f>
        <v>#N/A</v>
      </c>
      <c r="S187" s="10" t="str">
        <f t="shared" si="6"/>
        <v>3_A_P11A_X_X_X_5J_N_V_B_A</v>
      </c>
      <c r="T187" s="4">
        <v>1000</v>
      </c>
    </row>
    <row r="188" spans="1:20" ht="12">
      <c r="A188" s="7">
        <f>IF(ISBLANK(Inm_20202),"",$T$188*Inm_20202)</f>
      </c>
      <c r="B188" s="7">
        <v>20202</v>
      </c>
      <c r="C188" s="8" t="s">
        <v>1144</v>
      </c>
      <c r="D188" s="90" t="s">
        <v>1147</v>
      </c>
      <c r="E188" s="4">
        <v>5</v>
      </c>
      <c r="F188" s="4" t="s">
        <v>319</v>
      </c>
      <c r="G188" s="4" t="s">
        <v>1146</v>
      </c>
      <c r="H188" s="4" t="s">
        <v>320</v>
      </c>
      <c r="I188" s="4" t="s">
        <v>320</v>
      </c>
      <c r="J188" s="4" t="s">
        <v>320</v>
      </c>
      <c r="K188" s="4" t="s">
        <v>321</v>
      </c>
      <c r="L188" s="4" t="s">
        <v>322</v>
      </c>
      <c r="M188" s="4" t="s">
        <v>323</v>
      </c>
      <c r="N188" s="4" t="s">
        <v>325</v>
      </c>
      <c r="O188" s="4" t="s">
        <v>319</v>
      </c>
      <c r="P188" s="5" t="e">
        <f>VLOOKUP(B188,Import!A$1:B$20000,2,FALSE)</f>
        <v>#N/A</v>
      </c>
      <c r="Q188" s="6" t="s">
        <v>1143</v>
      </c>
      <c r="R188" s="9" t="e">
        <f>VLOOKUP(S188,Import!A$1:B$20000,2,FALSE)</f>
        <v>#N/A</v>
      </c>
      <c r="S188" s="10" t="str">
        <f t="shared" si="6"/>
        <v>5_A_P11A_X_X_X_5J_N_V_M_A</v>
      </c>
      <c r="T188" s="4">
        <v>1000</v>
      </c>
    </row>
    <row r="189" spans="1:20" ht="12">
      <c r="A189" s="7">
        <f>IF(ISBLANK(Inm_20200),"",$T$189*Inm_20200)</f>
      </c>
      <c r="B189" s="7">
        <v>20200</v>
      </c>
      <c r="C189" s="8" t="s">
        <v>1148</v>
      </c>
      <c r="D189" s="90" t="s">
        <v>1149</v>
      </c>
      <c r="E189" s="4">
        <v>3</v>
      </c>
      <c r="F189" s="4" t="s">
        <v>319</v>
      </c>
      <c r="G189" s="4" t="s">
        <v>1150</v>
      </c>
      <c r="H189" s="4" t="s">
        <v>320</v>
      </c>
      <c r="I189" s="4" t="s">
        <v>320</v>
      </c>
      <c r="J189" s="4" t="s">
        <v>320</v>
      </c>
      <c r="K189" s="4" t="s">
        <v>321</v>
      </c>
      <c r="L189" s="4" t="s">
        <v>322</v>
      </c>
      <c r="M189" s="4" t="s">
        <v>323</v>
      </c>
      <c r="N189" s="4" t="s">
        <v>324</v>
      </c>
      <c r="O189" s="4" t="s">
        <v>319</v>
      </c>
      <c r="P189" s="5" t="e">
        <f>VLOOKUP(B189,Import!A$1:B$20000,2,FALSE)</f>
        <v>#N/A</v>
      </c>
      <c r="Q189" s="6" t="s">
        <v>1143</v>
      </c>
      <c r="R189" s="9" t="e">
        <f>VLOOKUP(S189,Import!A$1:B$20000,2,FALSE)</f>
        <v>#N/A</v>
      </c>
      <c r="S189" s="10" t="str">
        <f t="shared" si="6"/>
        <v>3_A_P11B_X_X_X_5J_N_V_B_A</v>
      </c>
      <c r="T189" s="4">
        <v>1000</v>
      </c>
    </row>
    <row r="190" spans="1:20" ht="12">
      <c r="A190" s="7">
        <f>IF(ISBLANK(Inm_20199),"",$T$190*Inm_20199)</f>
      </c>
      <c r="B190" s="7">
        <v>20199</v>
      </c>
      <c r="C190" s="8" t="s">
        <v>1148</v>
      </c>
      <c r="D190" s="90" t="s">
        <v>1151</v>
      </c>
      <c r="E190" s="4">
        <v>5</v>
      </c>
      <c r="F190" s="4" t="s">
        <v>319</v>
      </c>
      <c r="G190" s="4" t="s">
        <v>1150</v>
      </c>
      <c r="H190" s="4" t="s">
        <v>320</v>
      </c>
      <c r="I190" s="4" t="s">
        <v>320</v>
      </c>
      <c r="J190" s="4" t="s">
        <v>320</v>
      </c>
      <c r="K190" s="4" t="s">
        <v>321</v>
      </c>
      <c r="L190" s="4" t="s">
        <v>322</v>
      </c>
      <c r="M190" s="4" t="s">
        <v>323</v>
      </c>
      <c r="N190" s="4" t="s">
        <v>325</v>
      </c>
      <c r="O190" s="4" t="s">
        <v>319</v>
      </c>
      <c r="P190" s="5" t="e">
        <f>VLOOKUP(B190,Import!A$1:B$20000,2,FALSE)</f>
        <v>#N/A</v>
      </c>
      <c r="Q190" s="6" t="s">
        <v>1143</v>
      </c>
      <c r="R190" s="9" t="e">
        <f>VLOOKUP(S190,Import!A$1:B$20000,2,FALSE)</f>
        <v>#N/A</v>
      </c>
      <c r="S190" s="10" t="str">
        <f t="shared" si="6"/>
        <v>5_A_P11B_X_X_X_5J_N_V_M_A</v>
      </c>
      <c r="T190" s="4">
        <v>1000</v>
      </c>
    </row>
    <row r="191" spans="1:20" ht="12">
      <c r="A191" s="7">
        <f>IF(ISBLANK(Inm_20212),"",$T$191*Inm_20212)</f>
      </c>
      <c r="B191" s="7">
        <v>20212</v>
      </c>
      <c r="C191" s="8" t="s">
        <v>1152</v>
      </c>
      <c r="D191" s="90" t="s">
        <v>1153</v>
      </c>
      <c r="E191" s="4">
        <v>3</v>
      </c>
      <c r="F191" s="4" t="s">
        <v>319</v>
      </c>
      <c r="G191" s="4" t="s">
        <v>1154</v>
      </c>
      <c r="H191" s="4" t="s">
        <v>320</v>
      </c>
      <c r="I191" s="4" t="s">
        <v>320</v>
      </c>
      <c r="J191" s="4" t="s">
        <v>320</v>
      </c>
      <c r="K191" s="4" t="s">
        <v>327</v>
      </c>
      <c r="L191" s="4" t="s">
        <v>361</v>
      </c>
      <c r="M191" s="4" t="s">
        <v>323</v>
      </c>
      <c r="N191" s="4" t="s">
        <v>324</v>
      </c>
      <c r="O191" s="4" t="s">
        <v>319</v>
      </c>
      <c r="P191" s="5" t="e">
        <f>VLOOKUP(B191,Import!A$1:B$20000,2,FALSE)</f>
        <v>#N/A</v>
      </c>
      <c r="Q191" s="6" t="s">
        <v>1143</v>
      </c>
      <c r="R191" s="9" t="e">
        <f>VLOOKUP(S191,Import!A$1:B$20000,2,FALSE)</f>
        <v>#N/A</v>
      </c>
      <c r="S191" s="10" t="str">
        <f t="shared" si="6"/>
        <v>3_A_P1E3B_X_X_X_1E_N12A_V_B_A</v>
      </c>
      <c r="T191" s="4">
        <v>1000</v>
      </c>
    </row>
    <row r="192" spans="1:20" ht="12">
      <c r="A192" s="7">
        <f>IF(ISBLANK(Inm_20182),"",$T$192*Inm_20182)</f>
      </c>
      <c r="B192" s="7">
        <v>20182</v>
      </c>
      <c r="C192" s="8" t="s">
        <v>1155</v>
      </c>
      <c r="D192" s="90" t="s">
        <v>1156</v>
      </c>
      <c r="E192" s="4">
        <v>5</v>
      </c>
      <c r="F192" s="4" t="s">
        <v>319</v>
      </c>
      <c r="G192" s="4" t="s">
        <v>1154</v>
      </c>
      <c r="H192" s="4" t="s">
        <v>320</v>
      </c>
      <c r="I192" s="4" t="s">
        <v>320</v>
      </c>
      <c r="J192" s="4" t="s">
        <v>320</v>
      </c>
      <c r="K192" s="4" t="s">
        <v>327</v>
      </c>
      <c r="L192" s="4" t="s">
        <v>361</v>
      </c>
      <c r="M192" s="4" t="s">
        <v>323</v>
      </c>
      <c r="N192" s="4" t="s">
        <v>325</v>
      </c>
      <c r="O192" s="4" t="s">
        <v>319</v>
      </c>
      <c r="P192" s="5" t="e">
        <f>VLOOKUP(B192,Import!A$1:B$20000,2,FALSE)</f>
        <v>#N/A</v>
      </c>
      <c r="Q192" s="6" t="s">
        <v>1143</v>
      </c>
      <c r="R192" s="9" t="e">
        <f>VLOOKUP(S192,Import!A$1:B$20000,2,FALSE)</f>
        <v>#N/A</v>
      </c>
      <c r="S192" s="10" t="str">
        <f t="shared" si="6"/>
        <v>5_A_P1E3B_X_X_X_1E_N12A_V_M_A</v>
      </c>
      <c r="T192" s="4">
        <v>1000</v>
      </c>
    </row>
    <row r="193" spans="1:20" ht="12">
      <c r="A193" s="7">
        <f>IF(ISBLANK(Inm_20183),"",$T$193*Inm_20183)</f>
      </c>
      <c r="B193" s="7">
        <v>20183</v>
      </c>
      <c r="C193" s="8" t="s">
        <v>1157</v>
      </c>
      <c r="D193" s="90" t="s">
        <v>1158</v>
      </c>
      <c r="E193" s="4">
        <v>3</v>
      </c>
      <c r="F193" s="4" t="s">
        <v>319</v>
      </c>
      <c r="G193" s="4" t="s">
        <v>1154</v>
      </c>
      <c r="H193" s="4" t="s">
        <v>320</v>
      </c>
      <c r="I193" s="4" t="s">
        <v>320</v>
      </c>
      <c r="J193" s="4" t="s">
        <v>320</v>
      </c>
      <c r="K193" s="4" t="s">
        <v>329</v>
      </c>
      <c r="L193" s="4" t="s">
        <v>361</v>
      </c>
      <c r="M193" s="4" t="s">
        <v>323</v>
      </c>
      <c r="N193" s="4" t="s">
        <v>324</v>
      </c>
      <c r="O193" s="4" t="s">
        <v>319</v>
      </c>
      <c r="P193" s="5" t="e">
        <f>VLOOKUP(B193,Import!A$1:B$20000,2,FALSE)</f>
        <v>#N/A</v>
      </c>
      <c r="Q193" s="6" t="s">
        <v>1143</v>
      </c>
      <c r="R193" s="9" t="e">
        <f>VLOOKUP(S193,Import!A$1:B$20000,2,FALSE)</f>
        <v>#N/A</v>
      </c>
      <c r="S193" s="10" t="str">
        <f t="shared" si="6"/>
        <v>3_A_P1E3B_X_X_X_3P_N12A_V_B_A</v>
      </c>
      <c r="T193" s="4">
        <v>1000</v>
      </c>
    </row>
    <row r="194" spans="1:20" ht="12">
      <c r="A194" s="7">
        <f>IF(ISBLANK(Inm_20184),"",$T$194*Inm_20184)</f>
      </c>
      <c r="B194" s="7">
        <v>20184</v>
      </c>
      <c r="C194" s="8" t="s">
        <v>1159</v>
      </c>
      <c r="D194" s="90" t="s">
        <v>1160</v>
      </c>
      <c r="E194" s="4">
        <v>5</v>
      </c>
      <c r="F194" s="4" t="s">
        <v>319</v>
      </c>
      <c r="G194" s="4" t="s">
        <v>1154</v>
      </c>
      <c r="H194" s="4" t="s">
        <v>320</v>
      </c>
      <c r="I194" s="4" t="s">
        <v>320</v>
      </c>
      <c r="J194" s="4" t="s">
        <v>320</v>
      </c>
      <c r="K194" s="4" t="s">
        <v>329</v>
      </c>
      <c r="L194" s="4" t="s">
        <v>361</v>
      </c>
      <c r="M194" s="4" t="s">
        <v>323</v>
      </c>
      <c r="N194" s="4" t="s">
        <v>325</v>
      </c>
      <c r="O194" s="4" t="s">
        <v>319</v>
      </c>
      <c r="P194" s="5" t="e">
        <f>VLOOKUP(B194,Import!A$1:B$20000,2,FALSE)</f>
        <v>#N/A</v>
      </c>
      <c r="Q194" s="6" t="s">
        <v>1143</v>
      </c>
      <c r="R194" s="9" t="e">
        <f>VLOOKUP(S194,Import!A$1:B$20000,2,FALSE)</f>
        <v>#N/A</v>
      </c>
      <c r="S194" s="10" t="str">
        <f t="shared" si="6"/>
        <v>5_A_P1E3B_X_X_X_3P_N12A_V_M_A</v>
      </c>
      <c r="T194" s="4">
        <v>1000</v>
      </c>
    </row>
    <row r="195" spans="1:20" ht="12">
      <c r="A195" s="7">
        <f>IF(ISBLANK(Inm_20187),"",$T$195*Inm_20187)</f>
      </c>
      <c r="B195" s="7">
        <v>20187</v>
      </c>
      <c r="C195" s="8" t="s">
        <v>1161</v>
      </c>
      <c r="D195" s="90" t="s">
        <v>1162</v>
      </c>
      <c r="E195" s="4">
        <v>3</v>
      </c>
      <c r="F195" s="4" t="s">
        <v>319</v>
      </c>
      <c r="G195" s="4" t="s">
        <v>1163</v>
      </c>
      <c r="H195" s="4" t="s">
        <v>320</v>
      </c>
      <c r="I195" s="4" t="s">
        <v>320</v>
      </c>
      <c r="J195" s="4" t="s">
        <v>320</v>
      </c>
      <c r="K195" s="4" t="s">
        <v>327</v>
      </c>
      <c r="L195" s="4" t="s">
        <v>361</v>
      </c>
      <c r="M195" s="4" t="s">
        <v>323</v>
      </c>
      <c r="N195" s="4" t="s">
        <v>324</v>
      </c>
      <c r="O195" s="4" t="s">
        <v>319</v>
      </c>
      <c r="P195" s="5" t="e">
        <f>VLOOKUP(B195,Import!A$1:B$20000,2,FALSE)</f>
        <v>#N/A</v>
      </c>
      <c r="Q195" s="6" t="s">
        <v>1143</v>
      </c>
      <c r="R195" s="9" t="e">
        <f>VLOOKUP(S195,Import!A$1:B$20000,2,FALSE)</f>
        <v>#N/A</v>
      </c>
      <c r="S195" s="10" t="str">
        <f t="shared" si="6"/>
        <v>3_A_P1E3C_X_X_X_1E_N12A_V_B_A</v>
      </c>
      <c r="T195" s="4">
        <v>1000</v>
      </c>
    </row>
    <row r="196" spans="1:20" ht="12">
      <c r="A196" s="7">
        <f>IF(ISBLANK(Inm_20186),"",$T$196*Inm_20186)</f>
      </c>
      <c r="B196" s="7">
        <v>20186</v>
      </c>
      <c r="C196" s="8" t="s">
        <v>1164</v>
      </c>
      <c r="D196" s="90" t="s">
        <v>1165</v>
      </c>
      <c r="E196" s="4">
        <v>5</v>
      </c>
      <c r="F196" s="4" t="s">
        <v>319</v>
      </c>
      <c r="G196" s="4" t="s">
        <v>1163</v>
      </c>
      <c r="H196" s="4" t="s">
        <v>320</v>
      </c>
      <c r="I196" s="4" t="s">
        <v>320</v>
      </c>
      <c r="J196" s="4" t="s">
        <v>320</v>
      </c>
      <c r="K196" s="4" t="s">
        <v>327</v>
      </c>
      <c r="L196" s="4" t="s">
        <v>361</v>
      </c>
      <c r="M196" s="4" t="s">
        <v>323</v>
      </c>
      <c r="N196" s="4" t="s">
        <v>325</v>
      </c>
      <c r="O196" s="4" t="s">
        <v>319</v>
      </c>
      <c r="P196" s="5" t="e">
        <f>VLOOKUP(B196,Import!A$1:B$20000,2,FALSE)</f>
        <v>#N/A</v>
      </c>
      <c r="Q196" s="6" t="s">
        <v>1143</v>
      </c>
      <c r="R196" s="9" t="e">
        <f>VLOOKUP(S196,Import!A$1:B$20000,2,FALSE)</f>
        <v>#N/A</v>
      </c>
      <c r="S196" s="10" t="str">
        <f t="shared" si="6"/>
        <v>5_A_P1E3C_X_X_X_1E_N12A_V_M_A</v>
      </c>
      <c r="T196" s="4">
        <v>1000</v>
      </c>
    </row>
    <row r="197" spans="1:20" ht="12">
      <c r="A197" s="7">
        <f>IF(ISBLANK(Inm_20188),"",$T$197*Inm_20188)</f>
      </c>
      <c r="B197" s="7">
        <v>20188</v>
      </c>
      <c r="C197" s="8" t="s">
        <v>1166</v>
      </c>
      <c r="D197" s="90" t="s">
        <v>1167</v>
      </c>
      <c r="E197" s="4">
        <v>3</v>
      </c>
      <c r="F197" s="4" t="s">
        <v>319</v>
      </c>
      <c r="G197" s="4" t="s">
        <v>1163</v>
      </c>
      <c r="H197" s="4" t="s">
        <v>320</v>
      </c>
      <c r="I197" s="4" t="s">
        <v>320</v>
      </c>
      <c r="J197" s="4" t="s">
        <v>320</v>
      </c>
      <c r="K197" s="4" t="s">
        <v>329</v>
      </c>
      <c r="L197" s="4" t="s">
        <v>361</v>
      </c>
      <c r="M197" s="4" t="s">
        <v>323</v>
      </c>
      <c r="N197" s="4" t="s">
        <v>324</v>
      </c>
      <c r="O197" s="4" t="s">
        <v>319</v>
      </c>
      <c r="P197" s="5" t="e">
        <f>VLOOKUP(B197,Import!A$1:B$20000,2,FALSE)</f>
        <v>#N/A</v>
      </c>
      <c r="Q197" s="6" t="s">
        <v>1143</v>
      </c>
      <c r="R197" s="9" t="e">
        <f>VLOOKUP(S197,Import!A$1:B$20000,2,FALSE)</f>
        <v>#N/A</v>
      </c>
      <c r="S197" s="10" t="str">
        <f t="shared" si="6"/>
        <v>3_A_P1E3C_X_X_X_3P_N12A_V_B_A</v>
      </c>
      <c r="T197" s="4">
        <v>1000</v>
      </c>
    </row>
    <row r="198" spans="1:20" ht="12">
      <c r="A198" s="7">
        <f>IF(ISBLANK(Inm_20185),"",$T$198*Inm_20185)</f>
      </c>
      <c r="B198" s="7">
        <v>20185</v>
      </c>
      <c r="C198" s="8" t="s">
        <v>1168</v>
      </c>
      <c r="D198" s="90" t="s">
        <v>1169</v>
      </c>
      <c r="E198" s="4">
        <v>5</v>
      </c>
      <c r="F198" s="4" t="s">
        <v>319</v>
      </c>
      <c r="G198" s="4" t="s">
        <v>1163</v>
      </c>
      <c r="H198" s="4" t="s">
        <v>320</v>
      </c>
      <c r="I198" s="4" t="s">
        <v>320</v>
      </c>
      <c r="J198" s="4" t="s">
        <v>320</v>
      </c>
      <c r="K198" s="4" t="s">
        <v>329</v>
      </c>
      <c r="L198" s="4" t="s">
        <v>361</v>
      </c>
      <c r="M198" s="4" t="s">
        <v>323</v>
      </c>
      <c r="N198" s="4" t="s">
        <v>325</v>
      </c>
      <c r="O198" s="4" t="s">
        <v>319</v>
      </c>
      <c r="P198" s="5" t="e">
        <f>VLOOKUP(B198,Import!A$1:B$20000,2,FALSE)</f>
        <v>#N/A</v>
      </c>
      <c r="Q198" s="6" t="s">
        <v>1143</v>
      </c>
      <c r="R198" s="9" t="e">
        <f>VLOOKUP(S198,Import!A$1:B$20000,2,FALSE)</f>
        <v>#N/A</v>
      </c>
      <c r="S198" s="10" t="str">
        <f t="shared" si="6"/>
        <v>5_A_P1E3C_X_X_X_3P_N12A_V_M_A</v>
      </c>
      <c r="T198" s="4">
        <v>1000</v>
      </c>
    </row>
    <row r="199" spans="1:20" ht="12">
      <c r="A199" s="7">
        <f>IF(ISBLANK(Inm_20191),"",$T$199*Inm_20191)</f>
      </c>
      <c r="B199" s="7">
        <v>20191</v>
      </c>
      <c r="C199" s="8" t="s">
        <v>1170</v>
      </c>
      <c r="D199" s="90" t="s">
        <v>1171</v>
      </c>
      <c r="E199" s="4">
        <v>3</v>
      </c>
      <c r="F199" s="4" t="s">
        <v>319</v>
      </c>
      <c r="G199" s="4" t="s">
        <v>1172</v>
      </c>
      <c r="H199" s="4" t="s">
        <v>320</v>
      </c>
      <c r="I199" s="4" t="s">
        <v>320</v>
      </c>
      <c r="J199" s="4" t="s">
        <v>320</v>
      </c>
      <c r="K199" s="4" t="s">
        <v>321</v>
      </c>
      <c r="L199" s="4" t="s">
        <v>322</v>
      </c>
      <c r="M199" s="4" t="s">
        <v>323</v>
      </c>
      <c r="N199" s="4" t="s">
        <v>324</v>
      </c>
      <c r="O199" s="4" t="s">
        <v>319</v>
      </c>
      <c r="P199" s="5" t="e">
        <f>VLOOKUP(B199,Import!A$1:B$20000,2,FALSE)</f>
        <v>#N/A</v>
      </c>
      <c r="Q199" s="6" t="s">
        <v>1143</v>
      </c>
      <c r="R199" s="9" t="e">
        <f>VLOOKUP(S199,Import!A$1:B$20000,2,FALSE)</f>
        <v>#N/A</v>
      </c>
      <c r="S199" s="10" t="str">
        <f t="shared" si="6"/>
        <v>3_A_P1E6_X_X_X_5J_N_V_B_A</v>
      </c>
      <c r="T199" s="4">
        <v>1000</v>
      </c>
    </row>
    <row r="200" spans="1:20" ht="12">
      <c r="A200" s="7">
        <f>IF(ISBLANK(Inm_20194),"",$T$200*Inm_20194)</f>
      </c>
      <c r="B200" s="7">
        <v>20194</v>
      </c>
      <c r="C200" s="8" t="s">
        <v>1170</v>
      </c>
      <c r="D200" s="90" t="s">
        <v>1173</v>
      </c>
      <c r="E200" s="4">
        <v>5</v>
      </c>
      <c r="F200" s="4" t="s">
        <v>319</v>
      </c>
      <c r="G200" s="4" t="s">
        <v>1172</v>
      </c>
      <c r="H200" s="4" t="s">
        <v>320</v>
      </c>
      <c r="I200" s="4" t="s">
        <v>320</v>
      </c>
      <c r="J200" s="4" t="s">
        <v>320</v>
      </c>
      <c r="K200" s="4" t="s">
        <v>321</v>
      </c>
      <c r="L200" s="4" t="s">
        <v>322</v>
      </c>
      <c r="M200" s="4" t="s">
        <v>323</v>
      </c>
      <c r="N200" s="4" t="s">
        <v>325</v>
      </c>
      <c r="O200" s="4" t="s">
        <v>319</v>
      </c>
      <c r="P200" s="5" t="e">
        <f>VLOOKUP(B200,Import!A$1:B$20000,2,FALSE)</f>
        <v>#N/A</v>
      </c>
      <c r="Q200" s="6" t="s">
        <v>1143</v>
      </c>
      <c r="R200" s="9" t="e">
        <f>VLOOKUP(S200,Import!A$1:B$20000,2,FALSE)</f>
        <v>#N/A</v>
      </c>
      <c r="S200" s="10" t="str">
        <f t="shared" si="6"/>
        <v>5_A_P1E6_X_X_X_5J_N_V_M_A</v>
      </c>
      <c r="T200" s="4">
        <v>1000</v>
      </c>
    </row>
    <row r="201" spans="1:20" ht="12">
      <c r="A201" s="7">
        <f>IF(ISBLANK(Inm_20192),"",$T$201*Inm_20192)</f>
      </c>
      <c r="B201" s="7">
        <v>20192</v>
      </c>
      <c r="C201" s="8" t="s">
        <v>1140</v>
      </c>
      <c r="D201" s="90" t="s">
        <v>1174</v>
      </c>
      <c r="E201" s="4">
        <v>3</v>
      </c>
      <c r="F201" s="4" t="s">
        <v>319</v>
      </c>
      <c r="G201" s="4" t="s">
        <v>1175</v>
      </c>
      <c r="H201" s="4" t="s">
        <v>320</v>
      </c>
      <c r="I201" s="4" t="s">
        <v>320</v>
      </c>
      <c r="J201" s="4" t="s">
        <v>320</v>
      </c>
      <c r="K201" s="4" t="s">
        <v>321</v>
      </c>
      <c r="L201" s="4" t="s">
        <v>322</v>
      </c>
      <c r="M201" s="4" t="s">
        <v>323</v>
      </c>
      <c r="N201" s="4" t="s">
        <v>324</v>
      </c>
      <c r="O201" s="4" t="s">
        <v>319</v>
      </c>
      <c r="P201" s="5" t="e">
        <f>VLOOKUP(B201,Import!A$1:B$20000,2,FALSE)</f>
        <v>#N/A</v>
      </c>
      <c r="Q201" s="6" t="s">
        <v>1143</v>
      </c>
      <c r="R201" s="9" t="e">
        <f>VLOOKUP(S201,Import!A$1:B$20000,2,FALSE)</f>
        <v>#N/A</v>
      </c>
      <c r="S201" s="10" t="str">
        <f t="shared" si="6"/>
        <v>3_A_P1E5_X_X_X_5J_N_V_B_A</v>
      </c>
      <c r="T201" s="4">
        <v>1000</v>
      </c>
    </row>
    <row r="202" spans="1:20" ht="12">
      <c r="A202" s="7">
        <f>IF(ISBLANK(Inm_20193),"",$T$202*Inm_20193)</f>
      </c>
      <c r="B202" s="7">
        <v>20193</v>
      </c>
      <c r="C202" s="8" t="s">
        <v>1140</v>
      </c>
      <c r="D202" s="90" t="s">
        <v>1176</v>
      </c>
      <c r="E202" s="4">
        <v>5</v>
      </c>
      <c r="F202" s="4" t="s">
        <v>319</v>
      </c>
      <c r="G202" s="4" t="s">
        <v>1175</v>
      </c>
      <c r="H202" s="4" t="s">
        <v>320</v>
      </c>
      <c r="I202" s="4" t="s">
        <v>320</v>
      </c>
      <c r="J202" s="4" t="s">
        <v>320</v>
      </c>
      <c r="K202" s="4" t="s">
        <v>321</v>
      </c>
      <c r="L202" s="4" t="s">
        <v>322</v>
      </c>
      <c r="M202" s="4" t="s">
        <v>323</v>
      </c>
      <c r="N202" s="4" t="s">
        <v>325</v>
      </c>
      <c r="O202" s="4" t="s">
        <v>319</v>
      </c>
      <c r="P202" s="5" t="e">
        <f>VLOOKUP(B202,Import!A$1:B$20000,2,FALSE)</f>
        <v>#N/A</v>
      </c>
      <c r="Q202" s="6" t="s">
        <v>1143</v>
      </c>
      <c r="R202" s="9" t="e">
        <f>VLOOKUP(S202,Import!A$1:B$20000,2,FALSE)</f>
        <v>#N/A</v>
      </c>
      <c r="S202" s="10" t="str">
        <f t="shared" si="6"/>
        <v>5_A_P1E5_X_X_X_5J_N_V_M_A</v>
      </c>
      <c r="T202" s="4">
        <v>1000</v>
      </c>
    </row>
    <row r="203" spans="1:20" ht="12">
      <c r="A203" s="7">
        <f>IF(ISBLANK(Inm_20213),"",$T$203*Inm_20213)</f>
        <v>0</v>
      </c>
      <c r="B203" s="7">
        <v>20213</v>
      </c>
      <c r="C203" s="8" t="s">
        <v>1177</v>
      </c>
      <c r="D203" s="90" t="s">
        <v>1178</v>
      </c>
      <c r="E203" s="4">
        <v>3</v>
      </c>
      <c r="F203" s="4" t="s">
        <v>319</v>
      </c>
      <c r="G203" s="4" t="s">
        <v>1154</v>
      </c>
      <c r="H203" s="4" t="s">
        <v>320</v>
      </c>
      <c r="I203" s="4" t="s">
        <v>320</v>
      </c>
      <c r="J203" s="4" t="s">
        <v>320</v>
      </c>
      <c r="K203" s="4" t="s">
        <v>321</v>
      </c>
      <c r="L203" s="4" t="s">
        <v>361</v>
      </c>
      <c r="M203" s="4" t="s">
        <v>323</v>
      </c>
      <c r="N203" s="4" t="s">
        <v>324</v>
      </c>
      <c r="O203" s="4" t="s">
        <v>319</v>
      </c>
      <c r="P203" s="5" t="e">
        <f>VLOOKUP(B203,Import!A$1:B$20000,2,FALSE)</f>
        <v>#N/A</v>
      </c>
      <c r="Q203" s="6" t="s">
        <v>1143</v>
      </c>
      <c r="R203" s="9" t="e">
        <f>VLOOKUP(S203,Import!A$1:B$20000,2,FALSE)</f>
        <v>#N/A</v>
      </c>
      <c r="S203" s="10" t="str">
        <f>CONCATENATE(E203,"_",F203,"_",G203,"_",H203,"_",I203,"_",J203,"_",K203,"_",L203,"_",M203,"_",N203,"_",O203)</f>
        <v>3_A_P1E3B_X_X_X_5J_N12A_V_B_A</v>
      </c>
      <c r="T203" s="4">
        <v>1000</v>
      </c>
    </row>
    <row r="204" spans="1:20" ht="12">
      <c r="A204" s="7">
        <f>IF(ISBLANK(Inm_20216),"",$T$204*Inm_20216)</f>
        <v>0</v>
      </c>
      <c r="B204" s="7">
        <v>20216</v>
      </c>
      <c r="C204" s="8" t="s">
        <v>1179</v>
      </c>
      <c r="D204" s="90" t="s">
        <v>1180</v>
      </c>
      <c r="E204" s="4">
        <v>5</v>
      </c>
      <c r="F204" s="4" t="s">
        <v>319</v>
      </c>
      <c r="G204" s="4" t="s">
        <v>1154</v>
      </c>
      <c r="H204" s="4" t="s">
        <v>320</v>
      </c>
      <c r="I204" s="4" t="s">
        <v>320</v>
      </c>
      <c r="J204" s="4" t="s">
        <v>320</v>
      </c>
      <c r="K204" s="4" t="s">
        <v>321</v>
      </c>
      <c r="L204" s="4" t="s">
        <v>361</v>
      </c>
      <c r="M204" s="4" t="s">
        <v>323</v>
      </c>
      <c r="N204" s="4" t="s">
        <v>325</v>
      </c>
      <c r="O204" s="4" t="s">
        <v>319</v>
      </c>
      <c r="P204" s="5" t="e">
        <f>VLOOKUP(B204,Import!A$1:B$20000,2,FALSE)</f>
        <v>#N/A</v>
      </c>
      <c r="Q204" s="6" t="s">
        <v>1143</v>
      </c>
      <c r="R204" s="9" t="e">
        <f>VLOOKUP(S204,Import!A$1:B$20000,2,FALSE)</f>
        <v>#N/A</v>
      </c>
      <c r="S204" s="10" t="str">
        <f>CONCATENATE(E204,"_",F204,"_",G204,"_",H204,"_",I204,"_",J204,"_",K204,"_",L204,"_",M204,"_",N204,"_",O204)</f>
        <v>5_A_P1E3B_X_X_X_5J_N12A_V_M_A</v>
      </c>
      <c r="T204" s="4">
        <v>1000</v>
      </c>
    </row>
    <row r="205" spans="1:20" ht="12">
      <c r="A205" s="7">
        <f>IF(ISBLANK(Inm_20214),"",$T$205*Inm_20214)</f>
        <v>0</v>
      </c>
      <c r="B205" s="7">
        <v>20214</v>
      </c>
      <c r="C205" s="8" t="s">
        <v>1181</v>
      </c>
      <c r="D205" s="90" t="s">
        <v>1182</v>
      </c>
      <c r="E205" s="4">
        <v>3</v>
      </c>
      <c r="F205" s="4" t="s">
        <v>319</v>
      </c>
      <c r="G205" s="4" t="s">
        <v>1163</v>
      </c>
      <c r="H205" s="4" t="s">
        <v>320</v>
      </c>
      <c r="I205" s="4" t="s">
        <v>320</v>
      </c>
      <c r="J205" s="4" t="s">
        <v>320</v>
      </c>
      <c r="K205" s="4" t="s">
        <v>321</v>
      </c>
      <c r="L205" s="4" t="s">
        <v>361</v>
      </c>
      <c r="M205" s="4" t="s">
        <v>323</v>
      </c>
      <c r="N205" s="4" t="s">
        <v>324</v>
      </c>
      <c r="O205" s="4" t="s">
        <v>319</v>
      </c>
      <c r="P205" s="5" t="e">
        <f>VLOOKUP(B205,Import!A$1:B$20000,2,FALSE)</f>
        <v>#N/A</v>
      </c>
      <c r="Q205" s="6" t="s">
        <v>1143</v>
      </c>
      <c r="R205" s="9" t="e">
        <f>VLOOKUP(S205,Import!A$1:B$20000,2,FALSE)</f>
        <v>#N/A</v>
      </c>
      <c r="S205" s="10" t="str">
        <f>CONCATENATE(E205,"_",F205,"_",G205,"_",H205,"_",I205,"_",J205,"_",K205,"_",L205,"_",M205,"_",N205,"_",O205)</f>
        <v>3_A_P1E3C_X_X_X_5J_N12A_V_B_A</v>
      </c>
      <c r="T205" s="4">
        <v>1000</v>
      </c>
    </row>
    <row r="206" spans="1:20" ht="12">
      <c r="A206" s="7">
        <f>IF(ISBLANK(Inm_20215),"",$T$206*Inm_20215)</f>
        <v>0</v>
      </c>
      <c r="B206" s="7">
        <v>20215</v>
      </c>
      <c r="C206" s="8" t="s">
        <v>1183</v>
      </c>
      <c r="D206" s="90" t="s">
        <v>1184</v>
      </c>
      <c r="E206" s="4">
        <v>5</v>
      </c>
      <c r="F206" s="4" t="s">
        <v>319</v>
      </c>
      <c r="G206" s="4" t="s">
        <v>1163</v>
      </c>
      <c r="H206" s="4" t="s">
        <v>320</v>
      </c>
      <c r="I206" s="4" t="s">
        <v>320</v>
      </c>
      <c r="J206" s="4" t="s">
        <v>320</v>
      </c>
      <c r="K206" s="4" t="s">
        <v>321</v>
      </c>
      <c r="L206" s="4" t="s">
        <v>361</v>
      </c>
      <c r="M206" s="4" t="s">
        <v>323</v>
      </c>
      <c r="N206" s="4" t="s">
        <v>325</v>
      </c>
      <c r="O206" s="4" t="s">
        <v>319</v>
      </c>
      <c r="P206" s="5" t="e">
        <f>VLOOKUP(B206,Import!A$1:B$20000,2,FALSE)</f>
        <v>#N/A</v>
      </c>
      <c r="Q206" s="6" t="s">
        <v>1143</v>
      </c>
      <c r="R206" s="9" t="e">
        <f>VLOOKUP(S206,Import!A$1:B$20000,2,FALSE)</f>
        <v>#N/A</v>
      </c>
      <c r="S206" s="10" t="str">
        <f>CONCATENATE(E206,"_",F206,"_",G206,"_",H206,"_",I206,"_",J206,"_",K206,"_",L206,"_",M206,"_",N206,"_",O206)</f>
        <v>5_A_P1E3C_X_X_X_5J_N12A_V_M_A</v>
      </c>
      <c r="T206" s="4">
        <v>1000</v>
      </c>
    </row>
    <row r="207" spans="1:20" ht="12">
      <c r="A207" s="7">
        <f>IF(ISBLANK(Inm_20217),"",$T$207*Inm_20217)</f>
      </c>
      <c r="B207" s="7">
        <v>20217</v>
      </c>
      <c r="C207" s="8" t="s">
        <v>1140</v>
      </c>
      <c r="D207" s="90" t="s">
        <v>1195</v>
      </c>
      <c r="E207" s="4">
        <v>3</v>
      </c>
      <c r="F207" s="4" t="s">
        <v>319</v>
      </c>
      <c r="G207" s="4" t="s">
        <v>1142</v>
      </c>
      <c r="H207" s="4" t="s">
        <v>320</v>
      </c>
      <c r="I207" s="4" t="s">
        <v>320</v>
      </c>
      <c r="J207" s="4" t="s">
        <v>320</v>
      </c>
      <c r="K207" s="4" t="s">
        <v>321</v>
      </c>
      <c r="L207" s="4" t="s">
        <v>322</v>
      </c>
      <c r="M207" s="4" t="s">
        <v>323</v>
      </c>
      <c r="N207" s="4" t="s">
        <v>324</v>
      </c>
      <c r="O207" s="4" t="s">
        <v>319</v>
      </c>
      <c r="P207" s="5" t="e">
        <f>VLOOKUP(B207,Import!A$1:B$20000,2,FALSE)</f>
        <v>#N/A</v>
      </c>
      <c r="Q207" s="6" t="s">
        <v>1143</v>
      </c>
      <c r="R207" s="9" t="e">
        <f>VLOOKUP(S207,Import!A$1:B$20000,2,FALSE)</f>
        <v>#N/A</v>
      </c>
      <c r="S207" s="10" t="str">
        <f>CONCATENATE(E207,"_",F207,"_",G207,"_",H207,"_",I207,"_",J207,"_",K207,"_",L207,"_",M207,"_",N207,"_",O207)</f>
        <v>3_A_P1M_X_X_X_5J_N_V_B_A</v>
      </c>
      <c r="T207" s="4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6"/>
  <sheetViews>
    <sheetView zoomScalePageLayoutView="0" workbookViewId="0" topLeftCell="A133">
      <selection activeCell="B140" sqref="B140"/>
    </sheetView>
  </sheetViews>
  <sheetFormatPr defaultColWidth="9.140625" defaultRowHeight="12.75"/>
  <cols>
    <col min="1" max="1" width="26.28125" style="0" customWidth="1"/>
    <col min="2" max="2" width="15.421875" style="0" bestFit="1" customWidth="1"/>
    <col min="3" max="3" width="39.140625" style="0" bestFit="1" customWidth="1"/>
    <col min="4" max="4" width="15.57421875" style="0" bestFit="1" customWidth="1"/>
  </cols>
  <sheetData>
    <row r="1" spans="1:4" ht="12.75">
      <c r="A1" t="s">
        <v>424</v>
      </c>
      <c r="B1" t="s">
        <v>698</v>
      </c>
      <c r="C1" t="s">
        <v>425</v>
      </c>
      <c r="D1" t="s">
        <v>698</v>
      </c>
    </row>
    <row r="2" spans="1:4" ht="12.75">
      <c r="A2" t="s">
        <v>428</v>
      </c>
      <c r="B2" t="s">
        <v>754</v>
      </c>
      <c r="C2" t="s">
        <v>226</v>
      </c>
      <c r="D2" t="s">
        <v>245</v>
      </c>
    </row>
    <row r="3" spans="1:4" ht="12.75">
      <c r="A3" t="s">
        <v>429</v>
      </c>
      <c r="B3" t="s">
        <v>755</v>
      </c>
      <c r="C3" t="s">
        <v>227</v>
      </c>
      <c r="D3" t="s">
        <v>246</v>
      </c>
    </row>
    <row r="4" spans="1:4" ht="12.75">
      <c r="A4" t="s">
        <v>522</v>
      </c>
      <c r="B4" t="s">
        <v>756</v>
      </c>
      <c r="C4" t="s">
        <v>679</v>
      </c>
      <c r="D4" t="s">
        <v>247</v>
      </c>
    </row>
    <row r="5" spans="1:4" ht="12.75">
      <c r="A5" t="s">
        <v>426</v>
      </c>
      <c r="B5" t="s">
        <v>757</v>
      </c>
      <c r="C5" t="s">
        <v>680</v>
      </c>
      <c r="D5" t="s">
        <v>248</v>
      </c>
    </row>
    <row r="6" spans="1:4" ht="12.75">
      <c r="A6" t="s">
        <v>432</v>
      </c>
      <c r="B6" t="s">
        <v>758</v>
      </c>
      <c r="C6" t="s">
        <v>681</v>
      </c>
      <c r="D6" t="s">
        <v>249</v>
      </c>
    </row>
    <row r="7" spans="1:4" ht="12.75">
      <c r="A7" t="s">
        <v>433</v>
      </c>
      <c r="B7" t="s">
        <v>759</v>
      </c>
      <c r="C7" t="s">
        <v>682</v>
      </c>
      <c r="D7" t="s">
        <v>250</v>
      </c>
    </row>
    <row r="8" spans="1:4" ht="12.75">
      <c r="A8" t="s">
        <v>430</v>
      </c>
      <c r="B8" t="s">
        <v>760</v>
      </c>
      <c r="C8" t="s">
        <v>228</v>
      </c>
      <c r="D8" t="s">
        <v>251</v>
      </c>
    </row>
    <row r="9" spans="1:4" ht="12.75">
      <c r="A9" t="s">
        <v>436</v>
      </c>
      <c r="B9" t="s">
        <v>761</v>
      </c>
      <c r="C9" t="s">
        <v>229</v>
      </c>
      <c r="D9" t="s">
        <v>252</v>
      </c>
    </row>
    <row r="10" spans="1:4" ht="12.75">
      <c r="A10" t="s">
        <v>435</v>
      </c>
      <c r="B10" t="s">
        <v>762</v>
      </c>
      <c r="C10" t="s">
        <v>230</v>
      </c>
      <c r="D10" t="s">
        <v>253</v>
      </c>
    </row>
    <row r="11" spans="1:4" ht="12.75">
      <c r="A11" t="s">
        <v>437</v>
      </c>
      <c r="B11" t="s">
        <v>763</v>
      </c>
      <c r="C11" t="s">
        <v>694</v>
      </c>
      <c r="D11" t="s">
        <v>254</v>
      </c>
    </row>
    <row r="12" spans="1:4" ht="12.75">
      <c r="A12" t="s">
        <v>500</v>
      </c>
      <c r="B12" t="s">
        <v>764</v>
      </c>
      <c r="C12" t="s">
        <v>695</v>
      </c>
      <c r="D12" t="s">
        <v>255</v>
      </c>
    </row>
    <row r="13" spans="1:4" ht="12.75">
      <c r="A13" t="s">
        <v>493</v>
      </c>
      <c r="B13" t="s">
        <v>765</v>
      </c>
      <c r="C13" t="s">
        <v>231</v>
      </c>
      <c r="D13" t="s">
        <v>256</v>
      </c>
    </row>
    <row r="14" spans="1:4" ht="12.75">
      <c r="A14" t="s">
        <v>439</v>
      </c>
      <c r="B14" t="s">
        <v>766</v>
      </c>
      <c r="C14" t="s">
        <v>683</v>
      </c>
      <c r="D14" t="s">
        <v>257</v>
      </c>
    </row>
    <row r="15" spans="1:4" ht="12.75">
      <c r="A15" t="s">
        <v>438</v>
      </c>
      <c r="B15" t="s">
        <v>767</v>
      </c>
      <c r="C15" t="s">
        <v>232</v>
      </c>
      <c r="D15" t="s">
        <v>258</v>
      </c>
    </row>
    <row r="16" spans="1:4" ht="12.75">
      <c r="A16" t="s">
        <v>490</v>
      </c>
      <c r="B16" t="s">
        <v>768</v>
      </c>
      <c r="C16" t="s">
        <v>684</v>
      </c>
      <c r="D16" t="s">
        <v>259</v>
      </c>
    </row>
    <row r="17" spans="1:4" ht="12.75">
      <c r="A17" t="s">
        <v>504</v>
      </c>
      <c r="B17" t="s">
        <v>769</v>
      </c>
      <c r="C17" t="s">
        <v>685</v>
      </c>
      <c r="D17" t="s">
        <v>260</v>
      </c>
    </row>
    <row r="18" spans="1:4" ht="12.75">
      <c r="A18" t="s">
        <v>495</v>
      </c>
      <c r="B18" t="s">
        <v>770</v>
      </c>
      <c r="C18" t="s">
        <v>233</v>
      </c>
      <c r="D18" t="s">
        <v>261</v>
      </c>
    </row>
    <row r="19" spans="1:4" ht="12.75">
      <c r="A19" t="s">
        <v>496</v>
      </c>
      <c r="B19" t="s">
        <v>771</v>
      </c>
      <c r="C19" t="s">
        <v>234</v>
      </c>
      <c r="D19" t="s">
        <v>262</v>
      </c>
    </row>
    <row r="20" spans="1:4" ht="12.75">
      <c r="A20" t="s">
        <v>501</v>
      </c>
      <c r="B20" t="s">
        <v>772</v>
      </c>
      <c r="C20" t="s">
        <v>235</v>
      </c>
      <c r="D20" t="s">
        <v>263</v>
      </c>
    </row>
    <row r="21" spans="1:4" ht="12.75">
      <c r="A21" t="s">
        <v>699</v>
      </c>
      <c r="B21" t="s">
        <v>773</v>
      </c>
      <c r="C21" t="s">
        <v>686</v>
      </c>
      <c r="D21" t="s">
        <v>264</v>
      </c>
    </row>
    <row r="22" spans="1:4" ht="12.75">
      <c r="A22" t="s">
        <v>651</v>
      </c>
      <c r="B22" t="s">
        <v>774</v>
      </c>
      <c r="C22" t="s">
        <v>687</v>
      </c>
      <c r="D22" t="s">
        <v>265</v>
      </c>
    </row>
    <row r="23" spans="1:4" ht="12.75">
      <c r="A23" t="s">
        <v>498</v>
      </c>
      <c r="B23" t="s">
        <v>775</v>
      </c>
      <c r="C23" t="s">
        <v>236</v>
      </c>
      <c r="D23" t="s">
        <v>266</v>
      </c>
    </row>
    <row r="24" spans="1:4" ht="12.75">
      <c r="A24" t="s">
        <v>700</v>
      </c>
      <c r="B24" t="s">
        <v>776</v>
      </c>
      <c r="C24" t="s">
        <v>237</v>
      </c>
      <c r="D24" t="s">
        <v>267</v>
      </c>
    </row>
    <row r="25" spans="1:4" ht="12.75">
      <c r="A25" t="s">
        <v>502</v>
      </c>
      <c r="B25" t="s">
        <v>777</v>
      </c>
      <c r="C25" t="s">
        <v>238</v>
      </c>
      <c r="D25" t="s">
        <v>268</v>
      </c>
    </row>
    <row r="26" spans="1:4" ht="12.75">
      <c r="A26" t="s">
        <v>499</v>
      </c>
      <c r="B26" t="s">
        <v>778</v>
      </c>
      <c r="C26" t="s">
        <v>239</v>
      </c>
      <c r="D26" t="s">
        <v>269</v>
      </c>
    </row>
    <row r="27" spans="1:4" ht="12.75">
      <c r="A27" t="s">
        <v>701</v>
      </c>
      <c r="B27" t="s">
        <v>779</v>
      </c>
      <c r="C27" t="s">
        <v>688</v>
      </c>
      <c r="D27" t="s">
        <v>270</v>
      </c>
    </row>
    <row r="28" spans="1:4" ht="12.75">
      <c r="A28" t="s">
        <v>497</v>
      </c>
      <c r="B28" t="s">
        <v>780</v>
      </c>
      <c r="C28" t="s">
        <v>240</v>
      </c>
      <c r="D28" t="s">
        <v>271</v>
      </c>
    </row>
    <row r="29" spans="1:4" ht="12.75">
      <c r="A29" t="s">
        <v>492</v>
      </c>
      <c r="B29" t="s">
        <v>781</v>
      </c>
      <c r="C29" t="s">
        <v>241</v>
      </c>
      <c r="D29" t="s">
        <v>272</v>
      </c>
    </row>
    <row r="30" spans="1:4" ht="12.75">
      <c r="A30" t="s">
        <v>491</v>
      </c>
      <c r="B30" t="s">
        <v>782</v>
      </c>
      <c r="C30" t="s">
        <v>242</v>
      </c>
      <c r="D30" t="s">
        <v>273</v>
      </c>
    </row>
    <row r="31" spans="1:4" ht="12.75">
      <c r="A31" t="s">
        <v>494</v>
      </c>
      <c r="B31" t="s">
        <v>783</v>
      </c>
      <c r="C31" t="s">
        <v>690</v>
      </c>
      <c r="D31" t="s">
        <v>274</v>
      </c>
    </row>
    <row r="32" spans="1:4" ht="12.75">
      <c r="A32" t="s">
        <v>568</v>
      </c>
      <c r="B32" t="s">
        <v>784</v>
      </c>
      <c r="C32" t="s">
        <v>243</v>
      </c>
      <c r="D32" t="s">
        <v>275</v>
      </c>
    </row>
    <row r="33" spans="1:4" ht="12.75">
      <c r="A33" t="s">
        <v>507</v>
      </c>
      <c r="B33" t="s">
        <v>785</v>
      </c>
      <c r="C33" t="s">
        <v>691</v>
      </c>
      <c r="D33" t="s">
        <v>276</v>
      </c>
    </row>
    <row r="34" spans="1:4" ht="12.75">
      <c r="A34" t="s">
        <v>510</v>
      </c>
      <c r="B34" t="s">
        <v>786</v>
      </c>
      <c r="C34" t="s">
        <v>693</v>
      </c>
      <c r="D34" t="s">
        <v>204</v>
      </c>
    </row>
    <row r="35" spans="1:4" ht="12.75">
      <c r="A35" t="s">
        <v>513</v>
      </c>
      <c r="B35" t="s">
        <v>787</v>
      </c>
      <c r="C35" t="s">
        <v>697</v>
      </c>
      <c r="D35" t="s">
        <v>277</v>
      </c>
    </row>
    <row r="36" spans="1:4" ht="12.75">
      <c r="A36" t="s">
        <v>564</v>
      </c>
      <c r="B36" t="s">
        <v>788</v>
      </c>
      <c r="C36" t="s">
        <v>244</v>
      </c>
      <c r="D36" t="s">
        <v>278</v>
      </c>
    </row>
    <row r="37" spans="1:4" ht="12.75">
      <c r="A37" t="s">
        <v>514</v>
      </c>
      <c r="B37" t="s">
        <v>789</v>
      </c>
      <c r="C37" t="s">
        <v>696</v>
      </c>
      <c r="D37" t="s">
        <v>279</v>
      </c>
    </row>
    <row r="38" spans="1:4" ht="12.75">
      <c r="A38" t="s">
        <v>515</v>
      </c>
      <c r="B38" t="s">
        <v>790</v>
      </c>
      <c r="C38" t="s">
        <v>692</v>
      </c>
      <c r="D38" t="s">
        <v>280</v>
      </c>
    </row>
    <row r="39" spans="1:4" ht="12.75">
      <c r="A39" t="s">
        <v>517</v>
      </c>
      <c r="B39" t="s">
        <v>791</v>
      </c>
      <c r="C39" t="s">
        <v>689</v>
      </c>
      <c r="D39" t="s">
        <v>281</v>
      </c>
    </row>
    <row r="40" spans="1:2" ht="12.75">
      <c r="A40" t="s">
        <v>702</v>
      </c>
      <c r="B40" t="s">
        <v>792</v>
      </c>
    </row>
    <row r="41" spans="1:2" ht="12.75">
      <c r="A41" t="s">
        <v>703</v>
      </c>
      <c r="B41" t="s">
        <v>793</v>
      </c>
    </row>
    <row r="42" spans="1:2" ht="12.75">
      <c r="A42" t="s">
        <v>506</v>
      </c>
      <c r="B42" t="s">
        <v>794</v>
      </c>
    </row>
    <row r="43" spans="1:2" ht="12.75">
      <c r="A43" t="s">
        <v>519</v>
      </c>
      <c r="B43" t="s">
        <v>795</v>
      </c>
    </row>
    <row r="44" spans="1:2" ht="12.75">
      <c r="A44" t="s">
        <v>520</v>
      </c>
      <c r="B44" t="s">
        <v>796</v>
      </c>
    </row>
    <row r="45" spans="1:2" ht="12.75">
      <c r="A45" t="s">
        <v>521</v>
      </c>
      <c r="B45" t="s">
        <v>797</v>
      </c>
    </row>
    <row r="46" spans="1:2" ht="12.75">
      <c r="A46" t="s">
        <v>704</v>
      </c>
      <c r="B46" t="s">
        <v>798</v>
      </c>
    </row>
    <row r="47" spans="1:2" ht="12.75">
      <c r="A47" t="s">
        <v>523</v>
      </c>
      <c r="B47" t="s">
        <v>799</v>
      </c>
    </row>
    <row r="48" spans="1:2" ht="12.75">
      <c r="A48" t="s">
        <v>525</v>
      </c>
      <c r="B48" t="s">
        <v>800</v>
      </c>
    </row>
    <row r="49" spans="1:2" ht="12.75">
      <c r="A49" t="s">
        <v>540</v>
      </c>
      <c r="B49" t="s">
        <v>801</v>
      </c>
    </row>
    <row r="50" spans="1:2" ht="12.75">
      <c r="A50" t="s">
        <v>630</v>
      </c>
      <c r="B50" t="s">
        <v>802</v>
      </c>
    </row>
    <row r="51" spans="1:2" ht="12.75">
      <c r="A51" t="s">
        <v>509</v>
      </c>
      <c r="B51" t="s">
        <v>803</v>
      </c>
    </row>
    <row r="52" spans="1:2" ht="12.75">
      <c r="A52" t="s">
        <v>648</v>
      </c>
      <c r="B52" t="s">
        <v>804</v>
      </c>
    </row>
    <row r="53" spans="1:2" ht="12.75">
      <c r="A53" t="s">
        <v>526</v>
      </c>
      <c r="B53" t="s">
        <v>805</v>
      </c>
    </row>
    <row r="54" spans="1:2" ht="12.75">
      <c r="A54" t="s">
        <v>524</v>
      </c>
      <c r="B54" t="s">
        <v>806</v>
      </c>
    </row>
    <row r="55" spans="1:2" ht="12.75">
      <c r="A55" t="s">
        <v>528</v>
      </c>
      <c r="B55" t="s">
        <v>807</v>
      </c>
    </row>
    <row r="56" spans="1:2" ht="12.75">
      <c r="A56" t="s">
        <v>705</v>
      </c>
      <c r="B56" t="s">
        <v>808</v>
      </c>
    </row>
    <row r="57" spans="1:2" ht="12.75">
      <c r="A57" t="s">
        <v>531</v>
      </c>
      <c r="B57" t="s">
        <v>809</v>
      </c>
    </row>
    <row r="58" spans="1:2" ht="12.75">
      <c r="A58" t="s">
        <v>530</v>
      </c>
      <c r="B58" t="s">
        <v>810</v>
      </c>
    </row>
    <row r="59" spans="1:2" ht="12.75">
      <c r="A59" t="s">
        <v>610</v>
      </c>
      <c r="B59" t="s">
        <v>811</v>
      </c>
    </row>
    <row r="60" spans="1:2" ht="12.75">
      <c r="A60" t="s">
        <v>529</v>
      </c>
      <c r="B60" t="s">
        <v>812</v>
      </c>
    </row>
    <row r="61" spans="1:2" ht="12.75">
      <c r="A61" t="s">
        <v>706</v>
      </c>
      <c r="B61" t="s">
        <v>813</v>
      </c>
    </row>
    <row r="62" spans="1:2" ht="12.75">
      <c r="A62" t="s">
        <v>707</v>
      </c>
      <c r="B62" t="s">
        <v>814</v>
      </c>
    </row>
    <row r="63" spans="1:2" ht="12.75">
      <c r="A63" t="s">
        <v>609</v>
      </c>
      <c r="B63" t="s">
        <v>815</v>
      </c>
    </row>
    <row r="64" spans="1:2" ht="12.75">
      <c r="A64" t="s">
        <v>708</v>
      </c>
      <c r="B64" t="s">
        <v>816</v>
      </c>
    </row>
    <row r="65" spans="1:2" ht="12.75">
      <c r="A65" t="s">
        <v>709</v>
      </c>
      <c r="B65" t="s">
        <v>817</v>
      </c>
    </row>
    <row r="66" spans="1:2" ht="12.75">
      <c r="A66" t="s">
        <v>710</v>
      </c>
      <c r="B66" t="s">
        <v>818</v>
      </c>
    </row>
    <row r="67" spans="1:2" ht="12.75">
      <c r="A67" t="s">
        <v>711</v>
      </c>
      <c r="B67" t="s">
        <v>819</v>
      </c>
    </row>
    <row r="68" spans="1:2" ht="12.75">
      <c r="A68" t="s">
        <v>427</v>
      </c>
      <c r="B68" t="s">
        <v>820</v>
      </c>
    </row>
    <row r="69" spans="1:2" ht="12.75">
      <c r="A69" t="s">
        <v>532</v>
      </c>
      <c r="B69" t="s">
        <v>821</v>
      </c>
    </row>
    <row r="70" spans="1:2" ht="12.75">
      <c r="A70" t="s">
        <v>538</v>
      </c>
      <c r="B70" t="s">
        <v>822</v>
      </c>
    </row>
    <row r="71" spans="1:2" ht="12.75">
      <c r="A71" t="s">
        <v>534</v>
      </c>
      <c r="B71" t="s">
        <v>823</v>
      </c>
    </row>
    <row r="72" spans="1:2" ht="12.75">
      <c r="A72" t="s">
        <v>536</v>
      </c>
      <c r="B72" t="s">
        <v>824</v>
      </c>
    </row>
    <row r="73" spans="1:2" ht="12.75">
      <c r="A73" t="s">
        <v>537</v>
      </c>
      <c r="B73" t="s">
        <v>825</v>
      </c>
    </row>
    <row r="74" spans="1:2" ht="12.75">
      <c r="A74" t="s">
        <v>541</v>
      </c>
      <c r="B74" t="s">
        <v>826</v>
      </c>
    </row>
    <row r="75" spans="1:2" ht="12.75">
      <c r="A75" t="s">
        <v>533</v>
      </c>
      <c r="B75" t="s">
        <v>827</v>
      </c>
    </row>
    <row r="76" spans="1:2" ht="12.75">
      <c r="A76" t="s">
        <v>712</v>
      </c>
      <c r="B76" t="s">
        <v>828</v>
      </c>
    </row>
    <row r="77" spans="1:2" ht="12.75">
      <c r="A77" t="s">
        <v>542</v>
      </c>
      <c r="B77" t="s">
        <v>829</v>
      </c>
    </row>
    <row r="78" spans="1:2" ht="12.75">
      <c r="A78" t="s">
        <v>535</v>
      </c>
      <c r="B78" t="s">
        <v>830</v>
      </c>
    </row>
    <row r="79" spans="1:2" ht="12.75">
      <c r="A79" t="s">
        <v>539</v>
      </c>
      <c r="B79" t="s">
        <v>831</v>
      </c>
    </row>
    <row r="80" spans="1:2" ht="12.75">
      <c r="A80" t="s">
        <v>543</v>
      </c>
      <c r="B80" t="s">
        <v>832</v>
      </c>
    </row>
    <row r="81" spans="1:2" ht="12.75">
      <c r="A81" t="s">
        <v>544</v>
      </c>
      <c r="B81" t="s">
        <v>833</v>
      </c>
    </row>
    <row r="82" spans="1:2" ht="12.75">
      <c r="A82" t="s">
        <v>548</v>
      </c>
      <c r="B82" t="s">
        <v>834</v>
      </c>
    </row>
    <row r="83" spans="1:2" ht="12.75">
      <c r="A83" t="s">
        <v>601</v>
      </c>
      <c r="B83" t="s">
        <v>835</v>
      </c>
    </row>
    <row r="84" spans="1:2" ht="12.75">
      <c r="A84" t="s">
        <v>546</v>
      </c>
      <c r="B84" t="s">
        <v>836</v>
      </c>
    </row>
    <row r="85" spans="1:2" ht="12.75">
      <c r="A85" t="s">
        <v>545</v>
      </c>
      <c r="B85" t="s">
        <v>837</v>
      </c>
    </row>
    <row r="86" spans="1:2" ht="12.75">
      <c r="A86" t="s">
        <v>553</v>
      </c>
      <c r="B86" t="s">
        <v>838</v>
      </c>
    </row>
    <row r="87" spans="1:2" ht="12.75">
      <c r="A87" t="s">
        <v>550</v>
      </c>
      <c r="B87" t="s">
        <v>839</v>
      </c>
    </row>
    <row r="88" spans="1:2" ht="12.75">
      <c r="A88" t="s">
        <v>652</v>
      </c>
      <c r="B88" t="s">
        <v>840</v>
      </c>
    </row>
    <row r="89" spans="1:2" ht="12.75">
      <c r="A89" t="s">
        <v>662</v>
      </c>
      <c r="B89" t="s">
        <v>841</v>
      </c>
    </row>
    <row r="90" spans="1:2" ht="12.75">
      <c r="A90" t="s">
        <v>713</v>
      </c>
      <c r="B90" t="s">
        <v>842</v>
      </c>
    </row>
    <row r="91" spans="1:2" ht="12.75">
      <c r="A91" t="s">
        <v>554</v>
      </c>
      <c r="B91" t="s">
        <v>843</v>
      </c>
    </row>
    <row r="92" spans="1:2" ht="12.75">
      <c r="A92" t="s">
        <v>555</v>
      </c>
      <c r="B92" t="s">
        <v>844</v>
      </c>
    </row>
    <row r="93" spans="1:2" ht="12.75">
      <c r="A93" t="s">
        <v>551</v>
      </c>
      <c r="B93" t="s">
        <v>845</v>
      </c>
    </row>
    <row r="94" spans="1:2" ht="12.75">
      <c r="A94" t="s">
        <v>556</v>
      </c>
      <c r="B94" t="s">
        <v>846</v>
      </c>
    </row>
    <row r="95" spans="1:2" ht="12.75">
      <c r="A95" t="s">
        <v>552</v>
      </c>
      <c r="B95" t="s">
        <v>847</v>
      </c>
    </row>
    <row r="96" spans="1:2" ht="12.75">
      <c r="A96" t="s">
        <v>714</v>
      </c>
      <c r="B96" t="s">
        <v>848</v>
      </c>
    </row>
    <row r="97" spans="1:2" ht="12.75">
      <c r="A97" t="s">
        <v>715</v>
      </c>
      <c r="B97" t="s">
        <v>849</v>
      </c>
    </row>
    <row r="98" spans="1:2" ht="12.75">
      <c r="A98" t="s">
        <v>716</v>
      </c>
      <c r="B98" t="s">
        <v>850</v>
      </c>
    </row>
    <row r="99" spans="1:2" ht="12.75">
      <c r="A99" t="s">
        <v>717</v>
      </c>
      <c r="B99" t="s">
        <v>851</v>
      </c>
    </row>
    <row r="100" spans="1:2" ht="12.75">
      <c r="A100" t="s">
        <v>558</v>
      </c>
      <c r="B100" t="s">
        <v>852</v>
      </c>
    </row>
    <row r="101" spans="1:2" ht="12.75">
      <c r="A101" t="s">
        <v>559</v>
      </c>
      <c r="B101" t="s">
        <v>853</v>
      </c>
    </row>
    <row r="102" spans="1:2" ht="12.75">
      <c r="A102" t="s">
        <v>557</v>
      </c>
      <c r="B102" t="s">
        <v>854</v>
      </c>
    </row>
    <row r="103" spans="1:2" ht="12.75">
      <c r="A103" t="s">
        <v>718</v>
      </c>
      <c r="B103" t="s">
        <v>855</v>
      </c>
    </row>
    <row r="104" spans="1:2" ht="12.75">
      <c r="A104" t="s">
        <v>719</v>
      </c>
      <c r="B104" t="s">
        <v>856</v>
      </c>
    </row>
    <row r="105" spans="1:2" ht="12.75">
      <c r="A105" t="s">
        <v>562</v>
      </c>
      <c r="B105" t="s">
        <v>857</v>
      </c>
    </row>
    <row r="106" spans="1:2" ht="12.75">
      <c r="A106" t="s">
        <v>511</v>
      </c>
      <c r="B106" t="s">
        <v>858</v>
      </c>
    </row>
    <row r="107" spans="1:2" ht="12.75">
      <c r="A107" t="s">
        <v>505</v>
      </c>
      <c r="B107" t="s">
        <v>859</v>
      </c>
    </row>
    <row r="108" spans="1:2" ht="12.75">
      <c r="A108" t="s">
        <v>516</v>
      </c>
      <c r="B108" t="s">
        <v>860</v>
      </c>
    </row>
    <row r="109" spans="1:2" ht="12.75">
      <c r="A109" t="s">
        <v>569</v>
      </c>
      <c r="B109" t="s">
        <v>861</v>
      </c>
    </row>
    <row r="110" spans="1:2" ht="12.75">
      <c r="A110" t="s">
        <v>560</v>
      </c>
      <c r="B110" t="s">
        <v>862</v>
      </c>
    </row>
    <row r="111" spans="1:2" ht="12.75">
      <c r="A111" t="s">
        <v>512</v>
      </c>
      <c r="B111" t="s">
        <v>863</v>
      </c>
    </row>
    <row r="112" spans="1:2" ht="12.75">
      <c r="A112" t="s">
        <v>561</v>
      </c>
      <c r="B112" t="s">
        <v>864</v>
      </c>
    </row>
    <row r="113" spans="1:2" ht="12.75">
      <c r="A113" t="s">
        <v>563</v>
      </c>
      <c r="B113" t="s">
        <v>59</v>
      </c>
    </row>
    <row r="114" spans="1:2" ht="12.75">
      <c r="A114" t="s">
        <v>508</v>
      </c>
      <c r="B114" t="s">
        <v>60</v>
      </c>
    </row>
    <row r="115" spans="1:2" ht="12.75">
      <c r="A115" t="s">
        <v>547</v>
      </c>
      <c r="B115" t="s">
        <v>61</v>
      </c>
    </row>
    <row r="116" spans="1:2" ht="12.75">
      <c r="A116" t="s">
        <v>567</v>
      </c>
      <c r="B116" t="s">
        <v>62</v>
      </c>
    </row>
    <row r="117" spans="1:2" ht="12.75">
      <c r="A117" t="s">
        <v>570</v>
      </c>
      <c r="B117" t="s">
        <v>63</v>
      </c>
    </row>
    <row r="118" spans="1:2" ht="12.75">
      <c r="A118" t="s">
        <v>658</v>
      </c>
      <c r="B118" t="s">
        <v>64</v>
      </c>
    </row>
    <row r="119" spans="1:2" ht="12.75">
      <c r="A119" t="s">
        <v>575</v>
      </c>
      <c r="B119" t="s">
        <v>65</v>
      </c>
    </row>
    <row r="120" spans="1:2" ht="12.75">
      <c r="A120" t="s">
        <v>578</v>
      </c>
      <c r="B120" t="s">
        <v>66</v>
      </c>
    </row>
    <row r="121" spans="1:2" ht="12.75">
      <c r="A121" t="s">
        <v>571</v>
      </c>
      <c r="B121" t="s">
        <v>67</v>
      </c>
    </row>
    <row r="122" spans="1:2" ht="12.75">
      <c r="A122" t="s">
        <v>574</v>
      </c>
      <c r="B122" t="s">
        <v>68</v>
      </c>
    </row>
    <row r="123" spans="1:2" ht="12.75">
      <c r="A123" t="s">
        <v>579</v>
      </c>
      <c r="B123" t="s">
        <v>69</v>
      </c>
    </row>
    <row r="124" spans="1:2" ht="12.75">
      <c r="A124" t="s">
        <v>572</v>
      </c>
      <c r="B124" t="s">
        <v>70</v>
      </c>
    </row>
    <row r="125" spans="1:2" ht="12.75">
      <c r="A125" t="s">
        <v>576</v>
      </c>
      <c r="B125" t="s">
        <v>71</v>
      </c>
    </row>
    <row r="126" spans="1:2" ht="12.75">
      <c r="A126" t="s">
        <v>577</v>
      </c>
      <c r="B126" t="s">
        <v>72</v>
      </c>
    </row>
    <row r="127" spans="1:2" ht="12.75">
      <c r="A127" t="s">
        <v>587</v>
      </c>
      <c r="B127" t="s">
        <v>73</v>
      </c>
    </row>
    <row r="128" spans="1:2" ht="12.75">
      <c r="A128" t="s">
        <v>582</v>
      </c>
      <c r="B128" t="s">
        <v>74</v>
      </c>
    </row>
    <row r="129" spans="1:2" ht="12.75">
      <c r="A129" t="s">
        <v>583</v>
      </c>
      <c r="B129" t="s">
        <v>75</v>
      </c>
    </row>
    <row r="130" spans="1:2" ht="12.75">
      <c r="A130" t="s">
        <v>593</v>
      </c>
      <c r="B130" t="s">
        <v>76</v>
      </c>
    </row>
    <row r="131" spans="1:2" ht="12.75">
      <c r="A131" t="s">
        <v>720</v>
      </c>
      <c r="B131" t="s">
        <v>77</v>
      </c>
    </row>
    <row r="132" spans="1:2" ht="12.75">
      <c r="A132" t="s">
        <v>592</v>
      </c>
      <c r="B132" t="s">
        <v>78</v>
      </c>
    </row>
    <row r="133" spans="1:2" ht="12.75">
      <c r="A133" t="s">
        <v>584</v>
      </c>
      <c r="B133" t="s">
        <v>79</v>
      </c>
    </row>
    <row r="134" spans="1:2" ht="12.75">
      <c r="A134" t="s">
        <v>589</v>
      </c>
      <c r="B134" t="s">
        <v>80</v>
      </c>
    </row>
    <row r="135" spans="1:2" ht="12.75">
      <c r="A135" t="s">
        <v>580</v>
      </c>
      <c r="B135" t="s">
        <v>81</v>
      </c>
    </row>
    <row r="136" spans="1:2" ht="12.75">
      <c r="A136" t="s">
        <v>588</v>
      </c>
      <c r="B136" t="s">
        <v>82</v>
      </c>
    </row>
    <row r="137" spans="1:2" ht="12.75">
      <c r="A137" t="s">
        <v>590</v>
      </c>
      <c r="B137" t="s">
        <v>83</v>
      </c>
    </row>
    <row r="138" spans="1:2" ht="12.75">
      <c r="A138" t="s">
        <v>594</v>
      </c>
      <c r="B138" t="s">
        <v>84</v>
      </c>
    </row>
    <row r="139" spans="1:2" ht="12.75">
      <c r="A139" t="s">
        <v>721</v>
      </c>
      <c r="B139" t="s">
        <v>85</v>
      </c>
    </row>
    <row r="140" spans="1:2" ht="12.75">
      <c r="A140" t="s">
        <v>581</v>
      </c>
      <c r="B140" t="s">
        <v>86</v>
      </c>
    </row>
    <row r="141" spans="1:2" ht="12.75">
      <c r="A141" t="s">
        <v>586</v>
      </c>
      <c r="B141" t="s">
        <v>87</v>
      </c>
    </row>
    <row r="142" spans="1:2" ht="12.75">
      <c r="A142" t="s">
        <v>595</v>
      </c>
      <c r="B142" t="s">
        <v>88</v>
      </c>
    </row>
    <row r="143" spans="1:2" ht="12.75">
      <c r="A143" t="s">
        <v>585</v>
      </c>
      <c r="B143" t="s">
        <v>89</v>
      </c>
    </row>
    <row r="144" spans="1:2" ht="12.75">
      <c r="A144" t="s">
        <v>596</v>
      </c>
      <c r="B144" t="s">
        <v>90</v>
      </c>
    </row>
    <row r="145" spans="1:2" ht="12.75">
      <c r="A145" t="s">
        <v>604</v>
      </c>
      <c r="B145" t="s">
        <v>91</v>
      </c>
    </row>
    <row r="146" spans="1:2" ht="12.75">
      <c r="A146" t="s">
        <v>431</v>
      </c>
      <c r="B146" t="s">
        <v>92</v>
      </c>
    </row>
    <row r="147" spans="1:2" ht="12.75">
      <c r="A147" t="s">
        <v>603</v>
      </c>
      <c r="B147" t="s">
        <v>93</v>
      </c>
    </row>
    <row r="148" spans="1:2" ht="12.75">
      <c r="A148" t="s">
        <v>600</v>
      </c>
      <c r="B148" t="s">
        <v>94</v>
      </c>
    </row>
    <row r="149" spans="1:2" ht="12.75">
      <c r="A149" t="s">
        <v>598</v>
      </c>
      <c r="B149" t="s">
        <v>95</v>
      </c>
    </row>
    <row r="150" spans="1:2" ht="12.75">
      <c r="A150" t="s">
        <v>599</v>
      </c>
      <c r="B150" t="s">
        <v>96</v>
      </c>
    </row>
    <row r="151" spans="1:2" ht="12.75">
      <c r="A151" t="s">
        <v>565</v>
      </c>
      <c r="B151" t="s">
        <v>97</v>
      </c>
    </row>
    <row r="152" spans="1:2" ht="12.75">
      <c r="A152" t="s">
        <v>602</v>
      </c>
      <c r="B152" t="s">
        <v>98</v>
      </c>
    </row>
    <row r="153" spans="1:2" ht="12.75">
      <c r="A153" t="s">
        <v>597</v>
      </c>
      <c r="B153" t="s">
        <v>99</v>
      </c>
    </row>
    <row r="154" spans="1:2" ht="12.75">
      <c r="A154" t="s">
        <v>605</v>
      </c>
      <c r="B154" t="s">
        <v>100</v>
      </c>
    </row>
    <row r="155" spans="1:2" ht="12.75">
      <c r="A155" t="s">
        <v>724</v>
      </c>
      <c r="B155" t="s">
        <v>101</v>
      </c>
    </row>
    <row r="156" spans="1:2" ht="12.75">
      <c r="A156" t="s">
        <v>674</v>
      </c>
      <c r="B156" t="s">
        <v>102</v>
      </c>
    </row>
    <row r="157" spans="1:2" ht="12.75">
      <c r="A157" t="s">
        <v>725</v>
      </c>
      <c r="B157" t="s">
        <v>103</v>
      </c>
    </row>
    <row r="158" spans="1:2" ht="12.75">
      <c r="A158" t="s">
        <v>606</v>
      </c>
      <c r="B158" t="s">
        <v>104</v>
      </c>
    </row>
    <row r="159" spans="1:2" ht="12.75">
      <c r="A159" t="s">
        <v>611</v>
      </c>
      <c r="B159" t="s">
        <v>105</v>
      </c>
    </row>
    <row r="160" spans="1:2" ht="12.75">
      <c r="A160" t="s">
        <v>726</v>
      </c>
      <c r="B160" t="s">
        <v>106</v>
      </c>
    </row>
    <row r="161" spans="1:2" ht="12.75">
      <c r="A161" t="s">
        <v>607</v>
      </c>
      <c r="B161" t="s">
        <v>107</v>
      </c>
    </row>
    <row r="162" spans="1:2" ht="12.75">
      <c r="A162" t="s">
        <v>727</v>
      </c>
      <c r="B162" t="s">
        <v>108</v>
      </c>
    </row>
    <row r="163" spans="1:2" ht="12.75">
      <c r="A163" t="s">
        <v>614</v>
      </c>
      <c r="B163" t="s">
        <v>109</v>
      </c>
    </row>
    <row r="164" spans="1:2" ht="12.75">
      <c r="A164" t="s">
        <v>608</v>
      </c>
      <c r="B164" t="s">
        <v>110</v>
      </c>
    </row>
    <row r="165" spans="1:2" ht="12.75">
      <c r="A165" t="s">
        <v>612</v>
      </c>
      <c r="B165" t="s">
        <v>111</v>
      </c>
    </row>
    <row r="166" spans="1:2" ht="12.75">
      <c r="A166" t="s">
        <v>613</v>
      </c>
      <c r="B166" t="s">
        <v>112</v>
      </c>
    </row>
    <row r="167" spans="1:2" ht="12.75">
      <c r="A167" t="s">
        <v>615</v>
      </c>
      <c r="B167" t="s">
        <v>113</v>
      </c>
    </row>
    <row r="168" spans="1:2" ht="12.75">
      <c r="A168" t="s">
        <v>728</v>
      </c>
      <c r="B168" t="s">
        <v>114</v>
      </c>
    </row>
    <row r="169" spans="1:2" ht="12.75">
      <c r="A169" t="s">
        <v>729</v>
      </c>
      <c r="B169" t="s">
        <v>115</v>
      </c>
    </row>
    <row r="170" spans="1:2" ht="12.75">
      <c r="A170" t="s">
        <v>730</v>
      </c>
      <c r="B170" t="s">
        <v>116</v>
      </c>
    </row>
    <row r="171" spans="1:2" ht="12.75">
      <c r="A171" t="s">
        <v>731</v>
      </c>
      <c r="B171" t="s">
        <v>117</v>
      </c>
    </row>
    <row r="172" spans="1:2" ht="12.75">
      <c r="A172" t="s">
        <v>732</v>
      </c>
      <c r="B172" t="s">
        <v>118</v>
      </c>
    </row>
    <row r="173" spans="1:2" ht="12.75">
      <c r="A173" t="s">
        <v>733</v>
      </c>
      <c r="B173" t="s">
        <v>119</v>
      </c>
    </row>
    <row r="174" spans="1:2" ht="12.75">
      <c r="A174" t="s">
        <v>734</v>
      </c>
      <c r="B174" t="s">
        <v>120</v>
      </c>
    </row>
    <row r="175" spans="1:2" ht="12.75">
      <c r="A175" t="s">
        <v>617</v>
      </c>
      <c r="B175" t="s">
        <v>121</v>
      </c>
    </row>
    <row r="176" spans="1:2" ht="12.75">
      <c r="A176" t="s">
        <v>735</v>
      </c>
      <c r="B176" t="s">
        <v>122</v>
      </c>
    </row>
    <row r="177" spans="1:2" ht="12.75">
      <c r="A177" t="s">
        <v>616</v>
      </c>
      <c r="B177" t="s">
        <v>123</v>
      </c>
    </row>
    <row r="178" spans="1:2" ht="12.75">
      <c r="A178" t="s">
        <v>619</v>
      </c>
      <c r="B178" t="s">
        <v>124</v>
      </c>
    </row>
    <row r="179" spans="1:2" ht="12.75">
      <c r="A179" t="s">
        <v>736</v>
      </c>
      <c r="B179" t="s">
        <v>125</v>
      </c>
    </row>
    <row r="180" spans="1:2" ht="12.75">
      <c r="A180" t="s">
        <v>629</v>
      </c>
      <c r="B180" t="s">
        <v>126</v>
      </c>
    </row>
    <row r="181" spans="1:2" ht="12.75">
      <c r="A181" t="s">
        <v>618</v>
      </c>
      <c r="B181" t="s">
        <v>127</v>
      </c>
    </row>
    <row r="182" spans="1:2" ht="12.75">
      <c r="A182" t="s">
        <v>737</v>
      </c>
      <c r="B182" t="s">
        <v>128</v>
      </c>
    </row>
    <row r="183" spans="1:2" ht="12.75">
      <c r="A183" t="s">
        <v>626</v>
      </c>
      <c r="B183" t="s">
        <v>129</v>
      </c>
    </row>
    <row r="184" spans="1:2" ht="12.75">
      <c r="A184" t="s">
        <v>620</v>
      </c>
      <c r="B184" t="s">
        <v>130</v>
      </c>
    </row>
    <row r="185" spans="1:2" ht="12.75">
      <c r="A185" t="s">
        <v>625</v>
      </c>
      <c r="B185" t="s">
        <v>131</v>
      </c>
    </row>
    <row r="186" spans="1:2" ht="12.75">
      <c r="A186" t="s">
        <v>622</v>
      </c>
      <c r="B186" t="s">
        <v>132</v>
      </c>
    </row>
    <row r="187" spans="1:2" ht="12.75">
      <c r="A187" t="s">
        <v>624</v>
      </c>
      <c r="B187" t="s">
        <v>133</v>
      </c>
    </row>
    <row r="188" spans="1:2" ht="12.75">
      <c r="A188" t="s">
        <v>623</v>
      </c>
      <c r="B188" t="s">
        <v>134</v>
      </c>
    </row>
    <row r="189" spans="1:2" ht="12.75">
      <c r="A189" t="s">
        <v>627</v>
      </c>
      <c r="B189" t="s">
        <v>135</v>
      </c>
    </row>
    <row r="190" spans="1:2" ht="12.75">
      <c r="A190" t="s">
        <v>527</v>
      </c>
      <c r="B190" t="s">
        <v>136</v>
      </c>
    </row>
    <row r="191" spans="1:2" ht="12.75">
      <c r="A191" t="s">
        <v>573</v>
      </c>
      <c r="B191" t="s">
        <v>137</v>
      </c>
    </row>
    <row r="192" spans="1:2" ht="12.75">
      <c r="A192" t="s">
        <v>738</v>
      </c>
      <c r="B192" t="s">
        <v>138</v>
      </c>
    </row>
    <row r="193" spans="1:2" ht="12.75">
      <c r="A193" t="s">
        <v>739</v>
      </c>
      <c r="B193" t="s">
        <v>139</v>
      </c>
    </row>
    <row r="194" spans="1:2" ht="12.75">
      <c r="A194" t="s">
        <v>740</v>
      </c>
      <c r="B194" t="s">
        <v>140</v>
      </c>
    </row>
    <row r="195" spans="1:2" ht="12.75">
      <c r="A195" t="s">
        <v>741</v>
      </c>
      <c r="B195" t="s">
        <v>141</v>
      </c>
    </row>
    <row r="196" spans="1:2" ht="12.75">
      <c r="A196" t="s">
        <v>742</v>
      </c>
      <c r="B196" t="s">
        <v>142</v>
      </c>
    </row>
    <row r="197" spans="1:2" ht="12.75">
      <c r="A197" t="s">
        <v>621</v>
      </c>
      <c r="B197" t="s">
        <v>143</v>
      </c>
    </row>
    <row r="198" spans="1:2" ht="12.75">
      <c r="A198" t="s">
        <v>628</v>
      </c>
      <c r="B198" t="s">
        <v>144</v>
      </c>
    </row>
    <row r="199" spans="1:2" ht="12.75">
      <c r="A199" t="s">
        <v>743</v>
      </c>
      <c r="B199" t="s">
        <v>145</v>
      </c>
    </row>
    <row r="200" spans="1:2" ht="12.75">
      <c r="A200" t="s">
        <v>744</v>
      </c>
      <c r="B200" t="s">
        <v>146</v>
      </c>
    </row>
    <row r="201" spans="1:2" ht="12.75">
      <c r="A201" t="s">
        <v>632</v>
      </c>
      <c r="B201" t="s">
        <v>147</v>
      </c>
    </row>
    <row r="202" spans="1:2" ht="12.75">
      <c r="A202" t="s">
        <v>676</v>
      </c>
      <c r="B202" t="s">
        <v>148</v>
      </c>
    </row>
    <row r="203" spans="1:2" ht="12.75">
      <c r="A203" t="s">
        <v>566</v>
      </c>
      <c r="B203" t="s">
        <v>149</v>
      </c>
    </row>
    <row r="204" spans="1:2" ht="12.75">
      <c r="A204" t="s">
        <v>631</v>
      </c>
      <c r="B204" t="s">
        <v>150</v>
      </c>
    </row>
    <row r="205" spans="1:2" ht="12.75">
      <c r="A205" t="s">
        <v>637</v>
      </c>
      <c r="B205" t="s">
        <v>151</v>
      </c>
    </row>
    <row r="206" spans="1:2" ht="12.75">
      <c r="A206" t="s">
        <v>644</v>
      </c>
      <c r="B206" t="s">
        <v>152</v>
      </c>
    </row>
    <row r="207" spans="1:2" ht="12.75">
      <c r="A207" t="s">
        <v>645</v>
      </c>
      <c r="B207" t="s">
        <v>153</v>
      </c>
    </row>
    <row r="208" spans="1:2" ht="12.75">
      <c r="A208" t="s">
        <v>634</v>
      </c>
      <c r="B208" t="s">
        <v>154</v>
      </c>
    </row>
    <row r="209" spans="1:2" ht="12.75">
      <c r="A209" t="s">
        <v>636</v>
      </c>
      <c r="B209" t="s">
        <v>155</v>
      </c>
    </row>
    <row r="210" spans="1:2" ht="12.75">
      <c r="A210" t="s">
        <v>518</v>
      </c>
      <c r="B210" t="s">
        <v>156</v>
      </c>
    </row>
    <row r="211" spans="1:2" ht="12.75">
      <c r="A211" t="s">
        <v>635</v>
      </c>
      <c r="B211" t="s">
        <v>157</v>
      </c>
    </row>
    <row r="212" spans="1:2" ht="12.75">
      <c r="A212" t="s">
        <v>640</v>
      </c>
      <c r="B212" t="s">
        <v>158</v>
      </c>
    </row>
    <row r="213" spans="1:2" ht="12.75">
      <c r="A213" t="s">
        <v>745</v>
      </c>
      <c r="B213" t="s">
        <v>159</v>
      </c>
    </row>
    <row r="214" spans="1:2" ht="12.75">
      <c r="A214" t="s">
        <v>642</v>
      </c>
      <c r="B214" t="s">
        <v>160</v>
      </c>
    </row>
    <row r="215" spans="1:2" ht="12.75">
      <c r="A215" t="s">
        <v>639</v>
      </c>
      <c r="B215" t="s">
        <v>161</v>
      </c>
    </row>
    <row r="216" spans="1:2" ht="12.75">
      <c r="A216" t="s">
        <v>641</v>
      </c>
      <c r="B216" t="s">
        <v>162</v>
      </c>
    </row>
    <row r="217" spans="1:2" ht="12.75">
      <c r="A217" t="s">
        <v>638</v>
      </c>
      <c r="B217" t="s">
        <v>163</v>
      </c>
    </row>
    <row r="218" spans="1:2" ht="12.75">
      <c r="A218" t="s">
        <v>633</v>
      </c>
      <c r="B218" t="s">
        <v>164</v>
      </c>
    </row>
    <row r="219" spans="1:2" ht="12.75">
      <c r="A219" t="s">
        <v>643</v>
      </c>
      <c r="B219" t="s">
        <v>184</v>
      </c>
    </row>
    <row r="220" spans="1:2" ht="12.75">
      <c r="A220" t="s">
        <v>746</v>
      </c>
      <c r="B220" t="s">
        <v>185</v>
      </c>
    </row>
    <row r="221" spans="1:2" ht="12.75">
      <c r="A221" t="s">
        <v>664</v>
      </c>
      <c r="B221" t="s">
        <v>186</v>
      </c>
    </row>
    <row r="222" spans="1:2" ht="12.75">
      <c r="A222" t="s">
        <v>663</v>
      </c>
      <c r="B222" t="s">
        <v>187</v>
      </c>
    </row>
    <row r="223" spans="1:2" ht="12.75">
      <c r="A223" t="s">
        <v>549</v>
      </c>
      <c r="B223" t="s">
        <v>188</v>
      </c>
    </row>
    <row r="224" spans="1:2" ht="12.75">
      <c r="A224" t="s">
        <v>666</v>
      </c>
      <c r="B224" t="s">
        <v>189</v>
      </c>
    </row>
    <row r="225" spans="1:2" ht="12.75">
      <c r="A225" t="s">
        <v>665</v>
      </c>
      <c r="B225" t="s">
        <v>194</v>
      </c>
    </row>
    <row r="226" spans="1:2" ht="12.75">
      <c r="A226" t="s">
        <v>747</v>
      </c>
      <c r="B226" t="s">
        <v>195</v>
      </c>
    </row>
    <row r="227" spans="1:2" ht="12.75">
      <c r="A227" t="s">
        <v>649</v>
      </c>
      <c r="B227" t="s">
        <v>196</v>
      </c>
    </row>
    <row r="228" spans="1:2" ht="12.75">
      <c r="A228" t="s">
        <v>647</v>
      </c>
      <c r="B228" t="s">
        <v>197</v>
      </c>
    </row>
    <row r="229" spans="1:2" ht="12.75">
      <c r="A229" t="s">
        <v>748</v>
      </c>
      <c r="B229" t="s">
        <v>198</v>
      </c>
    </row>
    <row r="230" spans="1:2" ht="12.75">
      <c r="A230" t="s">
        <v>749</v>
      </c>
      <c r="B230" t="s">
        <v>199</v>
      </c>
    </row>
    <row r="231" spans="1:2" ht="12.75">
      <c r="A231" t="s">
        <v>750</v>
      </c>
      <c r="B231" t="s">
        <v>200</v>
      </c>
    </row>
    <row r="232" spans="1:2" ht="12.75">
      <c r="A232" t="s">
        <v>751</v>
      </c>
      <c r="B232" t="s">
        <v>201</v>
      </c>
    </row>
    <row r="233" spans="1:2" ht="12.75">
      <c r="A233" t="s">
        <v>752</v>
      </c>
      <c r="B233" t="s">
        <v>202</v>
      </c>
    </row>
    <row r="234" spans="1:2" ht="12.75">
      <c r="A234" t="s">
        <v>667</v>
      </c>
      <c r="B234" t="s">
        <v>203</v>
      </c>
    </row>
    <row r="235" spans="1:2" ht="12.75">
      <c r="A235" t="s">
        <v>671</v>
      </c>
      <c r="B235" t="s">
        <v>204</v>
      </c>
    </row>
    <row r="236" spans="1:2" ht="12.75">
      <c r="A236" t="s">
        <v>668</v>
      </c>
      <c r="B236" t="s">
        <v>205</v>
      </c>
    </row>
    <row r="237" spans="1:2" ht="12.75">
      <c r="A237" t="s">
        <v>669</v>
      </c>
      <c r="B237" t="s">
        <v>206</v>
      </c>
    </row>
    <row r="238" spans="1:2" ht="12.75">
      <c r="A238" t="s">
        <v>670</v>
      </c>
      <c r="B238" t="s">
        <v>207</v>
      </c>
    </row>
    <row r="239" spans="1:2" ht="12.75">
      <c r="A239" t="s">
        <v>503</v>
      </c>
      <c r="B239" t="s">
        <v>208</v>
      </c>
    </row>
    <row r="240" spans="1:2" ht="12.75">
      <c r="A240" t="s">
        <v>753</v>
      </c>
      <c r="B240" t="s">
        <v>209</v>
      </c>
    </row>
    <row r="241" spans="1:2" ht="12.75">
      <c r="A241" t="s">
        <v>673</v>
      </c>
      <c r="B241" t="s">
        <v>210</v>
      </c>
    </row>
    <row r="242" spans="1:2" ht="12.75">
      <c r="A242" t="s">
        <v>672</v>
      </c>
      <c r="B242" t="s">
        <v>211</v>
      </c>
    </row>
    <row r="243" spans="1:2" ht="12.75">
      <c r="A243" t="s">
        <v>675</v>
      </c>
      <c r="B243" t="s">
        <v>212</v>
      </c>
    </row>
    <row r="244" spans="1:2" ht="12.75">
      <c r="A244" t="s">
        <v>677</v>
      </c>
      <c r="B244" t="s">
        <v>213</v>
      </c>
    </row>
    <row r="245" spans="1:2" ht="12.75">
      <c r="A245" t="s">
        <v>678</v>
      </c>
      <c r="B245" t="s">
        <v>214</v>
      </c>
    </row>
    <row r="246" spans="1:2" ht="12.75">
      <c r="A246" t="s">
        <v>434</v>
      </c>
      <c r="B246" t="s">
        <v>215</v>
      </c>
    </row>
    <row r="247" spans="1:2" ht="12.75">
      <c r="A247" t="s">
        <v>656</v>
      </c>
      <c r="B247" t="s">
        <v>216</v>
      </c>
    </row>
    <row r="248" spans="1:2" ht="12.75">
      <c r="A248" t="s">
        <v>660</v>
      </c>
      <c r="B248" t="s">
        <v>217</v>
      </c>
    </row>
    <row r="249" spans="1:2" ht="12.75">
      <c r="A249" t="s">
        <v>661</v>
      </c>
      <c r="B249" t="s">
        <v>218</v>
      </c>
    </row>
    <row r="250" spans="1:2" ht="12.75">
      <c r="A250" t="s">
        <v>646</v>
      </c>
      <c r="B250" t="s">
        <v>219</v>
      </c>
    </row>
    <row r="251" spans="1:2" ht="12.75">
      <c r="A251" t="s">
        <v>650</v>
      </c>
      <c r="B251" t="s">
        <v>220</v>
      </c>
    </row>
    <row r="252" spans="1:2" ht="12.75">
      <c r="A252" t="s">
        <v>655</v>
      </c>
      <c r="B252" t="s">
        <v>221</v>
      </c>
    </row>
    <row r="253" spans="1:2" ht="12.75">
      <c r="A253" t="s">
        <v>657</v>
      </c>
      <c r="B253" t="s">
        <v>222</v>
      </c>
    </row>
    <row r="254" spans="1:2" ht="12.75">
      <c r="A254" t="s">
        <v>659</v>
      </c>
      <c r="B254" t="s">
        <v>223</v>
      </c>
    </row>
    <row r="255" spans="1:2" ht="12.75">
      <c r="A255" t="s">
        <v>653</v>
      </c>
      <c r="B255" t="s">
        <v>224</v>
      </c>
    </row>
    <row r="256" spans="1:2" ht="12.75">
      <c r="A256" t="s">
        <v>654</v>
      </c>
      <c r="B256" t="s">
        <v>225</v>
      </c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27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0" defaultRowHeight="12.75" zeroHeight="1"/>
  <cols>
    <col min="1" max="1" width="15.8515625" style="52" customWidth="1"/>
    <col min="2" max="2" width="31.00390625" style="52" customWidth="1"/>
    <col min="3" max="3" width="69.8515625" style="52" customWidth="1"/>
    <col min="4" max="4" width="3.7109375" style="52" customWidth="1"/>
    <col min="5" max="5" width="38.421875" style="52" customWidth="1"/>
    <col min="6" max="6" width="11.28125" style="32" hidden="1" customWidth="1"/>
    <col min="7" max="7" width="7.28125" style="32" hidden="1" customWidth="1"/>
    <col min="8" max="9" width="18.57421875" style="32" hidden="1" customWidth="1"/>
    <col min="10" max="16384" width="9.140625" style="32" hidden="1" customWidth="1"/>
  </cols>
  <sheetData>
    <row r="1" s="52" customFormat="1" ht="12.75">
      <c r="A1" s="113"/>
    </row>
    <row r="2" spans="2:4" s="52" customFormat="1" ht="18" customHeight="1" thickBot="1">
      <c r="B2" s="53"/>
      <c r="C2" s="53"/>
      <c r="D2" s="53"/>
    </row>
    <row r="3" spans="2:5" ht="13.5" thickTop="1">
      <c r="B3" s="38"/>
      <c r="C3" s="39"/>
      <c r="D3" s="40"/>
      <c r="E3" s="53"/>
    </row>
    <row r="4" spans="2:8" ht="14.25" customHeight="1">
      <c r="B4" s="41"/>
      <c r="C4" s="27"/>
      <c r="D4" s="42"/>
      <c r="E4" s="53"/>
      <c r="F4" s="33"/>
      <c r="G4" s="33"/>
      <c r="H4" s="33"/>
    </row>
    <row r="5" spans="2:9" ht="14.25" customHeight="1">
      <c r="B5" s="41"/>
      <c r="C5" s="27"/>
      <c r="D5" s="42"/>
      <c r="E5" s="53"/>
      <c r="F5" s="34"/>
      <c r="G5" s="34"/>
      <c r="H5" s="34"/>
      <c r="I5" s="33"/>
    </row>
    <row r="6" spans="2:9" ht="14.25" customHeight="1">
      <c r="B6" s="41"/>
      <c r="C6" s="27"/>
      <c r="D6" s="42"/>
      <c r="E6" s="53"/>
      <c r="F6" s="34"/>
      <c r="G6" s="34"/>
      <c r="H6" s="34"/>
      <c r="I6" s="33"/>
    </row>
    <row r="7" spans="2:9" ht="14.25" customHeight="1">
      <c r="B7" s="41"/>
      <c r="C7" s="27"/>
      <c r="D7" s="42"/>
      <c r="E7" s="53"/>
      <c r="F7" s="34"/>
      <c r="G7" s="34"/>
      <c r="H7" s="34"/>
      <c r="I7" s="33"/>
    </row>
    <row r="8" spans="2:9" ht="20.25">
      <c r="B8" s="41"/>
      <c r="C8" s="37" t="s">
        <v>399</v>
      </c>
      <c r="D8" s="43"/>
      <c r="E8" s="53"/>
      <c r="F8" s="34"/>
      <c r="G8" s="34"/>
      <c r="H8" s="34"/>
      <c r="I8" s="33"/>
    </row>
    <row r="9" spans="2:9" ht="14.25" customHeight="1">
      <c r="B9" s="41"/>
      <c r="C9" s="27"/>
      <c r="D9" s="42"/>
      <c r="E9" s="53"/>
      <c r="F9" s="34"/>
      <c r="G9" s="34"/>
      <c r="H9" s="34"/>
      <c r="I9" s="33"/>
    </row>
    <row r="10" spans="2:9" ht="25.5">
      <c r="B10" s="41"/>
      <c r="C10" s="36" t="s">
        <v>191</v>
      </c>
      <c r="D10" s="42"/>
      <c r="E10" s="53"/>
      <c r="F10" s="34"/>
      <c r="G10" s="34"/>
      <c r="H10" s="34"/>
      <c r="I10" s="33"/>
    </row>
    <row r="11" spans="2:9" ht="14.25" customHeight="1">
      <c r="B11" s="41"/>
      <c r="C11" s="36" t="s">
        <v>192</v>
      </c>
      <c r="D11" s="42"/>
      <c r="E11" s="53"/>
      <c r="F11" s="34"/>
      <c r="G11" s="34"/>
      <c r="H11" s="34"/>
      <c r="I11" s="33"/>
    </row>
    <row r="12" spans="2:9" ht="14.25" customHeight="1">
      <c r="B12" s="41"/>
      <c r="C12" s="36" t="s">
        <v>193</v>
      </c>
      <c r="D12" s="42"/>
      <c r="E12" s="53"/>
      <c r="F12" s="34"/>
      <c r="G12" s="34"/>
      <c r="H12" s="34"/>
      <c r="I12" s="33"/>
    </row>
    <row r="13" spans="2:9" ht="14.25" customHeight="1">
      <c r="B13" s="41"/>
      <c r="C13" s="59"/>
      <c r="D13" s="42"/>
      <c r="E13" s="53"/>
      <c r="F13" s="34"/>
      <c r="G13" s="34"/>
      <c r="H13" s="34"/>
      <c r="I13" s="33"/>
    </row>
    <row r="14" spans="2:9" ht="14.25" customHeight="1">
      <c r="B14" s="41"/>
      <c r="C14" s="36" t="s">
        <v>190</v>
      </c>
      <c r="D14" s="44"/>
      <c r="E14" s="53"/>
      <c r="F14" s="34"/>
      <c r="G14" s="34"/>
      <c r="H14" s="34"/>
      <c r="I14" s="33"/>
    </row>
    <row r="15" spans="2:9" ht="14.25" customHeight="1">
      <c r="B15" s="41"/>
      <c r="C15" s="59"/>
      <c r="D15" s="42"/>
      <c r="E15" s="53"/>
      <c r="F15" s="34"/>
      <c r="G15" s="34"/>
      <c r="H15" s="34"/>
      <c r="I15" s="33"/>
    </row>
    <row r="16" spans="2:9" ht="14.25" customHeight="1">
      <c r="B16" s="41"/>
      <c r="C16" s="35" t="s">
        <v>284</v>
      </c>
      <c r="D16" s="45"/>
      <c r="E16" s="54"/>
      <c r="F16" s="34"/>
      <c r="G16" s="34"/>
      <c r="H16" s="34"/>
      <c r="I16" s="33"/>
    </row>
    <row r="17" spans="2:9" ht="14.25" customHeight="1">
      <c r="B17" s="41"/>
      <c r="C17" s="35" t="s">
        <v>285</v>
      </c>
      <c r="D17" s="45"/>
      <c r="E17" s="54"/>
      <c r="F17" s="34"/>
      <c r="G17" s="34"/>
      <c r="H17" s="34"/>
      <c r="I17" s="33"/>
    </row>
    <row r="18" spans="2:9" ht="12.75">
      <c r="B18" s="41"/>
      <c r="C18" s="59"/>
      <c r="D18" s="46"/>
      <c r="E18" s="55"/>
      <c r="F18" s="34"/>
      <c r="G18" s="34"/>
      <c r="H18" s="34"/>
      <c r="I18" s="33"/>
    </row>
    <row r="19" spans="2:9" ht="18" hidden="1">
      <c r="B19" s="41"/>
      <c r="C19" s="28" t="s">
        <v>286</v>
      </c>
      <c r="D19" s="44"/>
      <c r="E19" s="53"/>
      <c r="F19" s="34"/>
      <c r="G19" s="34"/>
      <c r="H19" s="34"/>
      <c r="I19" s="33"/>
    </row>
    <row r="20" spans="2:9" ht="23.25" customHeight="1" hidden="1">
      <c r="B20" s="48" t="s">
        <v>290</v>
      </c>
      <c r="C20" s="29"/>
      <c r="D20" s="47"/>
      <c r="E20" s="53"/>
      <c r="F20" s="34"/>
      <c r="G20" s="34"/>
      <c r="H20" s="34"/>
      <c r="I20" s="33"/>
    </row>
    <row r="21" spans="2:8" ht="23.25" customHeight="1" hidden="1">
      <c r="B21" s="48" t="s">
        <v>288</v>
      </c>
      <c r="C21" s="30"/>
      <c r="D21" s="42"/>
      <c r="E21" s="56"/>
      <c r="F21" s="34"/>
      <c r="G21" s="34"/>
      <c r="H21" s="33"/>
    </row>
    <row r="22" spans="2:7" ht="23.25" customHeight="1" hidden="1">
      <c r="B22" s="48" t="s">
        <v>289</v>
      </c>
      <c r="C22" s="29"/>
      <c r="D22" s="42"/>
      <c r="E22" s="53"/>
      <c r="F22" s="34"/>
      <c r="G22" s="33"/>
    </row>
    <row r="23" spans="2:7" ht="23.25" customHeight="1" hidden="1">
      <c r="B23" s="48" t="s">
        <v>287</v>
      </c>
      <c r="C23" s="31">
        <f ca="1">NOW()</f>
        <v>41969.61599837963</v>
      </c>
      <c r="D23" s="42"/>
      <c r="E23" s="53"/>
      <c r="F23" s="34"/>
      <c r="G23" s="33"/>
    </row>
    <row r="24" spans="2:9" ht="16.5" customHeight="1" thickBot="1">
      <c r="B24" s="49"/>
      <c r="C24" s="50"/>
      <c r="D24" s="51"/>
      <c r="E24" s="53"/>
      <c r="F24" s="34"/>
      <c r="G24" s="34"/>
      <c r="H24" s="34"/>
      <c r="I24" s="33"/>
    </row>
    <row r="25" spans="2:9" ht="13.5" customHeight="1" thickTop="1">
      <c r="B25" s="57"/>
      <c r="C25" s="58"/>
      <c r="D25" s="58"/>
      <c r="E25" s="53"/>
      <c r="F25" s="33"/>
      <c r="G25" s="33"/>
      <c r="H25" s="33"/>
      <c r="I25" s="33"/>
    </row>
    <row r="26" spans="6:9" ht="13.5" customHeight="1">
      <c r="F26" s="33"/>
      <c r="G26" s="33"/>
      <c r="H26" s="33"/>
      <c r="I26" s="33"/>
    </row>
    <row r="27" ht="12.75">
      <c r="B27" s="5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showZeros="0"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20" customWidth="1"/>
    <col min="2" max="2" width="3.8515625" style="120" customWidth="1"/>
    <col min="3" max="3" width="46.28125" style="120" customWidth="1"/>
    <col min="4" max="4" width="37.7109375" style="120" bestFit="1" customWidth="1"/>
    <col min="5" max="5" width="31.140625" style="120" customWidth="1"/>
    <col min="6" max="6" width="2.8515625" style="120" customWidth="1"/>
    <col min="7" max="9" width="17.8515625" style="120" customWidth="1"/>
    <col min="10" max="16384" width="13.57421875" style="120" customWidth="1"/>
  </cols>
  <sheetData>
    <row r="1" ht="12.75"/>
    <row r="2" ht="18">
      <c r="E2" s="121" t="s">
        <v>865</v>
      </c>
    </row>
    <row r="3" ht="12.75"/>
    <row r="4" spans="1:3" ht="12.75">
      <c r="A4" s="122"/>
      <c r="B4" s="123" t="s">
        <v>866</v>
      </c>
      <c r="C4" s="124"/>
    </row>
    <row r="5" spans="1:3" ht="12.75">
      <c r="A5" s="122"/>
      <c r="B5" s="125"/>
      <c r="C5" s="124"/>
    </row>
    <row r="6" spans="2:6" ht="18">
      <c r="B6" s="125" t="s">
        <v>867</v>
      </c>
      <c r="C6" s="125"/>
      <c r="F6" s="60"/>
    </row>
    <row r="7" spans="1:8" ht="12.75">
      <c r="A7" s="126"/>
      <c r="B7" s="125" t="s">
        <v>868</v>
      </c>
      <c r="C7" s="125"/>
      <c r="D7" s="126"/>
      <c r="E7" s="127"/>
      <c r="F7" s="126"/>
      <c r="G7" s="127"/>
      <c r="H7" s="126"/>
    </row>
    <row r="8" spans="1:8" ht="12.75">
      <c r="A8" s="126"/>
      <c r="B8" s="125"/>
      <c r="C8" s="125"/>
      <c r="D8" s="126"/>
      <c r="E8" s="127"/>
      <c r="F8" s="126"/>
      <c r="G8" s="127"/>
      <c r="H8" s="126"/>
    </row>
    <row r="9" spans="1:8" ht="20.25" customHeight="1">
      <c r="A9" s="70"/>
      <c r="B9" s="93" t="s">
        <v>869</v>
      </c>
      <c r="C9" s="128"/>
      <c r="D9" s="70"/>
      <c r="E9" s="129"/>
      <c r="F9" s="70"/>
      <c r="G9" s="130"/>
      <c r="H9" s="70"/>
    </row>
    <row r="10" spans="2:7" ht="12.75">
      <c r="B10" s="131"/>
      <c r="C10" s="131"/>
      <c r="D10" s="69"/>
      <c r="E10" s="69"/>
      <c r="F10" s="69"/>
      <c r="G10" s="132"/>
    </row>
    <row r="11" spans="2:7" ht="16.5" thickBot="1">
      <c r="B11" s="100" t="s">
        <v>310</v>
      </c>
      <c r="C11" s="133"/>
      <c r="D11" s="134"/>
      <c r="E11" s="134"/>
      <c r="F11" s="135"/>
      <c r="G11" s="69"/>
    </row>
    <row r="12" spans="2:7" ht="15">
      <c r="B12" s="95" t="s">
        <v>291</v>
      </c>
      <c r="C12" s="136"/>
      <c r="D12" s="137" t="s">
        <v>870</v>
      </c>
      <c r="E12" s="117" t="s">
        <v>871</v>
      </c>
      <c r="F12" s="61"/>
      <c r="G12" s="69"/>
    </row>
    <row r="13" spans="2:7" ht="13.5" thickBot="1">
      <c r="B13" s="138"/>
      <c r="C13" s="139"/>
      <c r="D13" s="140"/>
      <c r="E13" s="118"/>
      <c r="F13" s="61"/>
      <c r="G13" s="69"/>
    </row>
    <row r="14" spans="2:7" ht="18" customHeight="1">
      <c r="B14" s="62" t="s">
        <v>296</v>
      </c>
      <c r="C14" s="101" t="s">
        <v>872</v>
      </c>
      <c r="D14" s="141">
        <f>Inm_13504</f>
        <v>0</v>
      </c>
      <c r="E14" s="142">
        <f>Inm_11291</f>
        <v>0</v>
      </c>
      <c r="F14" s="63"/>
      <c r="G14" s="143"/>
    </row>
    <row r="15" spans="2:7" ht="18" customHeight="1">
      <c r="B15" s="64" t="s">
        <v>298</v>
      </c>
      <c r="C15" s="102" t="s">
        <v>873</v>
      </c>
      <c r="D15" s="144">
        <f>Inm_13503</f>
        <v>0</v>
      </c>
      <c r="E15" s="145">
        <f>Inm_11292</f>
        <v>0</v>
      </c>
      <c r="F15" s="63"/>
      <c r="G15" s="143"/>
    </row>
    <row r="16" spans="2:7" ht="18" customHeight="1">
      <c r="B16" s="64" t="s">
        <v>299</v>
      </c>
      <c r="C16" s="103" t="s">
        <v>874</v>
      </c>
      <c r="D16" s="141">
        <f>Inm_13502</f>
        <v>0</v>
      </c>
      <c r="E16" s="146">
        <f>Inm_11288</f>
        <v>0</v>
      </c>
      <c r="F16" s="63"/>
      <c r="G16" s="143"/>
    </row>
    <row r="17" spans="2:7" ht="18" customHeight="1">
      <c r="B17" s="65" t="s">
        <v>300</v>
      </c>
      <c r="C17" s="69" t="s">
        <v>875</v>
      </c>
      <c r="D17" s="144">
        <f>Inm_13507</f>
        <v>0</v>
      </c>
      <c r="E17" s="145">
        <f>Inm_11399</f>
        <v>0</v>
      </c>
      <c r="F17" s="63"/>
      <c r="G17" s="143"/>
    </row>
    <row r="18" spans="2:7" ht="18" customHeight="1">
      <c r="B18" s="62" t="s">
        <v>301</v>
      </c>
      <c r="C18" s="103" t="s">
        <v>876</v>
      </c>
      <c r="D18" s="141">
        <f>Inm_13500</f>
        <v>0</v>
      </c>
      <c r="E18" s="146">
        <f>Inm_11299</f>
        <v>0</v>
      </c>
      <c r="F18" s="63"/>
      <c r="G18" s="143"/>
    </row>
    <row r="19" spans="2:7" ht="18" customHeight="1">
      <c r="B19" s="147" t="s">
        <v>302</v>
      </c>
      <c r="C19" s="148" t="s">
        <v>877</v>
      </c>
      <c r="D19" s="141">
        <f>Inm_13499</f>
        <v>0</v>
      </c>
      <c r="E19" s="146">
        <f>Inm_11300</f>
        <v>0</v>
      </c>
      <c r="F19" s="63"/>
      <c r="G19" s="143"/>
    </row>
    <row r="20" spans="1:7" ht="18" customHeight="1">
      <c r="A20" s="149"/>
      <c r="B20" s="150" t="s">
        <v>303</v>
      </c>
      <c r="C20" s="103" t="s">
        <v>878</v>
      </c>
      <c r="D20" s="141">
        <f>Inm_11061</f>
        <v>0</v>
      </c>
      <c r="E20" s="146">
        <f>Inm_11283</f>
        <v>0</v>
      </c>
      <c r="F20" s="63"/>
      <c r="G20" s="143"/>
    </row>
    <row r="21" spans="1:7" ht="18" customHeight="1">
      <c r="A21" s="149"/>
      <c r="B21" s="150" t="s">
        <v>304</v>
      </c>
      <c r="C21" s="104" t="s">
        <v>960</v>
      </c>
      <c r="D21" s="285"/>
      <c r="E21" s="279"/>
      <c r="F21" s="63"/>
      <c r="G21" s="143"/>
    </row>
    <row r="22" spans="1:7" ht="18" customHeight="1">
      <c r="A22" s="149"/>
      <c r="B22" s="150" t="s">
        <v>311</v>
      </c>
      <c r="C22" s="101" t="s">
        <v>880</v>
      </c>
      <c r="D22" s="151"/>
      <c r="E22" s="146">
        <f>Inm_11169+Inm_11371</f>
        <v>0</v>
      </c>
      <c r="F22" s="63"/>
      <c r="G22" s="143"/>
    </row>
    <row r="23" spans="1:7" ht="18" customHeight="1">
      <c r="A23" s="149"/>
      <c r="B23" s="150" t="s">
        <v>881</v>
      </c>
      <c r="C23" s="104" t="s">
        <v>1185</v>
      </c>
      <c r="D23" s="151"/>
      <c r="E23" s="250"/>
      <c r="F23" s="63"/>
      <c r="G23" s="143"/>
    </row>
    <row r="24" spans="1:7" ht="18" customHeight="1">
      <c r="A24" s="149"/>
      <c r="B24" s="150" t="s">
        <v>882</v>
      </c>
      <c r="C24" s="103" t="s">
        <v>1186</v>
      </c>
      <c r="D24" s="151"/>
      <c r="E24" s="250"/>
      <c r="F24" s="63"/>
      <c r="G24" s="143"/>
    </row>
    <row r="25" spans="1:7" ht="18" customHeight="1">
      <c r="A25" s="149"/>
      <c r="B25" s="150" t="s">
        <v>312</v>
      </c>
      <c r="C25" s="103" t="s">
        <v>883</v>
      </c>
      <c r="D25" s="151"/>
      <c r="E25" s="250"/>
      <c r="F25" s="63"/>
      <c r="G25" s="143"/>
    </row>
    <row r="26" spans="1:7" ht="18" customHeight="1">
      <c r="A26" s="149"/>
      <c r="B26" s="150" t="s">
        <v>400</v>
      </c>
      <c r="C26" s="103" t="s">
        <v>884</v>
      </c>
      <c r="D26" s="152"/>
      <c r="E26" s="279"/>
      <c r="F26" s="63"/>
      <c r="G26" s="143"/>
    </row>
    <row r="27" spans="2:7" ht="18" customHeight="1" thickBot="1">
      <c r="B27" s="62" t="s">
        <v>885</v>
      </c>
      <c r="C27" s="103" t="s">
        <v>886</v>
      </c>
      <c r="D27" s="291"/>
      <c r="E27" s="290"/>
      <c r="F27" s="153"/>
      <c r="G27" s="143"/>
    </row>
    <row r="28" spans="2:7" ht="18" customHeight="1" thickBot="1">
      <c r="B28" s="154" t="s">
        <v>887</v>
      </c>
      <c r="C28" s="112" t="s">
        <v>888</v>
      </c>
      <c r="D28" s="155"/>
      <c r="E28" s="248"/>
      <c r="F28" s="153"/>
      <c r="G28" s="66"/>
    </row>
    <row r="29" spans="2:7" ht="18" customHeight="1" thickBot="1">
      <c r="B29" s="154" t="s">
        <v>889</v>
      </c>
      <c r="C29" s="156" t="s">
        <v>1189</v>
      </c>
      <c r="D29" s="157"/>
      <c r="E29" s="249"/>
      <c r="F29" s="68"/>
      <c r="G29" s="143"/>
    </row>
    <row r="30" spans="2:7" ht="18" customHeight="1" thickBot="1">
      <c r="B30" s="154" t="s">
        <v>907</v>
      </c>
      <c r="C30" s="156" t="s">
        <v>1190</v>
      </c>
      <c r="D30" s="346"/>
      <c r="E30" s="346"/>
      <c r="F30" s="68"/>
      <c r="G30" s="143"/>
    </row>
    <row r="31" spans="2:7" ht="18" customHeight="1">
      <c r="B31" s="158"/>
      <c r="C31" s="159"/>
      <c r="D31" s="67"/>
      <c r="E31" s="68"/>
      <c r="F31" s="68"/>
      <c r="G31" s="143"/>
    </row>
    <row r="32" spans="2:7" ht="12.75">
      <c r="B32" s="141"/>
      <c r="C32" s="69" t="s">
        <v>591</v>
      </c>
      <c r="D32" s="67"/>
      <c r="E32" s="68"/>
      <c r="F32" s="68"/>
      <c r="G32" s="143"/>
    </row>
    <row r="33" spans="2:7" ht="14.25">
      <c r="B33" s="116"/>
      <c r="C33" s="159"/>
      <c r="D33" s="67"/>
      <c r="E33" s="68"/>
      <c r="F33" s="68"/>
      <c r="G33" s="143"/>
    </row>
    <row r="34" spans="2:7" ht="12.75">
      <c r="B34" s="160" t="s">
        <v>890</v>
      </c>
      <c r="C34" s="69" t="s">
        <v>891</v>
      </c>
      <c r="D34" s="67"/>
      <c r="E34" s="68"/>
      <c r="F34" s="68"/>
      <c r="G34" s="143"/>
    </row>
    <row r="35" spans="3:7" ht="12.75">
      <c r="C35" s="69" t="s">
        <v>722</v>
      </c>
      <c r="D35" s="67"/>
      <c r="E35" s="68"/>
      <c r="F35" s="68"/>
      <c r="G35" s="143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20" customWidth="1"/>
    <col min="2" max="2" width="4.28125" style="120" customWidth="1"/>
    <col min="3" max="3" width="36.28125" style="120" customWidth="1"/>
    <col min="4" max="4" width="38.00390625" style="120" customWidth="1"/>
    <col min="5" max="5" width="36.57421875" style="120" bestFit="1" customWidth="1"/>
    <col min="6" max="6" width="3.00390625" style="120" customWidth="1"/>
    <col min="7" max="9" width="17.8515625" style="120" customWidth="1"/>
    <col min="10" max="16384" width="13.57421875" style="120" customWidth="1"/>
  </cols>
  <sheetData>
    <row r="1" ht="12.75"/>
    <row r="2" ht="18">
      <c r="E2" s="121" t="s">
        <v>865</v>
      </c>
    </row>
    <row r="3" ht="12.75"/>
    <row r="4" spans="1:6" ht="20.25" customHeight="1">
      <c r="A4" s="161"/>
      <c r="B4" s="94" t="s">
        <v>892</v>
      </c>
      <c r="C4" s="126"/>
      <c r="D4" s="127"/>
      <c r="E4" s="161"/>
      <c r="F4" s="127"/>
    </row>
    <row r="5" spans="2:6" ht="18" customHeight="1">
      <c r="B5" s="162"/>
      <c r="C5" s="162"/>
      <c r="D5" s="162"/>
      <c r="E5" s="162"/>
      <c r="F5" s="163"/>
    </row>
    <row r="6" spans="2:6" ht="20.25" customHeight="1" thickBot="1">
      <c r="B6" s="100" t="s">
        <v>309</v>
      </c>
      <c r="C6" s="164"/>
      <c r="D6" s="134"/>
      <c r="E6" s="134"/>
      <c r="F6" s="162"/>
    </row>
    <row r="7" spans="2:6" ht="15">
      <c r="B7" s="95" t="s">
        <v>893</v>
      </c>
      <c r="C7" s="165"/>
      <c r="D7" s="137" t="s">
        <v>870</v>
      </c>
      <c r="E7" s="117" t="s">
        <v>871</v>
      </c>
      <c r="F7" s="162"/>
    </row>
    <row r="8" spans="2:6" ht="13.5" thickBot="1">
      <c r="B8" s="138"/>
      <c r="C8" s="166"/>
      <c r="D8" s="140"/>
      <c r="E8" s="118"/>
      <c r="F8" s="162"/>
    </row>
    <row r="9" spans="2:6" ht="18" customHeight="1">
      <c r="B9" s="167" t="s">
        <v>296</v>
      </c>
      <c r="C9" s="69" t="s">
        <v>894</v>
      </c>
      <c r="D9" s="304"/>
      <c r="E9" s="265"/>
      <c r="F9" s="143"/>
    </row>
    <row r="10" spans="2:6" ht="18" customHeight="1">
      <c r="B10" s="168" t="s">
        <v>298</v>
      </c>
      <c r="C10" s="103" t="s">
        <v>895</v>
      </c>
      <c r="D10" s="305"/>
      <c r="E10" s="250"/>
      <c r="F10" s="143"/>
    </row>
    <row r="11" spans="2:6" ht="18" customHeight="1">
      <c r="B11" s="168" t="s">
        <v>299</v>
      </c>
      <c r="C11" s="103" t="s">
        <v>896</v>
      </c>
      <c r="D11" s="305"/>
      <c r="E11" s="250"/>
      <c r="F11" s="143"/>
    </row>
    <row r="12" spans="2:6" ht="18" customHeight="1" thickBot="1">
      <c r="B12" s="168" t="s">
        <v>300</v>
      </c>
      <c r="C12" s="103" t="s">
        <v>897</v>
      </c>
      <c r="D12" s="305"/>
      <c r="E12" s="250"/>
      <c r="F12" s="143"/>
    </row>
    <row r="13" spans="2:6" ht="18" customHeight="1" thickBot="1">
      <c r="B13" s="105" t="s">
        <v>301</v>
      </c>
      <c r="C13" s="112" t="s">
        <v>898</v>
      </c>
      <c r="D13" s="306"/>
      <c r="E13" s="248"/>
      <c r="F13" s="143"/>
    </row>
    <row r="14" spans="2:6" ht="18" customHeight="1" thickBot="1">
      <c r="B14" s="334" t="s">
        <v>302</v>
      </c>
      <c r="C14" s="103" t="s">
        <v>1188</v>
      </c>
      <c r="D14" s="347"/>
      <c r="E14" s="348"/>
      <c r="F14" s="143"/>
    </row>
    <row r="15" spans="2:6" ht="18" customHeight="1">
      <c r="B15" s="169"/>
      <c r="C15" s="170"/>
      <c r="D15" s="71"/>
      <c r="E15" s="72"/>
      <c r="F15" s="143"/>
    </row>
    <row r="16" spans="2:6" ht="18" customHeight="1" thickBot="1">
      <c r="B16" s="73" t="s">
        <v>899</v>
      </c>
      <c r="C16" s="164"/>
      <c r="D16" s="76"/>
      <c r="E16" s="171"/>
      <c r="F16" s="143"/>
    </row>
    <row r="17" spans="2:6" ht="15">
      <c r="B17" s="95" t="s">
        <v>893</v>
      </c>
      <c r="C17" s="136"/>
      <c r="D17" s="137" t="s">
        <v>870</v>
      </c>
      <c r="E17" s="117" t="s">
        <v>871</v>
      </c>
      <c r="F17" s="143"/>
    </row>
    <row r="18" spans="2:6" ht="13.5" thickBot="1">
      <c r="B18" s="138"/>
      <c r="C18" s="166"/>
      <c r="D18" s="172"/>
      <c r="E18" s="118"/>
      <c r="F18" s="143"/>
    </row>
    <row r="19" spans="2:6" ht="18" customHeight="1">
      <c r="B19" s="173" t="s">
        <v>303</v>
      </c>
      <c r="C19" s="108" t="s">
        <v>297</v>
      </c>
      <c r="D19" s="305"/>
      <c r="E19" s="307"/>
      <c r="F19" s="143"/>
    </row>
    <row r="20" spans="2:6" ht="18" customHeight="1">
      <c r="B20" s="173" t="s">
        <v>304</v>
      </c>
      <c r="C20" s="108" t="s">
        <v>900</v>
      </c>
      <c r="D20" s="305"/>
      <c r="E20" s="250"/>
      <c r="F20" s="143"/>
    </row>
    <row r="21" spans="2:6" ht="18" customHeight="1">
      <c r="B21" s="173" t="s">
        <v>311</v>
      </c>
      <c r="C21" s="108" t="s">
        <v>1101</v>
      </c>
      <c r="D21" s="305"/>
      <c r="E21" s="250"/>
      <c r="F21" s="143"/>
    </row>
    <row r="22" spans="2:6" ht="18" customHeight="1">
      <c r="B22" s="173" t="s">
        <v>312</v>
      </c>
      <c r="C22" s="108" t="s">
        <v>901</v>
      </c>
      <c r="D22" s="305"/>
      <c r="E22" s="250"/>
      <c r="F22" s="143"/>
    </row>
    <row r="23" spans="2:6" ht="18" customHeight="1">
      <c r="B23" s="173" t="s">
        <v>400</v>
      </c>
      <c r="C23" s="108" t="s">
        <v>902</v>
      </c>
      <c r="D23" s="305"/>
      <c r="E23" s="250"/>
      <c r="F23" s="143"/>
    </row>
    <row r="24" spans="2:6" ht="18" customHeight="1">
      <c r="B24" s="173" t="s">
        <v>885</v>
      </c>
      <c r="C24" s="108" t="s">
        <v>903</v>
      </c>
      <c r="D24" s="305"/>
      <c r="E24" s="250"/>
      <c r="F24" s="143"/>
    </row>
    <row r="25" spans="2:6" ht="18" customHeight="1">
      <c r="B25" s="173" t="s">
        <v>887</v>
      </c>
      <c r="C25" s="108" t="s">
        <v>1102</v>
      </c>
      <c r="D25" s="305"/>
      <c r="E25" s="250"/>
      <c r="F25" s="143"/>
    </row>
    <row r="26" spans="2:6" ht="18" customHeight="1" thickBot="1">
      <c r="B26" s="358" t="s">
        <v>889</v>
      </c>
      <c r="C26" s="359" t="s">
        <v>313</v>
      </c>
      <c r="D26" s="304"/>
      <c r="E26" s="360"/>
      <c r="F26" s="143"/>
    </row>
    <row r="27" spans="2:6" ht="18" customHeight="1" thickBot="1">
      <c r="B27" s="174" t="s">
        <v>907</v>
      </c>
      <c r="C27" s="109" t="s">
        <v>904</v>
      </c>
      <c r="D27" s="306"/>
      <c r="E27" s="248"/>
      <c r="F27" s="163"/>
    </row>
    <row r="28" spans="3:6" ht="18" customHeight="1">
      <c r="C28" s="162"/>
      <c r="D28" s="162"/>
      <c r="E28" s="162"/>
      <c r="F28" s="163"/>
    </row>
    <row r="29" spans="2:8" ht="18" customHeight="1">
      <c r="B29" s="337" t="s">
        <v>1093</v>
      </c>
      <c r="C29" s="336"/>
      <c r="D29" s="335"/>
      <c r="E29" s="335"/>
      <c r="F29" s="335"/>
      <c r="G29" s="335"/>
      <c r="H29" s="333"/>
    </row>
    <row r="30" spans="2:8" ht="18" customHeight="1">
      <c r="B30" s="337" t="s">
        <v>1094</v>
      </c>
      <c r="C30" s="336"/>
      <c r="D30" s="335"/>
      <c r="E30" s="335"/>
      <c r="F30" s="335"/>
      <c r="G30" s="335"/>
      <c r="H30" s="333"/>
    </row>
    <row r="31" spans="2:8" ht="18" customHeight="1">
      <c r="B31" s="337" t="s">
        <v>1095</v>
      </c>
      <c r="C31" s="337"/>
      <c r="D31" s="335"/>
      <c r="E31" s="335"/>
      <c r="F31" s="335"/>
      <c r="G31" s="335"/>
      <c r="H31" s="333"/>
    </row>
    <row r="32" spans="2:8" ht="18" customHeight="1">
      <c r="B32" s="337" t="s">
        <v>1096</v>
      </c>
      <c r="C32" s="337"/>
      <c r="D32" s="335"/>
      <c r="E32" s="335"/>
      <c r="F32" s="335"/>
      <c r="G32" s="335"/>
      <c r="H32" s="333"/>
    </row>
    <row r="33" spans="2:8" ht="18" customHeight="1">
      <c r="B33" s="337" t="s">
        <v>1097</v>
      </c>
      <c r="C33" s="337"/>
      <c r="D33" s="335"/>
      <c r="E33" s="335"/>
      <c r="F33" s="335"/>
      <c r="G33" s="335"/>
      <c r="H33" s="333"/>
    </row>
    <row r="34" spans="2:8" ht="18" customHeight="1">
      <c r="B34" s="337" t="s">
        <v>1098</v>
      </c>
      <c r="C34" s="337"/>
      <c r="D34" s="335"/>
      <c r="E34" s="335"/>
      <c r="F34" s="335"/>
      <c r="G34" s="335"/>
      <c r="H34" s="333"/>
    </row>
    <row r="35" spans="2:8" ht="18" customHeight="1">
      <c r="B35" s="337" t="s">
        <v>1099</v>
      </c>
      <c r="C35" s="337"/>
      <c r="D35" s="335"/>
      <c r="E35" s="335"/>
      <c r="F35" s="335"/>
      <c r="G35" s="335"/>
      <c r="H35" s="333"/>
    </row>
    <row r="36" spans="2:8" ht="18" customHeight="1">
      <c r="B36" s="337" t="s">
        <v>1100</v>
      </c>
      <c r="C36" s="337"/>
      <c r="D36" s="337"/>
      <c r="E36" s="337"/>
      <c r="F36" s="335"/>
      <c r="G36" s="333"/>
      <c r="H36" s="333"/>
    </row>
    <row r="37" spans="2:8" ht="18" customHeight="1">
      <c r="B37" s="337"/>
      <c r="C37" s="337"/>
      <c r="D37" s="337"/>
      <c r="E37" s="335"/>
      <c r="F37" s="335"/>
      <c r="G37" s="335"/>
      <c r="H37" s="333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5.7109375" style="111" customWidth="1"/>
    <col min="3" max="3" width="36.57421875" style="111" customWidth="1"/>
    <col min="4" max="4" width="37.421875" style="111" customWidth="1"/>
    <col min="5" max="5" width="36.57421875" style="111" bestFit="1" customWidth="1"/>
    <col min="6" max="6" width="3.00390625" style="111" customWidth="1"/>
    <col min="7" max="8" width="17.8515625" style="111" customWidth="1"/>
    <col min="9" max="16384" width="13.57421875" style="111" customWidth="1"/>
  </cols>
  <sheetData>
    <row r="1" s="120" customFormat="1" ht="12.75">
      <c r="A1" s="332"/>
    </row>
    <row r="2" s="120" customFormat="1" ht="18">
      <c r="E2" s="121" t="s">
        <v>865</v>
      </c>
    </row>
    <row r="3" s="120" customFormat="1" ht="12.75"/>
    <row r="4" spans="2:5" ht="18" customHeight="1">
      <c r="B4" s="91" t="s">
        <v>905</v>
      </c>
      <c r="C4" s="175"/>
      <c r="D4" s="176"/>
      <c r="E4" s="177"/>
    </row>
    <row r="5" spans="2:5" ht="18" customHeight="1">
      <c r="B5" s="85"/>
      <c r="C5" s="85"/>
      <c r="D5" s="85"/>
      <c r="E5" s="85"/>
    </row>
    <row r="6" spans="2:5" ht="18" customHeight="1" thickBot="1">
      <c r="B6" s="74" t="s">
        <v>308</v>
      </c>
      <c r="C6" s="75"/>
      <c r="D6" s="76"/>
      <c r="E6" s="76"/>
    </row>
    <row r="7" spans="2:5" ht="18" customHeight="1">
      <c r="B7" s="98" t="s">
        <v>893</v>
      </c>
      <c r="C7" s="178"/>
      <c r="D7" s="137" t="s">
        <v>870</v>
      </c>
      <c r="E7" s="179" t="s">
        <v>871</v>
      </c>
    </row>
    <row r="8" spans="2:5" ht="13.5" thickBot="1">
      <c r="B8" s="96"/>
      <c r="C8" s="97"/>
      <c r="D8" s="172"/>
      <c r="E8" s="180"/>
    </row>
    <row r="9" spans="2:5" ht="18" customHeight="1">
      <c r="B9" s="181" t="s">
        <v>296</v>
      </c>
      <c r="C9" s="85" t="s">
        <v>894</v>
      </c>
      <c r="D9" s="251"/>
      <c r="E9" s="265"/>
    </row>
    <row r="10" spans="2:5" ht="18" customHeight="1">
      <c r="B10" s="182" t="s">
        <v>298</v>
      </c>
      <c r="C10" s="108" t="s">
        <v>895</v>
      </c>
      <c r="D10" s="252"/>
      <c r="E10" s="250"/>
    </row>
    <row r="11" spans="2:5" ht="18" customHeight="1">
      <c r="B11" s="173" t="s">
        <v>299</v>
      </c>
      <c r="C11" s="108" t="s">
        <v>896</v>
      </c>
      <c r="D11" s="252"/>
      <c r="E11" s="250"/>
    </row>
    <row r="12" spans="2:5" ht="18" customHeight="1" thickBot="1">
      <c r="B12" s="173" t="s">
        <v>300</v>
      </c>
      <c r="C12" s="108" t="s">
        <v>897</v>
      </c>
      <c r="D12" s="252"/>
      <c r="E12" s="250"/>
    </row>
    <row r="13" spans="2:5" ht="18" customHeight="1" thickBot="1">
      <c r="B13" s="174" t="s">
        <v>301</v>
      </c>
      <c r="C13" s="109" t="s">
        <v>906</v>
      </c>
      <c r="D13" s="254"/>
      <c r="E13" s="248"/>
    </row>
    <row r="14" spans="2:5" ht="18" customHeight="1" thickBot="1">
      <c r="B14" s="174" t="s">
        <v>302</v>
      </c>
      <c r="C14" s="183" t="s">
        <v>1187</v>
      </c>
      <c r="D14" s="300"/>
      <c r="E14" s="299"/>
    </row>
    <row r="15" spans="2:5" s="337" customFormat="1" ht="18" customHeight="1" thickBot="1">
      <c r="B15" s="174" t="s">
        <v>303</v>
      </c>
      <c r="C15" s="183" t="s">
        <v>1188</v>
      </c>
      <c r="D15" s="349"/>
      <c r="E15" s="350"/>
    </row>
    <row r="16" spans="2:5" ht="18" customHeight="1">
      <c r="B16" s="184"/>
      <c r="C16" s="110"/>
      <c r="D16" s="77"/>
      <c r="E16" s="78"/>
    </row>
    <row r="17" spans="2:5" ht="18" customHeight="1" thickBot="1">
      <c r="B17" s="79" t="s">
        <v>899</v>
      </c>
      <c r="C17" s="80"/>
      <c r="D17" s="185"/>
      <c r="E17" s="186"/>
    </row>
    <row r="18" spans="2:5" ht="15">
      <c r="B18" s="98" t="s">
        <v>893</v>
      </c>
      <c r="C18" s="178"/>
      <c r="D18" s="137" t="s">
        <v>870</v>
      </c>
      <c r="E18" s="179" t="s">
        <v>871</v>
      </c>
    </row>
    <row r="19" spans="2:5" ht="13.5" thickBot="1">
      <c r="B19" s="96"/>
      <c r="C19" s="97"/>
      <c r="D19" s="270"/>
      <c r="E19" s="272"/>
    </row>
    <row r="20" spans="2:5" ht="18" customHeight="1">
      <c r="B20" s="173" t="s">
        <v>304</v>
      </c>
      <c r="C20" s="108" t="s">
        <v>305</v>
      </c>
      <c r="D20" s="252"/>
      <c r="E20" s="250"/>
    </row>
    <row r="21" spans="2:5" ht="18" customHeight="1">
      <c r="B21" s="173" t="s">
        <v>311</v>
      </c>
      <c r="C21" s="108" t="s">
        <v>306</v>
      </c>
      <c r="D21" s="252"/>
      <c r="E21" s="250"/>
    </row>
    <row r="22" spans="2:5" ht="18" customHeight="1">
      <c r="B22" s="173" t="s">
        <v>312</v>
      </c>
      <c r="C22" s="108" t="s">
        <v>900</v>
      </c>
      <c r="D22" s="252"/>
      <c r="E22" s="250"/>
    </row>
    <row r="23" spans="2:5" ht="18" customHeight="1">
      <c r="B23" s="173" t="s">
        <v>400</v>
      </c>
      <c r="C23" s="108" t="s">
        <v>1101</v>
      </c>
      <c r="D23" s="252"/>
      <c r="E23" s="250"/>
    </row>
    <row r="24" spans="2:5" ht="18" customHeight="1">
      <c r="B24" s="173" t="s">
        <v>885</v>
      </c>
      <c r="C24" s="108" t="s">
        <v>901</v>
      </c>
      <c r="D24" s="252"/>
      <c r="E24" s="250"/>
    </row>
    <row r="25" spans="2:5" ht="18" customHeight="1">
      <c r="B25" s="173" t="s">
        <v>887</v>
      </c>
      <c r="C25" s="108" t="s">
        <v>902</v>
      </c>
      <c r="D25" s="252"/>
      <c r="E25" s="250"/>
    </row>
    <row r="26" spans="2:5" ht="18" customHeight="1">
      <c r="B26" s="173" t="s">
        <v>889</v>
      </c>
      <c r="C26" s="108" t="s">
        <v>903</v>
      </c>
      <c r="D26" s="252"/>
      <c r="E26" s="250"/>
    </row>
    <row r="27" spans="2:5" ht="18" customHeight="1">
      <c r="B27" s="173" t="s">
        <v>907</v>
      </c>
      <c r="C27" s="108" t="s">
        <v>1102</v>
      </c>
      <c r="D27" s="252"/>
      <c r="E27" s="253"/>
    </row>
    <row r="28" spans="2:5" ht="18" customHeight="1" thickBot="1">
      <c r="B28" s="173" t="s">
        <v>908</v>
      </c>
      <c r="C28" s="108" t="s">
        <v>313</v>
      </c>
      <c r="D28" s="252"/>
      <c r="E28" s="250"/>
    </row>
    <row r="29" spans="2:5" ht="18" customHeight="1" thickBot="1">
      <c r="B29" s="174" t="s">
        <v>909</v>
      </c>
      <c r="C29" s="109" t="s">
        <v>904</v>
      </c>
      <c r="D29" s="254"/>
      <c r="E29" s="248"/>
    </row>
    <row r="30" spans="2:5" ht="18" customHeight="1" thickBot="1">
      <c r="B30" s="174" t="s">
        <v>1133</v>
      </c>
      <c r="C30" s="183" t="s">
        <v>1187</v>
      </c>
      <c r="D30" s="256"/>
      <c r="E30" s="249"/>
    </row>
    <row r="31" spans="2:9" ht="18" customHeight="1">
      <c r="B31" s="337"/>
      <c r="C31" s="336"/>
      <c r="D31" s="336"/>
      <c r="E31" s="336"/>
      <c r="F31" s="337"/>
      <c r="G31" s="337"/>
      <c r="H31" s="337"/>
      <c r="I31" s="337"/>
    </row>
    <row r="32" spans="2:9" ht="12.75">
      <c r="B32" s="337" t="s">
        <v>1108</v>
      </c>
      <c r="C32" s="336"/>
      <c r="D32" s="336"/>
      <c r="E32" s="335"/>
      <c r="F32" s="335"/>
      <c r="G32" s="335"/>
      <c r="H32" s="337"/>
      <c r="I32" s="337"/>
    </row>
    <row r="33" spans="2:9" ht="12.75">
      <c r="B33" s="337" t="s">
        <v>1109</v>
      </c>
      <c r="C33" s="336"/>
      <c r="D33" s="337"/>
      <c r="E33" s="333"/>
      <c r="F33" s="337"/>
      <c r="G33" s="337"/>
      <c r="H33" s="337"/>
      <c r="I33" s="337"/>
    </row>
    <row r="34" spans="2:9" ht="12.75">
      <c r="B34" s="337" t="s">
        <v>1110</v>
      </c>
      <c r="C34" s="335"/>
      <c r="D34" s="337"/>
      <c r="E34" s="333"/>
      <c r="F34" s="337"/>
      <c r="G34" s="337"/>
      <c r="H34" s="337"/>
      <c r="I34" s="337"/>
    </row>
    <row r="35" spans="2:9" ht="12.75">
      <c r="B35" s="337" t="s">
        <v>1111</v>
      </c>
      <c r="C35" s="335"/>
      <c r="D35" s="337"/>
      <c r="E35" s="337"/>
      <c r="F35" s="337"/>
      <c r="G35" s="337"/>
      <c r="H35" s="337"/>
      <c r="I35" s="337"/>
    </row>
    <row r="36" spans="2:9" ht="12.75">
      <c r="B36" s="337" t="s">
        <v>1112</v>
      </c>
      <c r="C36" s="335"/>
      <c r="D36" s="337"/>
      <c r="E36" s="337"/>
      <c r="F36" s="337"/>
      <c r="G36" s="337"/>
      <c r="H36" s="337"/>
      <c r="I36" s="337"/>
    </row>
    <row r="37" spans="2:9" ht="12.75">
      <c r="B37" s="337" t="s">
        <v>1113</v>
      </c>
      <c r="C37" s="335"/>
      <c r="D37" s="337"/>
      <c r="E37" s="337"/>
      <c r="F37" s="337"/>
      <c r="G37" s="337"/>
      <c r="H37" s="337"/>
      <c r="I37" s="337"/>
    </row>
    <row r="38" spans="2:9" ht="12.75">
      <c r="B38" s="337" t="s">
        <v>1114</v>
      </c>
      <c r="C38" s="335"/>
      <c r="D38" s="337"/>
      <c r="E38" s="337"/>
      <c r="F38" s="337"/>
      <c r="G38" s="337"/>
      <c r="H38" s="337"/>
      <c r="I38" s="337"/>
    </row>
    <row r="39" spans="2:9" ht="12.75">
      <c r="B39" s="337" t="s">
        <v>1115</v>
      </c>
      <c r="C39" s="335"/>
      <c r="D39" s="337"/>
      <c r="E39" s="337"/>
      <c r="F39" s="337"/>
      <c r="G39" s="337"/>
      <c r="H39" s="337"/>
      <c r="I39" s="337"/>
    </row>
    <row r="40" spans="2:9" ht="18" customHeight="1">
      <c r="B40" s="337"/>
      <c r="C40" s="337"/>
      <c r="D40" s="337"/>
      <c r="E40" s="337"/>
      <c r="F40" s="337"/>
      <c r="G40" s="337"/>
      <c r="H40" s="337"/>
      <c r="I40" s="337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4.8515625" style="111" customWidth="1"/>
    <col min="3" max="3" width="43.57421875" style="111" customWidth="1"/>
    <col min="4" max="4" width="37.7109375" style="111" bestFit="1" customWidth="1"/>
    <col min="5" max="5" width="34.8515625" style="111" bestFit="1" customWidth="1"/>
    <col min="6" max="6" width="3.7109375" style="86" customWidth="1"/>
    <col min="7" max="7" width="34.8515625" style="86" customWidth="1"/>
    <col min="8" max="8" width="6.8515625" style="111" customWidth="1"/>
    <col min="9" max="10" width="17.8515625" style="111" customWidth="1"/>
    <col min="11" max="16384" width="13.57421875" style="111" customWidth="1"/>
  </cols>
  <sheetData>
    <row r="1" s="120" customFormat="1" ht="12.75">
      <c r="A1" s="332"/>
    </row>
    <row r="2" s="120" customFormat="1" ht="18">
      <c r="E2" s="121" t="s">
        <v>865</v>
      </c>
    </row>
    <row r="3" s="120" customFormat="1" ht="12.75"/>
    <row r="4" spans="1:7" ht="20.25" customHeight="1">
      <c r="A4" s="187"/>
      <c r="B4" s="92" t="s">
        <v>910</v>
      </c>
      <c r="C4" s="175"/>
      <c r="D4" s="176"/>
      <c r="E4" s="177"/>
      <c r="F4" s="175"/>
      <c r="G4" s="175"/>
    </row>
    <row r="5" spans="2:7" ht="18" customHeight="1">
      <c r="B5" s="160"/>
      <c r="C5" s="160"/>
      <c r="D5" s="160"/>
      <c r="E5" s="160"/>
      <c r="F5" s="85"/>
      <c r="G5" s="85"/>
    </row>
    <row r="6" spans="2:7" ht="20.25" customHeight="1" thickBot="1">
      <c r="B6" s="74" t="s">
        <v>911</v>
      </c>
      <c r="C6" s="74"/>
      <c r="D6" s="76"/>
      <c r="E6" s="76"/>
      <c r="F6" s="185"/>
      <c r="G6" s="185"/>
    </row>
    <row r="7" spans="2:7" ht="15">
      <c r="B7" s="98" t="s">
        <v>893</v>
      </c>
      <c r="C7" s="99"/>
      <c r="D7" s="188" t="s">
        <v>870</v>
      </c>
      <c r="E7" s="179" t="s">
        <v>871</v>
      </c>
      <c r="F7" s="80"/>
      <c r="G7" s="80"/>
    </row>
    <row r="8" spans="2:7" ht="13.5" thickBot="1">
      <c r="B8" s="96"/>
      <c r="C8" s="97"/>
      <c r="D8" s="172"/>
      <c r="E8" s="180"/>
      <c r="F8" s="189"/>
      <c r="G8" s="189"/>
    </row>
    <row r="9" spans="2:7" ht="18" customHeight="1">
      <c r="B9" s="190" t="s">
        <v>296</v>
      </c>
      <c r="C9" s="107" t="s">
        <v>912</v>
      </c>
      <c r="D9" s="257"/>
      <c r="E9" s="301"/>
      <c r="F9" s="191"/>
      <c r="G9" s="191"/>
    </row>
    <row r="10" spans="2:7" ht="18" customHeight="1">
      <c r="B10" s="173" t="s">
        <v>298</v>
      </c>
      <c r="C10" s="108" t="s">
        <v>1103</v>
      </c>
      <c r="D10" s="258"/>
      <c r="E10" s="302"/>
      <c r="F10" s="191"/>
      <c r="G10" s="191"/>
    </row>
    <row r="11" spans="2:7" ht="18" customHeight="1">
      <c r="B11" s="173" t="s">
        <v>299</v>
      </c>
      <c r="C11" s="108" t="s">
        <v>313</v>
      </c>
      <c r="D11" s="258"/>
      <c r="E11" s="302"/>
      <c r="F11" s="191"/>
      <c r="G11" s="191"/>
    </row>
    <row r="12" spans="2:7" ht="18" customHeight="1" thickBot="1">
      <c r="B12" s="173" t="s">
        <v>300</v>
      </c>
      <c r="C12" s="108" t="s">
        <v>314</v>
      </c>
      <c r="D12" s="258"/>
      <c r="E12" s="302"/>
      <c r="F12" s="191"/>
      <c r="G12" s="191"/>
    </row>
    <row r="13" spans="2:7" ht="18" customHeight="1" thickBot="1">
      <c r="B13" s="174" t="s">
        <v>301</v>
      </c>
      <c r="C13" s="109" t="s">
        <v>913</v>
      </c>
      <c r="D13" s="259"/>
      <c r="E13" s="303"/>
      <c r="F13" s="191"/>
      <c r="G13" s="191"/>
    </row>
    <row r="14" spans="2:7" ht="18" customHeight="1">
      <c r="B14" s="160"/>
      <c r="C14" s="160"/>
      <c r="D14" s="192"/>
      <c r="E14" s="192"/>
      <c r="F14" s="193"/>
      <c r="G14" s="193"/>
    </row>
    <row r="15" spans="1:8" ht="18" customHeight="1">
      <c r="A15" s="337"/>
      <c r="B15" s="337" t="s">
        <v>1116</v>
      </c>
      <c r="C15" s="335"/>
      <c r="D15" s="335"/>
      <c r="E15" s="335"/>
      <c r="F15" s="337"/>
      <c r="G15" s="335"/>
      <c r="H15" s="337"/>
    </row>
    <row r="16" spans="1:8" ht="18" customHeight="1">
      <c r="A16" s="337"/>
      <c r="B16" s="337" t="s">
        <v>1117</v>
      </c>
      <c r="C16" s="335"/>
      <c r="D16" s="335"/>
      <c r="E16" s="335"/>
      <c r="F16" s="337"/>
      <c r="G16" s="335"/>
      <c r="H16" s="337"/>
    </row>
    <row r="17" spans="1:8" ht="18" customHeight="1">
      <c r="A17" s="337"/>
      <c r="B17" s="337" t="s">
        <v>1193</v>
      </c>
      <c r="C17" s="335"/>
      <c r="D17" s="335"/>
      <c r="E17" s="335"/>
      <c r="F17" s="337"/>
      <c r="G17" s="335"/>
      <c r="H17" s="337"/>
    </row>
    <row r="18" spans="1:8" ht="18" customHeight="1">
      <c r="A18" s="337"/>
      <c r="B18" s="337" t="s">
        <v>1194</v>
      </c>
      <c r="C18" s="335"/>
      <c r="D18" s="335"/>
      <c r="E18" s="335"/>
      <c r="F18" s="337"/>
      <c r="G18" s="335"/>
      <c r="H18" s="337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89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8515625" style="194" customWidth="1"/>
    <col min="2" max="2" width="4.7109375" style="194" customWidth="1"/>
    <col min="3" max="3" width="96.28125" style="194" customWidth="1"/>
    <col min="4" max="4" width="45.8515625" style="194" bestFit="1" customWidth="1"/>
    <col min="5" max="5" width="30.28125" style="194" customWidth="1"/>
    <col min="6" max="6" width="3.421875" style="194" customWidth="1"/>
    <col min="7" max="7" width="48.140625" style="194" bestFit="1" customWidth="1"/>
    <col min="8" max="8" width="32.421875" style="194" bestFit="1" customWidth="1"/>
    <col min="9" max="16384" width="9.140625" style="194" customWidth="1"/>
  </cols>
  <sheetData>
    <row r="1" s="120" customFormat="1" ht="12.75">
      <c r="A1" s="332"/>
    </row>
    <row r="2" s="120" customFormat="1" ht="18">
      <c r="E2" s="121" t="s">
        <v>865</v>
      </c>
    </row>
    <row r="3" s="120" customFormat="1" ht="12.75"/>
    <row r="4" spans="1:58" ht="18">
      <c r="A4" s="187"/>
      <c r="B4" s="91" t="s">
        <v>914</v>
      </c>
      <c r="C4" s="175"/>
      <c r="D4" s="120"/>
      <c r="E4" s="177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</row>
    <row r="5" spans="1:58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</row>
    <row r="6" spans="1:58" ht="16.5" thickBot="1">
      <c r="A6" s="120"/>
      <c r="B6" s="82" t="s">
        <v>915</v>
      </c>
      <c r="C6" s="8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58" ht="15.75" customHeight="1">
      <c r="A7" s="120"/>
      <c r="B7" s="98" t="s">
        <v>893</v>
      </c>
      <c r="C7" s="178"/>
      <c r="D7" s="137" t="s">
        <v>870</v>
      </c>
      <c r="E7" s="119" t="s">
        <v>871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58" ht="15.75" customHeight="1" thickBot="1">
      <c r="A8" s="120"/>
      <c r="B8" s="195"/>
      <c r="C8" s="196"/>
      <c r="D8" s="197"/>
      <c r="E8" s="198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</row>
    <row r="9" spans="1:58" ht="18" customHeight="1" thickBot="1">
      <c r="A9" s="120"/>
      <c r="B9" s="174" t="s">
        <v>296</v>
      </c>
      <c r="C9" s="199" t="s">
        <v>916</v>
      </c>
      <c r="D9" s="308">
        <f>Inm_17885+Inm_17884</f>
        <v>0</v>
      </c>
      <c r="E9" s="288">
        <f>Inm_11181+Inm_11179</f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</row>
    <row r="10" spans="1:58" ht="18" customHeight="1">
      <c r="A10" s="120"/>
      <c r="B10" s="200" t="s">
        <v>292</v>
      </c>
      <c r="C10" s="201" t="s">
        <v>1104</v>
      </c>
      <c r="D10" s="309"/>
      <c r="E10" s="253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</row>
    <row r="11" spans="1:58" ht="18" customHeight="1" thickBot="1">
      <c r="A11" s="120"/>
      <c r="B11" s="200" t="s">
        <v>293</v>
      </c>
      <c r="C11" s="201" t="s">
        <v>1105</v>
      </c>
      <c r="D11" s="309"/>
      <c r="E11" s="253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</row>
    <row r="12" spans="1:58" ht="18" customHeight="1" thickBot="1">
      <c r="A12" s="120"/>
      <c r="B12" s="174" t="s">
        <v>298</v>
      </c>
      <c r="C12" s="199" t="s">
        <v>917</v>
      </c>
      <c r="D12" s="308">
        <f>Inm_17887+Inm_17886</f>
        <v>0</v>
      </c>
      <c r="E12" s="288">
        <f>Inm_11180+Inm_11178</f>
        <v>0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58" ht="18" customHeight="1">
      <c r="A13" s="120"/>
      <c r="B13" s="200" t="s">
        <v>294</v>
      </c>
      <c r="C13" s="201" t="s">
        <v>1104</v>
      </c>
      <c r="D13" s="309"/>
      <c r="E13" s="253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</row>
    <row r="14" spans="1:58" ht="18" customHeight="1" thickBot="1">
      <c r="A14" s="120"/>
      <c r="B14" s="200" t="s">
        <v>295</v>
      </c>
      <c r="C14" s="201" t="s">
        <v>1105</v>
      </c>
      <c r="D14" s="310"/>
      <c r="E14" s="26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</row>
    <row r="15" spans="1:58" ht="18" customHeight="1" thickBot="1">
      <c r="A15" s="120"/>
      <c r="B15" s="174" t="s">
        <v>299</v>
      </c>
      <c r="C15" s="199" t="s">
        <v>918</v>
      </c>
      <c r="D15" s="311"/>
      <c r="E15" s="255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</row>
    <row r="16" spans="1:58" ht="18" customHeight="1" thickBot="1">
      <c r="A16" s="120"/>
      <c r="B16" s="174" t="s">
        <v>300</v>
      </c>
      <c r="C16" s="199" t="s">
        <v>919</v>
      </c>
      <c r="D16" s="311"/>
      <c r="E16" s="255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</row>
    <row r="17" spans="1:58" ht="18" customHeight="1" thickBot="1">
      <c r="A17" s="120"/>
      <c r="B17" s="174" t="s">
        <v>1134</v>
      </c>
      <c r="C17" s="199" t="s">
        <v>1192</v>
      </c>
      <c r="D17" s="308">
        <f>Inm_20212+Inm_20183</f>
        <v>0</v>
      </c>
      <c r="E17" s="288">
        <f>Inm_20182+Inm_20184</f>
        <v>0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</row>
    <row r="18" spans="1:58" ht="18" customHeight="1">
      <c r="A18" s="120"/>
      <c r="B18" s="295" t="s">
        <v>1135</v>
      </c>
      <c r="C18" s="266" t="s">
        <v>920</v>
      </c>
      <c r="D18" s="351"/>
      <c r="E18" s="352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</row>
    <row r="19" spans="1:58" ht="18" customHeight="1" thickBot="1">
      <c r="A19" s="120"/>
      <c r="B19" s="294" t="s">
        <v>1136</v>
      </c>
      <c r="C19" s="293" t="s">
        <v>921</v>
      </c>
      <c r="D19" s="353"/>
      <c r="E19" s="35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</row>
    <row r="20" spans="1:58" ht="18" customHeight="1" thickBot="1">
      <c r="A20" s="120"/>
      <c r="B20" s="174" t="s">
        <v>1137</v>
      </c>
      <c r="C20" s="199" t="s">
        <v>1191</v>
      </c>
      <c r="D20" s="308">
        <f>Inm_20187+Inm_20188</f>
        <v>0</v>
      </c>
      <c r="E20" s="288">
        <f>Inm_20186+Inm_20185</f>
        <v>0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</row>
    <row r="21" spans="1:58" ht="18" customHeight="1">
      <c r="A21" s="120"/>
      <c r="B21" s="295" t="s">
        <v>1138</v>
      </c>
      <c r="C21" s="266" t="s">
        <v>920</v>
      </c>
      <c r="D21" s="351"/>
      <c r="E21" s="352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</row>
    <row r="22" spans="1:58" ht="18" customHeight="1" thickBot="1">
      <c r="A22" s="120"/>
      <c r="B22" s="294" t="s">
        <v>1139</v>
      </c>
      <c r="C22" s="293" t="s">
        <v>921</v>
      </c>
      <c r="D22" s="353"/>
      <c r="E22" s="354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</row>
    <row r="23" spans="1:58" ht="18" customHeight="1" thickBot="1">
      <c r="A23" s="120"/>
      <c r="B23" s="174" t="s">
        <v>302</v>
      </c>
      <c r="C23" s="199" t="s">
        <v>922</v>
      </c>
      <c r="D23" s="313">
        <f>Inm_14115+Inm_14117</f>
        <v>0</v>
      </c>
      <c r="E23" s="289">
        <f>Inm_11174+Inm_11198</f>
        <v>0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</row>
    <row r="24" spans="1:58" ht="18" customHeight="1">
      <c r="A24" s="120"/>
      <c r="B24" s="297" t="s">
        <v>317</v>
      </c>
      <c r="C24" s="202" t="s">
        <v>923</v>
      </c>
      <c r="D24" s="312"/>
      <c r="E24" s="292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</row>
    <row r="25" spans="1:58" ht="18" customHeight="1" thickBot="1">
      <c r="A25" s="120"/>
      <c r="B25" s="298" t="s">
        <v>318</v>
      </c>
      <c r="C25" s="296" t="s">
        <v>924</v>
      </c>
      <c r="D25" s="310"/>
      <c r="E25" s="26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</row>
    <row r="26" spans="1:58" ht="18" customHeight="1" thickBot="1">
      <c r="A26" s="120"/>
      <c r="B26" s="174" t="s">
        <v>303</v>
      </c>
      <c r="C26" s="199" t="s">
        <v>925</v>
      </c>
      <c r="D26" s="311"/>
      <c r="E26" s="255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</row>
    <row r="27" spans="1:58" ht="18" customHeight="1">
      <c r="A27" s="120"/>
      <c r="B27" s="203" t="s">
        <v>304</v>
      </c>
      <c r="C27" s="204" t="s">
        <v>1106</v>
      </c>
      <c r="D27" s="314"/>
      <c r="E27" s="261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</row>
    <row r="28" spans="1:58" ht="18" customHeight="1">
      <c r="A28" s="333"/>
      <c r="B28" s="200" t="s">
        <v>311</v>
      </c>
      <c r="C28" s="201" t="s">
        <v>926</v>
      </c>
      <c r="D28" s="314"/>
      <c r="E28" s="261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</row>
    <row r="29" spans="1:58" ht="18" customHeight="1">
      <c r="A29" s="333"/>
      <c r="B29" s="200" t="s">
        <v>312</v>
      </c>
      <c r="C29" s="201" t="s">
        <v>927</v>
      </c>
      <c r="D29" s="309"/>
      <c r="E29" s="25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</row>
    <row r="30" spans="1:58" ht="12.75">
      <c r="A30" s="120"/>
      <c r="B30" s="200" t="s">
        <v>400</v>
      </c>
      <c r="C30" s="201" t="s">
        <v>928</v>
      </c>
      <c r="D30" s="309"/>
      <c r="E30" s="253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</row>
    <row r="31" spans="1:58" ht="12.75">
      <c r="A31" s="120"/>
      <c r="B31" s="294" t="s">
        <v>885</v>
      </c>
      <c r="C31" s="293" t="s">
        <v>1118</v>
      </c>
      <c r="D31" s="355"/>
      <c r="E31" s="356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</row>
    <row r="32" spans="1:58" ht="13.5" thickBot="1">
      <c r="A32" s="333"/>
      <c r="B32" s="338" t="s">
        <v>887</v>
      </c>
      <c r="C32" s="339" t="s">
        <v>1119</v>
      </c>
      <c r="D32" s="353"/>
      <c r="E32" s="357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</row>
    <row r="33" spans="1:58" ht="12.75">
      <c r="A33" s="333"/>
      <c r="B33" s="120"/>
      <c r="C33" s="120"/>
      <c r="D33" s="120"/>
      <c r="E33" s="120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</row>
    <row r="34" spans="1:58" ht="12.75">
      <c r="A34" s="120"/>
      <c r="B34" s="141"/>
      <c r="C34" s="69" t="s">
        <v>929</v>
      </c>
      <c r="D34" s="67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</row>
    <row r="35" spans="1:58" ht="12.75">
      <c r="A35" s="333"/>
      <c r="B35" s="361"/>
      <c r="C35" s="69"/>
      <c r="D35" s="67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</row>
    <row r="36" spans="1:58" ht="12.75">
      <c r="A36" s="120"/>
      <c r="B36" s="361"/>
      <c r="C36" s="333" t="s">
        <v>1120</v>
      </c>
      <c r="D36" s="67"/>
      <c r="E36" s="333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</row>
    <row r="37" spans="1:58" ht="12.75">
      <c r="A37" s="120"/>
      <c r="B37" s="120"/>
      <c r="C37" s="333" t="s">
        <v>1121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</row>
    <row r="38" spans="1:58" ht="12.75">
      <c r="A38" s="120"/>
      <c r="B38" s="333"/>
      <c r="C38" s="333"/>
      <c r="D38" s="333"/>
      <c r="E38" s="333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</row>
    <row r="39" spans="1:58" ht="12.75">
      <c r="A39" s="120"/>
      <c r="B39" s="205" t="s">
        <v>890</v>
      </c>
      <c r="C39" s="120" t="s">
        <v>930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</row>
    <row r="40" spans="1:58" ht="12.75">
      <c r="A40" s="120"/>
      <c r="B40" s="111" t="s">
        <v>931</v>
      </c>
      <c r="C40" s="120" t="s">
        <v>932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</row>
    <row r="41" spans="1:58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</row>
    <row r="42" spans="1:58" ht="12.75">
      <c r="A42" s="120"/>
      <c r="B42" s="206"/>
      <c r="C42" s="69"/>
      <c r="D42" s="67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</row>
    <row r="43" spans="1:58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</row>
    <row r="44" spans="1:58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</row>
    <row r="45" spans="1:58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</row>
    <row r="46" spans="1:58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</row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pans="1:3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</row>
    <row r="61" spans="1:3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</row>
    <row r="62" spans="1:3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1:3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</row>
    <row r="64" spans="1:3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</row>
    <row r="65" spans="1:31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1:31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</row>
    <row r="67" spans="1:31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</row>
    <row r="68" spans="1:31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</row>
    <row r="69" spans="1:31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</row>
    <row r="70" spans="1:31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</row>
    <row r="71" spans="1:31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</row>
    <row r="72" spans="1:31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</row>
    <row r="73" spans="1:31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</row>
    <row r="74" spans="1:31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</row>
    <row r="75" spans="1:31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</row>
    <row r="76" spans="1:31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</row>
    <row r="77" spans="1:31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</row>
    <row r="78" spans="1:31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</row>
    <row r="79" spans="1:31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</row>
    <row r="80" spans="1:31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</row>
    <row r="81" spans="1:31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</row>
    <row r="82" spans="1:31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</row>
    <row r="83" spans="1:31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1:31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</row>
    <row r="85" spans="1:31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</row>
    <row r="86" spans="1:31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</row>
    <row r="87" spans="1:31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</row>
    <row r="88" spans="1:31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</row>
    <row r="89" spans="1:31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</row>
    <row r="90" spans="1:31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</row>
    <row r="91" spans="1:31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</row>
    <row r="92" spans="1:31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</row>
    <row r="93" spans="1:31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</row>
    <row r="94" spans="1:31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</row>
    <row r="95" spans="1:31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</row>
    <row r="96" spans="1:31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</row>
    <row r="97" spans="1:31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</row>
    <row r="98" spans="1:31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</row>
    <row r="99" spans="1:31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</row>
    <row r="100" spans="1:31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</row>
    <row r="101" spans="1:31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</row>
    <row r="102" spans="1:31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</row>
    <row r="103" spans="1:31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</row>
    <row r="104" spans="1:31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</row>
    <row r="105" spans="1:31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</row>
    <row r="106" spans="1:31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</row>
    <row r="107" spans="1:31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</row>
    <row r="108" spans="1:31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</row>
    <row r="109" spans="1:31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</row>
    <row r="110" spans="1:31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</row>
    <row r="111" spans="1:31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</row>
    <row r="112" spans="1:31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</row>
    <row r="113" spans="1:31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</row>
    <row r="114" spans="1:31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</row>
    <row r="115" spans="1:31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</row>
    <row r="116" spans="1:31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1:31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31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31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31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3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31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31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31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31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31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31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31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31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31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31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31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31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31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31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</row>
    <row r="136" spans="1:31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31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</row>
    <row r="138" spans="1:31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</row>
    <row r="139" spans="1:31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</row>
    <row r="140" spans="1:31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</row>
    <row r="141" spans="1:31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</row>
    <row r="142" spans="1:31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</row>
    <row r="143" spans="1:31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</row>
    <row r="144" spans="1:31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</row>
    <row r="145" spans="1:31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</row>
    <row r="146" spans="1:31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1:31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</row>
    <row r="148" spans="1:31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</row>
    <row r="149" spans="1:31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</row>
    <row r="150" spans="1:31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</row>
    <row r="151" spans="1:31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</row>
    <row r="152" spans="1:31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</row>
    <row r="153" spans="1:31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</row>
    <row r="154" spans="1:31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</row>
    <row r="155" spans="1:31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</row>
    <row r="156" spans="1:31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</row>
    <row r="157" spans="1:31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</row>
    <row r="158" spans="1:31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</row>
    <row r="159" spans="1:31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</row>
    <row r="160" spans="1:31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</row>
    <row r="161" spans="1:31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</row>
    <row r="162" spans="1:31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</row>
    <row r="163" spans="1:31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</row>
    <row r="164" spans="1:31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</row>
    <row r="165" spans="1:31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</row>
    <row r="166" spans="1:31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</row>
    <row r="167" spans="1:31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</row>
    <row r="168" spans="1:31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</row>
    <row r="169" spans="1:3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</row>
    <row r="170" spans="1:31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</row>
    <row r="171" spans="1:31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</row>
    <row r="172" spans="1:31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</row>
    <row r="173" spans="1:31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</row>
    <row r="174" spans="1:31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</row>
    <row r="175" spans="1:31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</row>
    <row r="176" spans="1:31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</row>
    <row r="177" spans="1:31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</row>
    <row r="178" spans="1:31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</row>
    <row r="179" spans="1:31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</row>
    <row r="180" spans="1:31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</row>
    <row r="181" spans="1:31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</row>
    <row r="182" spans="1:31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</row>
    <row r="183" spans="1:31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</row>
    <row r="184" spans="1:31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</row>
    <row r="185" spans="1:31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</row>
    <row r="186" spans="1:31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</row>
    <row r="187" spans="1:31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</row>
    <row r="188" spans="1:31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</row>
    <row r="189" spans="1:31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</row>
    <row r="190" spans="1:31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</row>
    <row r="191" spans="1:31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</row>
    <row r="192" spans="1:31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</row>
    <row r="193" spans="1:31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</row>
    <row r="194" spans="1:31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</row>
    <row r="195" spans="1:31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</row>
    <row r="196" spans="1:31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</row>
    <row r="197" spans="1:31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</row>
    <row r="198" spans="1:31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</row>
    <row r="199" spans="1:31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</row>
    <row r="200" spans="1:31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</row>
    <row r="201" spans="1:31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</row>
    <row r="202" spans="1:31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</row>
    <row r="203" spans="1:31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</row>
    <row r="204" spans="1:31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</row>
    <row r="205" spans="1:31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</row>
    <row r="206" spans="1:31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</row>
    <row r="207" spans="1:31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</row>
    <row r="208" spans="1:31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</row>
    <row r="209" spans="1:31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</row>
    <row r="210" spans="1:31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</row>
    <row r="211" spans="1:31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</row>
    <row r="212" spans="1:31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</row>
    <row r="213" spans="1:31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</row>
    <row r="214" spans="1:31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</row>
    <row r="215" spans="1:31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</row>
    <row r="216" spans="1:31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</row>
    <row r="217" spans="1:31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</row>
    <row r="218" spans="1:31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</row>
    <row r="219" spans="1:31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</row>
    <row r="220" spans="1:31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</row>
    <row r="221" spans="1:31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</row>
    <row r="222" spans="1:31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</row>
    <row r="223" spans="1:31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</row>
    <row r="224" spans="1:31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</row>
    <row r="225" spans="1:31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</row>
    <row r="226" spans="1:31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</row>
    <row r="227" spans="1:31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</row>
    <row r="228" spans="1:31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</row>
    <row r="229" spans="1:31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</row>
    <row r="230" spans="1:31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</row>
    <row r="231" spans="1:31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</row>
    <row r="232" spans="1:31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</row>
    <row r="233" spans="1:31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</row>
    <row r="234" spans="1:31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</row>
    <row r="235" spans="1:31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</row>
    <row r="236" spans="1:31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</row>
    <row r="237" spans="1:31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</row>
    <row r="238" spans="1:31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</row>
    <row r="239" spans="1:31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</row>
    <row r="240" spans="1:31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</row>
    <row r="241" spans="1:31" ht="12.7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</row>
    <row r="242" spans="1:31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</row>
    <row r="243" spans="1:31" ht="12.7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</row>
    <row r="244" spans="1:31" ht="12.7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</row>
    <row r="245" spans="1:31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</row>
    <row r="246" spans="1:31" ht="12.7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</row>
    <row r="247" spans="1:31" ht="12.7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</row>
    <row r="248" spans="1:31" ht="12.7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</row>
    <row r="249" spans="1:31" ht="12.7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</row>
    <row r="250" spans="1:31" ht="12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</row>
    <row r="251" spans="1:31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</row>
    <row r="252" spans="1:31" ht="12.7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</row>
    <row r="253" spans="1:31" ht="12.7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</row>
    <row r="254" spans="1:31" ht="12.7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</row>
    <row r="255" spans="1:31" ht="12.7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</row>
    <row r="256" spans="1:31" ht="12.7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</row>
    <row r="257" spans="1:31" ht="12.7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</row>
    <row r="258" spans="1:31" ht="12.7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</row>
    <row r="259" spans="1:31" ht="12.7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  <row r="260" spans="1:31" ht="12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</row>
    <row r="261" spans="1:31" ht="12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</row>
    <row r="262" spans="1:31" ht="12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</row>
    <row r="263" spans="1:31" ht="12.7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</row>
    <row r="264" spans="1:31" ht="12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1:31" ht="12.7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</row>
    <row r="266" spans="1:31" ht="12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</row>
    <row r="267" spans="1:31" ht="12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</row>
    <row r="268" spans="1:31" ht="12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</row>
    <row r="269" spans="1:31" ht="12.7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</row>
    <row r="270" spans="1:31" ht="12.7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</row>
    <row r="271" spans="1:31" ht="12.7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</row>
    <row r="272" spans="1:31" ht="12.7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</row>
    <row r="273" spans="1:31" ht="12.7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</row>
    <row r="274" spans="1:31" ht="12.7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</row>
    <row r="275" spans="1:31" ht="12.7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</row>
    <row r="276" spans="1:31" ht="12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</row>
    <row r="277" spans="1:31" ht="12.7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</row>
    <row r="278" spans="1:31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</row>
    <row r="279" spans="1:31" ht="12.7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</row>
    <row r="280" spans="1:31" ht="12.7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</row>
    <row r="281" spans="1:31" ht="12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</row>
    <row r="282" spans="1:31" ht="12.7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</row>
    <row r="283" spans="1:31" ht="12.7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</row>
    <row r="284" spans="1:31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</row>
    <row r="285" spans="1:31" ht="12.7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</row>
    <row r="286" spans="1:31" ht="12.7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</row>
    <row r="287" spans="1:31" ht="12.7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</row>
    <row r="288" spans="1:31" ht="12.7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</row>
    <row r="289" spans="1:31" ht="12.7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</row>
    <row r="290" spans="1:31" ht="12.7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</row>
    <row r="291" spans="1:31" ht="12.7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</row>
    <row r="292" spans="1:31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</row>
    <row r="293" spans="1:31" ht="12.7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</row>
    <row r="294" spans="1:31" ht="12.7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</row>
    <row r="295" spans="1:31" ht="12.7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</row>
    <row r="296" spans="1:31" ht="12.7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</row>
    <row r="297" spans="1:31" ht="12.7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</row>
    <row r="298" spans="1:31" ht="12.7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</row>
    <row r="299" spans="1:31" ht="12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</row>
    <row r="300" spans="1:31" ht="12.7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</row>
    <row r="301" spans="1:31" ht="12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</row>
    <row r="302" spans="1:31" ht="12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</row>
    <row r="303" spans="1:31" ht="12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</row>
    <row r="304" spans="1:31" ht="12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</row>
    <row r="305" spans="1:31" ht="12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</row>
    <row r="306" spans="1:31" ht="12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</row>
    <row r="307" spans="1:31" ht="12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</row>
    <row r="308" spans="1:31" ht="12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</row>
    <row r="309" spans="1:31" ht="12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</row>
    <row r="310" spans="1:31" ht="12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</row>
    <row r="311" spans="1:31" ht="12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</row>
    <row r="312" spans="1:31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</row>
    <row r="313" spans="1:31" ht="12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</row>
    <row r="314" spans="1:31" ht="12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</row>
    <row r="315" spans="1:31" ht="12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</row>
    <row r="316" spans="1:31" ht="12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</row>
    <row r="317" spans="1:31" ht="12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</row>
    <row r="318" spans="1:31" ht="12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</row>
    <row r="319" spans="1:31" ht="12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</row>
    <row r="320" spans="1:31" ht="12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</row>
    <row r="321" spans="1:31" ht="12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</row>
    <row r="322" spans="1:31" ht="12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</row>
    <row r="323" spans="1:31" ht="12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</row>
    <row r="324" spans="1:31" ht="12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</row>
    <row r="325" spans="1:31" ht="12.7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</row>
    <row r="326" spans="1:31" ht="12.7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</row>
    <row r="327" spans="1:31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</row>
    <row r="328" spans="1:31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</row>
    <row r="329" spans="1:31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</row>
    <row r="330" spans="1:31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</row>
    <row r="331" spans="1:31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</row>
    <row r="332" spans="1:31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</row>
    <row r="333" spans="1:31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</row>
    <row r="334" spans="1:31" ht="12.7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</row>
    <row r="335" spans="1:31" ht="12.7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</row>
    <row r="336" spans="1:31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</row>
    <row r="337" spans="1:31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</row>
    <row r="338" spans="1:31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</row>
    <row r="339" spans="1:31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</row>
    <row r="340" spans="1:31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</row>
    <row r="341" spans="1:31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</row>
    <row r="342" spans="1:31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</row>
    <row r="343" spans="1:31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</row>
    <row r="344" spans="1:31" ht="12.7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</row>
    <row r="345" spans="1:31" ht="12.7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</row>
    <row r="346" spans="1:31" ht="12.7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</row>
    <row r="347" spans="1:31" ht="12.7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</row>
    <row r="348" spans="1:31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</row>
    <row r="349" spans="1:31" ht="12.7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</row>
    <row r="350" spans="1:31" ht="12.7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</row>
    <row r="351" spans="1:31" ht="12.7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</row>
    <row r="352" spans="1:31" ht="12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</row>
    <row r="353" spans="1:31" ht="12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</row>
    <row r="354" spans="1:31" ht="12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</row>
    <row r="355" spans="1:31" ht="12.7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</row>
    <row r="356" spans="1:31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</row>
    <row r="357" spans="1:31" ht="12.7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</row>
    <row r="358" spans="1:31" ht="12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</row>
    <row r="359" spans="1:31" ht="12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</row>
    <row r="360" spans="1:31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</row>
    <row r="361" spans="1:31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</row>
    <row r="362" spans="1:31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</row>
    <row r="363" spans="1:31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</row>
    <row r="364" spans="1:31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</row>
    <row r="365" spans="1:31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</row>
    <row r="366" spans="1:31" ht="12.7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</row>
    <row r="367" spans="1:31" ht="12.7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</row>
    <row r="368" spans="1:31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</row>
    <row r="369" spans="1:31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</row>
    <row r="370" spans="1:31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</row>
    <row r="371" spans="1:31" ht="12.7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</row>
    <row r="372" spans="1:31" ht="12.7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</row>
    <row r="373" spans="1:31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</row>
    <row r="374" spans="1:31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</row>
    <row r="375" spans="1:31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</row>
    <row r="376" spans="1:31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</row>
    <row r="377" spans="1:31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</row>
    <row r="378" spans="1:31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</row>
    <row r="379" spans="1:31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</row>
    <row r="380" spans="1:31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</row>
    <row r="381" spans="1:31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</row>
    <row r="382" spans="1:31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</row>
    <row r="383" spans="1:31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</row>
    <row r="384" spans="1:31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</row>
    <row r="385" spans="1:31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</row>
    <row r="386" spans="1:31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</row>
    <row r="387" spans="1:31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</row>
    <row r="388" spans="1:31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</row>
    <row r="389" spans="1:31" ht="12.7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</row>
    <row r="390" spans="1:31" ht="12.7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</row>
    <row r="391" spans="1:31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</row>
    <row r="392" spans="1:31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</row>
    <row r="393" spans="1:31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</row>
    <row r="394" spans="1:31" ht="12.7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</row>
    <row r="395" spans="1:31" ht="12.7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</row>
    <row r="396" spans="1:31" ht="12.7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</row>
    <row r="397" spans="1:31" ht="12.7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</row>
    <row r="398" spans="1:31" ht="12.7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</row>
    <row r="399" spans="1:31" ht="12.7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</row>
    <row r="400" spans="1:31" ht="12.7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</row>
    <row r="401" spans="1:31" ht="12.7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</row>
    <row r="402" spans="1:31" ht="12.7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</row>
    <row r="403" spans="1:31" ht="12.7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</row>
    <row r="404" spans="1:31" ht="12.7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</row>
    <row r="405" spans="1:31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</row>
    <row r="406" spans="1:31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</row>
    <row r="407" spans="1:31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</row>
    <row r="408" spans="1:31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</row>
    <row r="409" spans="1:31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</row>
    <row r="410" spans="1:31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</row>
    <row r="411" spans="1:31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</row>
    <row r="412" spans="1:31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</row>
    <row r="413" spans="1:31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</row>
    <row r="414" spans="1:31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</row>
    <row r="415" spans="1:31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</row>
    <row r="416" spans="1:31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</row>
    <row r="417" spans="1:31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</row>
    <row r="418" spans="1:31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</row>
    <row r="419" spans="1:31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</row>
    <row r="420" spans="1:31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</row>
    <row r="421" spans="1:31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</row>
    <row r="422" spans="1:31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</row>
    <row r="423" spans="1:31" ht="12.7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</row>
    <row r="424" spans="1:31" ht="12.7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</row>
    <row r="425" spans="1:31" ht="12.7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</row>
    <row r="426" spans="1:31" ht="12.7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</row>
    <row r="427" spans="1:31" ht="12.7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</row>
    <row r="428" spans="1:31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</row>
    <row r="429" spans="1:31" ht="12.7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</row>
    <row r="430" spans="1:31" ht="12.7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</row>
    <row r="431" spans="1:31" ht="12.7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</row>
    <row r="432" spans="1:31" ht="12.7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</row>
    <row r="433" spans="1:31" ht="12.7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</row>
    <row r="434" spans="1:31" ht="12.7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</row>
    <row r="435" spans="1:31" ht="12.7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</row>
    <row r="436" spans="1:31" ht="12.7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</row>
    <row r="437" spans="1:31" ht="12.7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</row>
    <row r="438" spans="1:31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</row>
    <row r="439" spans="1:31" ht="12.7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</row>
    <row r="440" spans="1:31" ht="12.7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</row>
    <row r="441" spans="1:31" ht="12.7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</row>
    <row r="442" spans="1:31" ht="12.7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</row>
    <row r="443" spans="1:31" ht="12.7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</row>
    <row r="444" spans="1:31" ht="12.7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</row>
    <row r="445" spans="1:31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</row>
    <row r="446" spans="1:31" ht="12.7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</row>
    <row r="447" spans="1:31" ht="12.7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</row>
    <row r="448" spans="1:31" ht="12.7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</row>
    <row r="449" spans="1:31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</row>
    <row r="450" spans="1:31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</row>
    <row r="451" spans="1:31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</row>
    <row r="452" spans="1:31" ht="12.7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</row>
    <row r="453" spans="1:31" ht="12.7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</row>
    <row r="454" spans="1:31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</row>
    <row r="455" spans="1:31" ht="12.7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</row>
    <row r="456" spans="1:31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</row>
    <row r="457" spans="1:31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</row>
    <row r="458" spans="1:31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</row>
    <row r="459" spans="1:31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</row>
    <row r="460" spans="1:31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</row>
    <row r="461" spans="1:31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</row>
    <row r="462" spans="1:31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</row>
    <row r="463" spans="1:31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</row>
    <row r="464" spans="1:31" ht="12.7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</row>
    <row r="465" spans="1:31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</row>
    <row r="466" spans="1:31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</row>
    <row r="467" spans="1:31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</row>
    <row r="468" spans="1:31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</row>
    <row r="469" spans="1:31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</row>
    <row r="470" spans="1:31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</row>
    <row r="471" spans="1:31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</row>
    <row r="472" spans="1:31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</row>
    <row r="473" spans="1:31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</row>
    <row r="474" spans="1:31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</row>
    <row r="475" spans="1:31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</row>
    <row r="476" spans="1:31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</row>
    <row r="477" spans="1:31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</row>
    <row r="478" spans="1:31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</row>
    <row r="479" spans="1:31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</row>
    <row r="480" spans="1:31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</row>
    <row r="481" spans="1:31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</row>
    <row r="482" spans="1:31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</row>
    <row r="483" spans="1:31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</row>
    <row r="484" spans="1:31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</row>
    <row r="485" spans="1:31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</row>
    <row r="486" spans="1:31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</row>
    <row r="487" spans="1:31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</row>
    <row r="488" spans="1:31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</row>
    <row r="489" spans="1:31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</row>
    <row r="490" spans="1:31" ht="12.7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</row>
    <row r="491" spans="1:31" ht="12.7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</row>
    <row r="492" spans="1:31" ht="12.7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</row>
    <row r="493" spans="1:31" ht="12.7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</row>
    <row r="494" spans="1:31" ht="12.7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</row>
    <row r="495" spans="1:31" ht="12.7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</row>
    <row r="496" spans="1:31" ht="12.7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</row>
    <row r="497" spans="1:31" ht="12.7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</row>
    <row r="498" spans="1:31" ht="12.7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</row>
    <row r="499" spans="1:31" ht="12.7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</row>
    <row r="500" spans="1:31" ht="12.7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</row>
    <row r="501" spans="1:31" ht="12.7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</row>
    <row r="502" spans="1:31" ht="12.7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</row>
    <row r="503" spans="1:31" ht="12.7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</row>
    <row r="504" spans="1:31" ht="12.7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</row>
    <row r="505" spans="1:31" ht="12.7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</row>
    <row r="506" spans="1:31" ht="12.7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</row>
    <row r="507" spans="1:31" ht="12.7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</row>
    <row r="508" spans="1:31" ht="12.7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</row>
    <row r="509" spans="1:31" ht="12.7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</row>
    <row r="510" spans="1:31" ht="12.7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</row>
    <row r="511" spans="1:31" ht="12.7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</row>
    <row r="512" spans="1:31" ht="12.7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</row>
    <row r="513" spans="1:31" ht="12.7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</row>
    <row r="514" spans="1:31" ht="12.7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</row>
    <row r="515" spans="1:31" ht="12.7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</row>
    <row r="516" spans="1:31" ht="12.7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</row>
    <row r="517" spans="1:31" ht="12.7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</row>
    <row r="518" spans="1:31" ht="12.7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</row>
    <row r="519" spans="1:31" ht="12.7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</row>
    <row r="520" spans="1:31" ht="12.7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</row>
    <row r="521" spans="1:31" ht="12.7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</row>
    <row r="522" spans="1:31" ht="12.7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</row>
    <row r="523" spans="1:31" ht="12.7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</row>
    <row r="524" spans="1:31" ht="12.7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</row>
    <row r="525" spans="1:31" ht="12.7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</row>
    <row r="526" spans="1:31" ht="12.7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</row>
    <row r="527" spans="1:31" ht="12.7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</row>
    <row r="528" spans="1:31" ht="12.7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</row>
    <row r="529" spans="1:31" ht="12.7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</row>
    <row r="530" spans="1:31" ht="12.7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</row>
    <row r="531" spans="1:31" ht="12.7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</row>
    <row r="532" spans="1:31" ht="12.7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</row>
    <row r="533" spans="1:31" ht="12.7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</row>
    <row r="534" spans="1:31" ht="12.7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</row>
    <row r="535" spans="1:31" ht="12.7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</row>
    <row r="536" spans="1:31" ht="12.7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</row>
    <row r="537" spans="1:31" ht="12.7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</row>
    <row r="538" spans="1:31" ht="12.7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</row>
    <row r="539" spans="1:31" ht="12.7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</row>
    <row r="540" spans="1:31" ht="12.7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</row>
    <row r="541" spans="1:31" ht="12.7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</row>
    <row r="542" spans="1:31" ht="12.7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</row>
    <row r="543" spans="1:31" ht="12.7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</row>
    <row r="544" spans="1:31" ht="12.7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</row>
    <row r="545" spans="1:31" ht="12.7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</row>
    <row r="546" spans="1:31" ht="12.7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</row>
    <row r="547" spans="1:31" ht="12.7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</row>
    <row r="548" spans="1:31" ht="12.7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</row>
    <row r="549" spans="1:31" ht="12.7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</row>
    <row r="550" spans="1:31" ht="12.7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</row>
    <row r="551" spans="1:31" ht="12.7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</row>
    <row r="552" spans="1:31" ht="12.7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</row>
    <row r="553" spans="1:31" ht="12.7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</row>
    <row r="554" spans="1:31" ht="12.7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</row>
    <row r="555" spans="1:31" ht="12.7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</row>
    <row r="556" spans="1:31" ht="12.7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</row>
    <row r="557" spans="1:31" ht="12.7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</row>
    <row r="558" spans="1:31" ht="12.7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</row>
    <row r="559" spans="1:31" ht="12.7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</row>
    <row r="560" spans="1:31" ht="12.7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</row>
    <row r="561" spans="1:31" ht="12.7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</row>
    <row r="562" spans="1:31" ht="12.7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</row>
    <row r="563" spans="1:31" ht="12.7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</row>
    <row r="564" spans="1:31" ht="12.7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</row>
    <row r="565" spans="1:31" ht="12.7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</row>
    <row r="566" spans="1:31" ht="12.7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</row>
    <row r="567" spans="1:31" ht="12.7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</row>
    <row r="568" spans="1:31" ht="12.7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</row>
    <row r="569" spans="1:31" ht="12.7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</row>
    <row r="570" spans="1:31" ht="12.7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</row>
    <row r="571" spans="1:31" ht="12.7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</row>
    <row r="572" spans="1:31" ht="12.7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</row>
    <row r="573" spans="1:31" ht="12.7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</row>
    <row r="574" spans="1:31" ht="12.7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</row>
    <row r="575" spans="1:31" ht="12.7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</row>
    <row r="576" spans="1:31" ht="12.7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</row>
    <row r="577" spans="1:31" ht="12.7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</row>
    <row r="578" spans="1:31" ht="12.7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</row>
    <row r="579" spans="1:31" ht="12.7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</row>
    <row r="580" spans="1:31" ht="12.7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</row>
    <row r="581" spans="1:31" ht="12.7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</row>
    <row r="582" spans="1:31" ht="12.7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</row>
    <row r="583" spans="1:31" ht="12.7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</row>
    <row r="584" spans="1:31" ht="12.7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</row>
    <row r="585" spans="1:31" ht="12.7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</row>
    <row r="586" spans="1:31" ht="12.7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</row>
    <row r="587" spans="2:5" ht="12.75">
      <c r="B587" s="120"/>
      <c r="C587" s="120"/>
      <c r="D587" s="120"/>
      <c r="E587" s="120"/>
    </row>
    <row r="588" spans="2:5" ht="12.75">
      <c r="B588" s="120"/>
      <c r="C588" s="120"/>
      <c r="D588" s="120"/>
      <c r="E588" s="120"/>
    </row>
    <row r="589" spans="2:5" ht="12.75">
      <c r="B589" s="120"/>
      <c r="C589" s="120"/>
      <c r="D589" s="120"/>
      <c r="E589" s="120"/>
    </row>
  </sheetData>
  <sheetProtection password="E847" sheet="1" objects="1" scenarios="1"/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="85" zoomScaleNormal="85" zoomScalePageLayoutView="0" workbookViewId="0" topLeftCell="A1">
      <selection activeCell="A1" sqref="A1"/>
    </sheetView>
  </sheetViews>
  <sheetFormatPr defaultColWidth="13.57421875" defaultRowHeight="18" customHeight="1"/>
  <cols>
    <col min="1" max="1" width="2.8515625" style="111" customWidth="1"/>
    <col min="2" max="2" width="4.00390625" style="111" customWidth="1"/>
    <col min="3" max="3" width="39.140625" style="111" customWidth="1"/>
    <col min="4" max="4" width="37.7109375" style="111" bestFit="1" customWidth="1"/>
    <col min="5" max="5" width="34.7109375" style="111" bestFit="1" customWidth="1"/>
    <col min="6" max="6" width="3.8515625" style="111" customWidth="1"/>
    <col min="7" max="8" width="17.8515625" style="111" customWidth="1"/>
    <col min="9" max="16384" width="13.57421875" style="111" customWidth="1"/>
  </cols>
  <sheetData>
    <row r="1" s="120" customFormat="1" ht="12.75"/>
    <row r="2" s="120" customFormat="1" ht="18">
      <c r="E2" s="121" t="s">
        <v>865</v>
      </c>
    </row>
    <row r="3" s="120" customFormat="1" ht="12.75"/>
    <row r="4" spans="1:6" ht="20.25" customHeight="1">
      <c r="A4" s="187"/>
      <c r="B4" s="91" t="s">
        <v>933</v>
      </c>
      <c r="C4" s="175"/>
      <c r="D4" s="176"/>
      <c r="E4" s="177"/>
      <c r="F4" s="176"/>
    </row>
    <row r="5" spans="2:6" ht="18" customHeight="1">
      <c r="B5" s="160"/>
      <c r="C5" s="160"/>
      <c r="D5" s="160"/>
      <c r="E5" s="160"/>
      <c r="F5" s="207"/>
    </row>
    <row r="6" spans="2:6" ht="20.25" customHeight="1" thickBot="1">
      <c r="B6" s="74" t="s">
        <v>307</v>
      </c>
      <c r="C6" s="74"/>
      <c r="D6" s="76"/>
      <c r="E6" s="76"/>
      <c r="F6" s="160"/>
    </row>
    <row r="7" spans="2:6" ht="15">
      <c r="B7" s="98" t="s">
        <v>934</v>
      </c>
      <c r="C7" s="99"/>
      <c r="D7" s="208" t="s">
        <v>870</v>
      </c>
      <c r="E7" s="179" t="s">
        <v>871</v>
      </c>
      <c r="F7" s="160"/>
    </row>
    <row r="8" spans="2:6" ht="15.75" thickBot="1">
      <c r="B8" s="209"/>
      <c r="C8" s="210"/>
      <c r="D8" s="140"/>
      <c r="E8" s="118"/>
      <c r="F8" s="160"/>
    </row>
    <row r="9" spans="2:6" ht="18" customHeight="1">
      <c r="B9" s="184" t="s">
        <v>296</v>
      </c>
      <c r="C9" s="202" t="s">
        <v>935</v>
      </c>
      <c r="D9" s="315"/>
      <c r="E9" s="265"/>
      <c r="F9" s="143"/>
    </row>
    <row r="10" spans="2:6" ht="18" customHeight="1">
      <c r="B10" s="173" t="s">
        <v>298</v>
      </c>
      <c r="C10" s="201" t="s">
        <v>936</v>
      </c>
      <c r="D10" s="316"/>
      <c r="E10" s="250"/>
      <c r="F10" s="143"/>
    </row>
    <row r="11" spans="2:6" ht="18" customHeight="1">
      <c r="B11" s="173" t="s">
        <v>299</v>
      </c>
      <c r="C11" s="201" t="s">
        <v>937</v>
      </c>
      <c r="D11" s="316"/>
      <c r="E11" s="250"/>
      <c r="F11" s="143"/>
    </row>
    <row r="12" spans="2:6" ht="18" customHeight="1" thickBot="1">
      <c r="B12" s="173" t="s">
        <v>300</v>
      </c>
      <c r="C12" s="201" t="s">
        <v>938</v>
      </c>
      <c r="D12" s="316"/>
      <c r="E12" s="250"/>
      <c r="F12" s="143"/>
    </row>
    <row r="13" spans="2:6" ht="18" customHeight="1" thickBot="1">
      <c r="B13" s="174" t="s">
        <v>301</v>
      </c>
      <c r="C13" s="199" t="s">
        <v>939</v>
      </c>
      <c r="D13" s="317"/>
      <c r="E13" s="248"/>
      <c r="F13" s="143"/>
    </row>
    <row r="14" spans="2:6" ht="18" customHeight="1">
      <c r="B14" s="211"/>
      <c r="C14" s="212"/>
      <c r="D14" s="71"/>
      <c r="E14" s="72"/>
      <c r="F14" s="143"/>
    </row>
    <row r="15" spans="2:6" ht="18" customHeight="1" thickBot="1">
      <c r="B15" s="87" t="s">
        <v>899</v>
      </c>
      <c r="C15" s="75"/>
      <c r="D15" s="213"/>
      <c r="E15" s="88"/>
      <c r="F15" s="214"/>
    </row>
    <row r="16" spans="2:6" ht="15">
      <c r="B16" s="98" t="s">
        <v>934</v>
      </c>
      <c r="C16" s="99"/>
      <c r="D16" s="188" t="s">
        <v>870</v>
      </c>
      <c r="E16" s="179" t="s">
        <v>871</v>
      </c>
      <c r="F16" s="143"/>
    </row>
    <row r="17" spans="2:6" ht="13.5" thickBot="1">
      <c r="B17" s="96"/>
      <c r="C17" s="215"/>
      <c r="D17" s="140"/>
      <c r="E17" s="118"/>
      <c r="F17" s="143"/>
    </row>
    <row r="18" spans="2:6" ht="18" customHeight="1">
      <c r="B18" s="216" t="s">
        <v>302</v>
      </c>
      <c r="C18" s="266" t="s">
        <v>297</v>
      </c>
      <c r="D18" s="318"/>
      <c r="E18" s="320"/>
      <c r="F18" s="143"/>
    </row>
    <row r="19" spans="2:6" ht="18" customHeight="1">
      <c r="B19" s="173" t="s">
        <v>303</v>
      </c>
      <c r="C19" s="201" t="s">
        <v>900</v>
      </c>
      <c r="D19" s="318"/>
      <c r="E19" s="253"/>
      <c r="F19" s="143"/>
    </row>
    <row r="20" spans="2:6" ht="18" customHeight="1">
      <c r="B20" s="173" t="s">
        <v>304</v>
      </c>
      <c r="C20" s="201" t="s">
        <v>1101</v>
      </c>
      <c r="D20" s="318"/>
      <c r="E20" s="253"/>
      <c r="F20" s="143"/>
    </row>
    <row r="21" spans="2:6" ht="18" customHeight="1">
      <c r="B21" s="173" t="s">
        <v>311</v>
      </c>
      <c r="C21" s="201" t="s">
        <v>901</v>
      </c>
      <c r="D21" s="318"/>
      <c r="E21" s="253"/>
      <c r="F21" s="143"/>
    </row>
    <row r="22" spans="2:6" ht="18" customHeight="1">
      <c r="B22" s="173" t="s">
        <v>312</v>
      </c>
      <c r="C22" s="201" t="s">
        <v>902</v>
      </c>
      <c r="D22" s="318"/>
      <c r="E22" s="253"/>
      <c r="F22" s="143"/>
    </row>
    <row r="23" spans="2:6" ht="18" customHeight="1">
      <c r="B23" s="173" t="s">
        <v>400</v>
      </c>
      <c r="C23" s="201" t="s">
        <v>903</v>
      </c>
      <c r="D23" s="318"/>
      <c r="E23" s="253"/>
      <c r="F23" s="143"/>
    </row>
    <row r="24" spans="2:6" ht="18" customHeight="1">
      <c r="B24" s="173" t="s">
        <v>885</v>
      </c>
      <c r="C24" s="201" t="s">
        <v>1102</v>
      </c>
      <c r="D24" s="318"/>
      <c r="E24" s="253"/>
      <c r="F24" s="143"/>
    </row>
    <row r="25" spans="2:6" ht="18" customHeight="1" thickBot="1">
      <c r="B25" s="173" t="s">
        <v>887</v>
      </c>
      <c r="C25" s="201" t="s">
        <v>313</v>
      </c>
      <c r="D25" s="318"/>
      <c r="E25" s="253"/>
      <c r="F25" s="143"/>
    </row>
    <row r="26" spans="2:6" ht="18" customHeight="1" thickBot="1">
      <c r="B26" s="174" t="s">
        <v>889</v>
      </c>
      <c r="C26" s="199" t="s">
        <v>940</v>
      </c>
      <c r="D26" s="319"/>
      <c r="E26" s="255"/>
      <c r="F26" s="143"/>
    </row>
    <row r="27" spans="2:6" ht="18" customHeight="1">
      <c r="B27" s="185"/>
      <c r="C27" s="185"/>
      <c r="D27" s="81"/>
      <c r="E27" s="89"/>
      <c r="F27" s="217"/>
    </row>
    <row r="28" spans="1:8" ht="18" customHeight="1">
      <c r="A28" s="337"/>
      <c r="B28" s="340" t="s">
        <v>890</v>
      </c>
      <c r="C28" s="340" t="s">
        <v>941</v>
      </c>
      <c r="D28" s="340"/>
      <c r="E28" s="341"/>
      <c r="F28" s="340"/>
      <c r="G28" s="337"/>
      <c r="H28" s="337"/>
    </row>
    <row r="29" spans="1:8" ht="12.75">
      <c r="A29" s="337"/>
      <c r="B29" s="340"/>
      <c r="C29" s="340"/>
      <c r="D29" s="340"/>
      <c r="E29" s="340"/>
      <c r="F29" s="342"/>
      <c r="G29" s="337"/>
      <c r="H29" s="337"/>
    </row>
    <row r="30" spans="1:8" ht="18" customHeight="1">
      <c r="A30" s="337"/>
      <c r="B30" s="337" t="s">
        <v>1122</v>
      </c>
      <c r="C30" s="336"/>
      <c r="D30" s="335"/>
      <c r="E30" s="335"/>
      <c r="F30" s="335"/>
      <c r="G30" s="337"/>
      <c r="H30" s="337"/>
    </row>
    <row r="31" spans="1:8" ht="18" customHeight="1">
      <c r="A31" s="337"/>
      <c r="B31" s="337" t="s">
        <v>1123</v>
      </c>
      <c r="C31" s="336"/>
      <c r="D31" s="335"/>
      <c r="E31" s="335"/>
      <c r="F31" s="335"/>
      <c r="G31" s="337"/>
      <c r="H31" s="337"/>
    </row>
    <row r="32" spans="1:8" ht="18" customHeight="1">
      <c r="A32" s="337"/>
      <c r="B32" s="337" t="s">
        <v>1124</v>
      </c>
      <c r="C32" s="335"/>
      <c r="D32" s="335"/>
      <c r="E32" s="335"/>
      <c r="F32" s="335"/>
      <c r="G32" s="337"/>
      <c r="H32" s="337"/>
    </row>
    <row r="33" spans="1:8" ht="18" customHeight="1">
      <c r="A33" s="337"/>
      <c r="B33" s="337" t="s">
        <v>1125</v>
      </c>
      <c r="C33" s="337"/>
      <c r="D33" s="337"/>
      <c r="E33" s="337"/>
      <c r="F33" s="337"/>
      <c r="G33" s="337"/>
      <c r="H33" s="337"/>
    </row>
    <row r="34" spans="1:8" ht="18" customHeight="1">
      <c r="A34" s="337"/>
      <c r="B34" s="337" t="s">
        <v>1126</v>
      </c>
      <c r="C34" s="337"/>
      <c r="D34" s="337"/>
      <c r="E34" s="337"/>
      <c r="F34" s="337"/>
      <c r="G34" s="337"/>
      <c r="H34" s="337"/>
    </row>
    <row r="35" spans="1:8" ht="18" customHeight="1">
      <c r="A35" s="337"/>
      <c r="B35" s="337" t="s">
        <v>1127</v>
      </c>
      <c r="C35" s="337"/>
      <c r="D35" s="337"/>
      <c r="E35" s="337"/>
      <c r="F35" s="337"/>
      <c r="G35" s="337"/>
      <c r="H35" s="337"/>
    </row>
    <row r="36" spans="1:8" ht="18" customHeight="1">
      <c r="A36" s="337"/>
      <c r="B36" s="337" t="s">
        <v>1128</v>
      </c>
      <c r="C36" s="337"/>
      <c r="D36" s="337"/>
      <c r="E36" s="337"/>
      <c r="F36" s="337"/>
      <c r="G36" s="337"/>
      <c r="H36" s="337"/>
    </row>
    <row r="37" spans="1:8" ht="18" customHeight="1">
      <c r="A37" s="337"/>
      <c r="B37" s="337" t="s">
        <v>1129</v>
      </c>
      <c r="C37" s="337"/>
      <c r="D37" s="337"/>
      <c r="E37" s="337"/>
      <c r="F37" s="337"/>
      <c r="G37" s="337"/>
      <c r="H37" s="337"/>
    </row>
    <row r="38" spans="1:8" ht="18" customHeight="1">
      <c r="A38" s="337"/>
      <c r="B38" s="337"/>
      <c r="C38" s="337"/>
      <c r="D38" s="337"/>
      <c r="E38" s="337"/>
      <c r="F38" s="337"/>
      <c r="G38" s="337"/>
      <c r="H38" s="337"/>
    </row>
    <row r="39" spans="1:8" ht="18" customHeight="1">
      <c r="A39" s="337"/>
      <c r="B39" s="337"/>
      <c r="C39" s="337"/>
      <c r="D39" s="337"/>
      <c r="E39" s="337"/>
      <c r="F39" s="337"/>
      <c r="G39" s="337"/>
      <c r="H39" s="337"/>
    </row>
  </sheetData>
  <sheetProtection password="E847" sheet="1" objects="1" scenarios="1"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Ullrich Martin ES/BFM-S</cp:lastModifiedBy>
  <cp:lastPrinted>2008-11-05T10:04:30Z</cp:lastPrinted>
  <dcterms:created xsi:type="dcterms:W3CDTF">2002-09-22T10:06:41Z</dcterms:created>
  <dcterms:modified xsi:type="dcterms:W3CDTF">2014-11-26T13:48:24Z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8</vt:i4>
  </property>
  <property fmtid="{D5CDD505-2E9C-101B-9397-08002B2CF9AE}" pid="4" name="idBlankettNamn">
    <vt:lpwstr>P1A-C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