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405" windowWidth="13965" windowHeight="7140" tabRatio="806" activeTab="8"/>
  </bookViews>
  <sheets>
    <sheet name="Kn Information" sheetId="1" r:id="rId1"/>
    <sheet name="RR" sheetId="2" r:id="rId2"/>
    <sheet name="BR" sheetId="3" r:id="rId3"/>
    <sheet name="Verks int o kostn" sheetId="4" r:id="rId4"/>
    <sheet name="Skatter, bidrag o fin poster" sheetId="5" r:id="rId5"/>
    <sheet name="Investeringar" sheetId="6" r:id="rId6"/>
    <sheet name="Drift" sheetId="7" r:id="rId7"/>
    <sheet name="Motpart" sheetId="8" r:id="rId8"/>
    <sheet name="Pedagogisk verksamhet" sheetId="9" r:id="rId9"/>
    <sheet name="Äldre o personer funktionsn" sheetId="10" r:id="rId10"/>
    <sheet name="IFO" sheetId="11" r:id="rId11"/>
    <sheet name="Felkontroll" sheetId="12" state="hidden" r:id="rId12"/>
  </sheets>
  <externalReferences>
    <externalReference r:id="rId15"/>
  </externalReferences>
  <definedNames>
    <definedName name="_GoBack" localSheetId="4">'Skatter, bidrag o fin poster'!$C$9</definedName>
    <definedName name="Affärsverksamhet">'Drift'!$Z$104</definedName>
    <definedName name="Balanskravsutredningen">'RR'!$G$22</definedName>
    <definedName name="Barn_o_ungdomsvård">'IFO'!$N$22</definedName>
    <definedName name="Barnomsorg">'Drift'!$Z$47</definedName>
    <definedName name="Barnomsorgen">'Drift'!$Z$47</definedName>
    <definedName name="Bidrag_o_transfer.">'Motpart'!$N$47</definedName>
    <definedName name="Block_1">'Drift'!$Z$14</definedName>
    <definedName name="Block_2">'Drift'!$Z$26</definedName>
    <definedName name="Block_3">'Drift'!$Z$39</definedName>
    <definedName name="Block_5">'Drift'!$Z$70</definedName>
    <definedName name="Block_6">'Drift'!$Z$87</definedName>
    <definedName name="BR">'BR'!$A$87</definedName>
    <definedName name="Datum">"2013-10-15"</definedName>
    <definedName name="Datumföre">"2014-10-15"</definedName>
    <definedName name="Drift">'Drift'!$A$117</definedName>
    <definedName name="EKchef">'Kn Information'!$B$16</definedName>
    <definedName name="Ekcheftel">'Kn Information'!$C$16</definedName>
    <definedName name="Epost1RS">'Kn Information'!$D$14</definedName>
    <definedName name="Epost2RS">'Kn Information'!$D$15</definedName>
    <definedName name="Epostaldre">'Kn Information'!$D$31</definedName>
    <definedName name="EpostAO">'Kn Information'!$D$32</definedName>
    <definedName name="EpostEkchef">'Kn Information'!$D$16</definedName>
    <definedName name="Epostforskola">'Kn Information'!$D$22</definedName>
    <definedName name="Epostgrund">'Kn Information'!$D$23</definedName>
    <definedName name="Epostgymn">'Kn Information'!$D$24</definedName>
    <definedName name="Eposthandik">'Kn Information'!$D$33</definedName>
    <definedName name="Epostifo">'Kn Information'!$D$34</definedName>
    <definedName name="EpostPV">'Kn Information'!$D$21</definedName>
    <definedName name="epostpvchef">'Kn Information'!$D$26</definedName>
    <definedName name="epostvochef">'Kn Information'!$D$35</definedName>
    <definedName name="Epostvux">'Kn Information'!$D$25</definedName>
    <definedName name="Extraordinära_RR">'RR'!$G$16</definedName>
    <definedName name="Familjerätt">'IFO'!$N$33</definedName>
    <definedName name="Fritidshem">'Pedagogisk verksamhet'!$R$17</definedName>
    <definedName name="Funktionsnedsättning">'Äldre o personer funktionsn'!$R$22</definedName>
    <definedName name="Förskola">'Pedagogisk verksamhet'!$R$9</definedName>
    <definedName name="Förskoleklass">'Pedagogisk verksamhet'!$R$25</definedName>
    <definedName name="Grundskola">'Pedagogisk verksamhet'!$R$32</definedName>
    <definedName name="Grundsärskola">'Pedagogisk verksamhet'!$R$45</definedName>
    <definedName name="Grundvux">'Pedagogisk verksamhet'!$R$87</definedName>
    <definedName name="Gymnasieskola">'Pedagogisk verksamhet'!$R$59</definedName>
    <definedName name="Gymnasiesärskola">'Pedagogisk verksamhet'!$R$73</definedName>
    <definedName name="Gymnvux">'Pedagogisk verksamhet'!$R$96</definedName>
    <definedName name="HSL1">#REF!</definedName>
    <definedName name="HSL2">#REF!</definedName>
    <definedName name="inv19_64">1</definedName>
    <definedName name="inv7_15">'Kn Information'!$B$5</definedName>
    <definedName name="invanare">'Kn Information'!$B$4</definedName>
    <definedName name="Investeringar">'Investeringar'!$I$71</definedName>
    <definedName name="Invånare">'Kn Information'!$B$4</definedName>
    <definedName name="Kontaktpers1RS">'Kn Information'!$B$14</definedName>
    <definedName name="Kontaktpers2RS">'Kn Information'!$B$15</definedName>
    <definedName name="Kontaktpersaldre">'Kn Information'!$B$32</definedName>
    <definedName name="KontaktpersAO">'Kn Information'!$B$31</definedName>
    <definedName name="Kontaktpersforskola">'Kn Information'!$B$22</definedName>
    <definedName name="Kontaktpersgrund">'Kn Information'!$B$23</definedName>
    <definedName name="Kontaktpersgymn">'Kn Information'!$B$24</definedName>
    <definedName name="Kontaktpershandik">'Kn Information'!$B$33</definedName>
    <definedName name="Kontaktpersifo">'Kn Information'!$B$34</definedName>
    <definedName name="KontaktpersPV">'Kn Information'!$B$21</definedName>
    <definedName name="Kontaktpersvux">'Kn Information'!$B$25</definedName>
    <definedName name="Kontakttel1RS">'Kn Information'!$C$14</definedName>
    <definedName name="Kontakttel2RS">'Kn Information'!$C$15</definedName>
    <definedName name="Kontakttelaldre">'Kn Information'!$C$32</definedName>
    <definedName name="KontakttelAO">'Kn Information'!$C$31</definedName>
    <definedName name="Kontakttelforskola">'Kn Information'!$C$22</definedName>
    <definedName name="Kontakttelgrund">'Kn Information'!$C$23</definedName>
    <definedName name="Kontakttelgymn">'Kn Information'!$C$24</definedName>
    <definedName name="Kontakttelhandik">'Kn Information'!$C$33</definedName>
    <definedName name="Kontakttelifo">'Kn Information'!$C$34</definedName>
    <definedName name="Kontakttelpv">'Kn Information'!$C$21</definedName>
    <definedName name="Kontakttelpvchef">'Kn Information'!$C$26</definedName>
    <definedName name="Kontakttelvux">'Kn Information'!$C$25</definedName>
    <definedName name="Kontakttevochef">'Kn Information'!$C$35</definedName>
    <definedName name="Kontrollblad_1">#REF!</definedName>
    <definedName name="Kontrollblad_10">#REF!</definedName>
    <definedName name="Kontrollblad_11">#REF!</definedName>
    <definedName name="Kontrollblad_12">#REF!</definedName>
    <definedName name="Kontrollblad_13">#REF!</definedName>
    <definedName name="Kontrollblad_14">#REF!</definedName>
    <definedName name="Kontrollblad_2">#REF!</definedName>
    <definedName name="Kontrollblad_3">#REF!</definedName>
    <definedName name="Kontrollblad_4">#REF!</definedName>
    <definedName name="Kontrollblad_5">#REF!</definedName>
    <definedName name="Kontrollblad_6">#REF!</definedName>
    <definedName name="Kontrollblad_7">#REF!</definedName>
    <definedName name="Kontrollblad_8">#REF!</definedName>
    <definedName name="Kontrollblad_9">#REF!</definedName>
    <definedName name="Köp_huvudvht">'Motpart'!$C$47</definedName>
    <definedName name="LSS">'Äldre o personer funktionsn'!$R$31</definedName>
    <definedName name="Pvchef">'Kn Information'!$B$26</definedName>
    <definedName name="Skatter_bidrag_finpost">'Skatter, bidrag o fin poster'!$H$35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'Investeringar'!$D$22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Spec_intäkter">'Motpart'!$Y$47</definedName>
    <definedName name="Spec_VoO">'Äldre o personer funktionsn'!$R$45</definedName>
    <definedName name="Utbildning">'Drift'!$Z$62</definedName>
    <definedName name="_xlnm.Print_Area" localSheetId="6">'Drift'!$A$1:$AE$125</definedName>
    <definedName name="_xlnm.Print_Area" localSheetId="5">'Investeringar'!$A$1:$Y$75</definedName>
    <definedName name="_xlnm.Print_Area" localSheetId="0">'Kn Information'!$A$1:$E$50</definedName>
    <definedName name="_xlnm.Print_Area" localSheetId="7">'Motpart'!$A$1:$AC$51</definedName>
    <definedName name="_xlnm.Print_Area" localSheetId="1">'RR'!$A$1:$K$49</definedName>
    <definedName name="_xlnm.Print_Area" localSheetId="9">'Äldre o personer funktionsn'!$A$1:$U$59</definedName>
    <definedName name="_xlnm.Print_Titles" localSheetId="6">'Drift'!$A:$B,'Drift'!$1:$10</definedName>
    <definedName name="_xlnm.Print_Titles" localSheetId="7">'Motpart'!$A:$B,'Motpart'!$1:$8</definedName>
    <definedName name="Vht_int">'Verks int o kostn'!$F$33</definedName>
    <definedName name="Vht_kostn">'Verks int o kostn'!$F$76</definedName>
    <definedName name="VOchef">'Kn Information'!$B$35</definedName>
    <definedName name="Vuxna_missb.">'IFO'!$N$13</definedName>
    <definedName name="Z_27C9E95B_0E2B_454F_B637_1CECC9579A10_.wvu.Cols" localSheetId="6" hidden="1">'Drift'!$AG:$IV</definedName>
    <definedName name="Z_27C9E95B_0E2B_454F_B637_1CECC9579A10_.wvu.Cols" localSheetId="10" hidden="1">'IFO'!$T:$IV</definedName>
    <definedName name="Z_27C9E95B_0E2B_454F_B637_1CECC9579A10_.wvu.Cols" localSheetId="5" hidden="1">'Investeringar'!$M:$IV</definedName>
    <definedName name="Z_27C9E95B_0E2B_454F_B637_1CECC9579A10_.wvu.Cols" localSheetId="0" hidden="1">'Kn Information'!$F:$IV</definedName>
    <definedName name="Z_27C9E95B_0E2B_454F_B637_1CECC9579A10_.wvu.Cols" localSheetId="7" hidden="1">'Motpart'!$AD:$IV</definedName>
    <definedName name="Z_27C9E95B_0E2B_454F_B637_1CECC9579A10_.wvu.Cols" localSheetId="8" hidden="1">'Pedagogisk verksamhet'!$H:$H,'Pedagogisk verksamhet'!$Y:$IV</definedName>
    <definedName name="Z_27C9E95B_0E2B_454F_B637_1CECC9579A10_.wvu.Cols" localSheetId="1" hidden="1">'RR'!$L:$IV</definedName>
    <definedName name="Z_27C9E95B_0E2B_454F_B637_1CECC9579A10_.wvu.Cols" localSheetId="4" hidden="1">'Skatter, bidrag o fin poster'!$S:$IV</definedName>
    <definedName name="Z_27C9E95B_0E2B_454F_B637_1CECC9579A10_.wvu.Cols" localSheetId="9" hidden="1">'Äldre o personer funktionsn'!$V:$IV</definedName>
    <definedName name="Z_27C9E95B_0E2B_454F_B637_1CECC9579A10_.wvu.Rows" localSheetId="2" hidden="1">'BR'!$92:$65536,'BR'!#REF!,'BR'!$88:$88</definedName>
    <definedName name="Z_27C9E95B_0E2B_454F_B637_1CECC9579A10_.wvu.Rows" localSheetId="6" hidden="1">'Drift'!$302:$65536,'Drift'!$126:$301</definedName>
    <definedName name="Z_27C9E95B_0E2B_454F_B637_1CECC9579A10_.wvu.Rows" localSheetId="10" hidden="1">'IFO'!$39:$65536,'IFO'!$38:$38</definedName>
    <definedName name="Z_27C9E95B_0E2B_454F_B637_1CECC9579A10_.wvu.Rows" localSheetId="5" hidden="1">'Investeringar'!$86:$65536,'Investeringar'!$76:$85</definedName>
    <definedName name="Z_27C9E95B_0E2B_454F_B637_1CECC9579A10_.wvu.Rows" localSheetId="0" hidden="1">'Kn Information'!$51:$65536</definedName>
    <definedName name="Z_27C9E95B_0E2B_454F_B637_1CECC9579A10_.wvu.Rows" localSheetId="7" hidden="1">'Motpart'!$53:$65536</definedName>
    <definedName name="Z_27C9E95B_0E2B_454F_B637_1CECC9579A10_.wvu.Rows" localSheetId="8" hidden="1">'Pedagogisk verksamhet'!$104:$65536</definedName>
    <definedName name="Z_27C9E95B_0E2B_454F_B637_1CECC9579A10_.wvu.Rows" localSheetId="1" hidden="1">'RR'!$57:$65536,'RR'!$49:$49</definedName>
    <definedName name="Z_27C9E95B_0E2B_454F_B637_1CECC9579A10_.wvu.Rows" localSheetId="4" hidden="1">'Skatter, bidrag o fin poster'!$45:$65536,'Skatter, bidrag o fin poster'!$44:$44</definedName>
    <definedName name="Z_27C9E95B_0E2B_454F_B637_1CECC9579A10_.wvu.Rows" localSheetId="3" hidden="1">'Verks int o kostn'!#REF!,'Verks int o kostn'!#REF!</definedName>
    <definedName name="Z_27C9E95B_0E2B_454F_B637_1CECC9579A10_.wvu.Rows" localSheetId="9" hidden="1">'Äldre o personer funktionsn'!$60:$65536</definedName>
    <definedName name="Z_97D6DB71_3F4C_4C5F_8C5B_51E3EBF78932_.wvu.Cols" localSheetId="2" hidden="1">'BR'!#REF!</definedName>
    <definedName name="Z_97D6DB71_3F4C_4C5F_8C5B_51E3EBF78932_.wvu.Cols" localSheetId="6" hidden="1">'Drift'!#REF!</definedName>
    <definedName name="Z_97D6DB71_3F4C_4C5F_8C5B_51E3EBF78932_.wvu.Cols" localSheetId="10" hidden="1">'IFO'!#REF!</definedName>
    <definedName name="Z_97D6DB71_3F4C_4C5F_8C5B_51E3EBF78932_.wvu.Cols" localSheetId="5" hidden="1">'Investeringar'!#REF!</definedName>
    <definedName name="Z_97D6DB71_3F4C_4C5F_8C5B_51E3EBF78932_.wvu.Cols" localSheetId="0" hidden="1">'Kn Information'!#REF!</definedName>
    <definedName name="Z_97D6DB71_3F4C_4C5F_8C5B_51E3EBF78932_.wvu.Cols" localSheetId="7" hidden="1">'Motpart'!#REF!</definedName>
    <definedName name="Z_97D6DB71_3F4C_4C5F_8C5B_51E3EBF78932_.wvu.Cols" localSheetId="1" hidden="1">'RR'!#REF!</definedName>
    <definedName name="Z_97D6DB71_3F4C_4C5F_8C5B_51E3EBF78932_.wvu.Cols" localSheetId="4" hidden="1">'Skatter, bidrag o fin poster'!#REF!</definedName>
    <definedName name="Z_97D6DB71_3F4C_4C5F_8C5B_51E3EBF78932_.wvu.Cols" localSheetId="3" hidden="1">'Verks int o kostn'!#REF!</definedName>
    <definedName name="Z_97D6DB71_3F4C_4C5F_8C5B_51E3EBF78932_.wvu.Cols" localSheetId="9" hidden="1">'Äldre o personer funktionsn'!#REF!</definedName>
    <definedName name="Z_97D6DB71_3F4C_4C5F_8C5B_51E3EBF78932_.wvu.PrintTitles" localSheetId="6" hidden="1">'Drift'!$A:$B,'Drift'!$1:$10</definedName>
    <definedName name="Z_97D6DB71_3F4C_4C5F_8C5B_51E3EBF78932_.wvu.Rows" localSheetId="2" hidden="1">'BR'!#REF!,'BR'!#REF!,'BR'!$88:$88</definedName>
    <definedName name="Z_97D6DB71_3F4C_4C5F_8C5B_51E3EBF78932_.wvu.Rows" localSheetId="6" hidden="1">'Drift'!#REF!,'Drift'!$126:$301</definedName>
    <definedName name="Z_97D6DB71_3F4C_4C5F_8C5B_51E3EBF78932_.wvu.Rows" localSheetId="10" hidden="1">'IFO'!#REF!,'IFO'!$38:$38</definedName>
    <definedName name="Z_97D6DB71_3F4C_4C5F_8C5B_51E3EBF78932_.wvu.Rows" localSheetId="5" hidden="1">'Investeringar'!#REF!,'Investeringar'!$76:$85</definedName>
    <definedName name="Z_97D6DB71_3F4C_4C5F_8C5B_51E3EBF78932_.wvu.Rows" localSheetId="0" hidden="1">'Kn Information'!#REF!</definedName>
    <definedName name="Z_97D6DB71_3F4C_4C5F_8C5B_51E3EBF78932_.wvu.Rows" localSheetId="7" hidden="1">'Motpart'!#REF!</definedName>
    <definedName name="Z_97D6DB71_3F4C_4C5F_8C5B_51E3EBF78932_.wvu.Rows" localSheetId="8" hidden="1">'Pedagogisk verksamhet'!#REF!</definedName>
    <definedName name="Z_97D6DB71_3F4C_4C5F_8C5B_51E3EBF78932_.wvu.Rows" localSheetId="1" hidden="1">'RR'!#REF!,'RR'!$49:$49</definedName>
    <definedName name="Z_97D6DB71_3F4C_4C5F_8C5B_51E3EBF78932_.wvu.Rows" localSheetId="4" hidden="1">'Skatter, bidrag o fin poster'!#REF!,'Skatter, bidrag o fin poster'!$44:$44</definedName>
    <definedName name="Z_97D6DB71_3F4C_4C5F_8C5B_51E3EBF78932_.wvu.Rows" localSheetId="3" hidden="1">'Verks int o kostn'!#REF!</definedName>
    <definedName name="Z_97D6DB71_3F4C_4C5F_8C5B_51E3EBF78932_.wvu.Rows" localSheetId="9" hidden="1">'Äldre o personer funktionsn'!#REF!</definedName>
    <definedName name="Z_99FBDEB7_DD08_4F57_81F4_3C180403E153_.wvu.Cols" localSheetId="2" hidden="1">'BR'!#REF!</definedName>
    <definedName name="Z_99FBDEB7_DD08_4F57_81F4_3C180403E153_.wvu.Cols" localSheetId="6" hidden="1">'Drift'!#REF!</definedName>
    <definedName name="Z_99FBDEB7_DD08_4F57_81F4_3C180403E153_.wvu.Cols" localSheetId="10" hidden="1">'IFO'!#REF!</definedName>
    <definedName name="Z_99FBDEB7_DD08_4F57_81F4_3C180403E153_.wvu.Cols" localSheetId="5" hidden="1">'Investeringar'!#REF!</definedName>
    <definedName name="Z_99FBDEB7_DD08_4F57_81F4_3C180403E153_.wvu.Cols" localSheetId="0" hidden="1">'Kn Information'!#REF!</definedName>
    <definedName name="Z_99FBDEB7_DD08_4F57_81F4_3C180403E153_.wvu.Cols" localSheetId="7" hidden="1">'Motpart'!#REF!</definedName>
    <definedName name="Z_99FBDEB7_DD08_4F57_81F4_3C180403E153_.wvu.Cols" localSheetId="1" hidden="1">'RR'!#REF!</definedName>
    <definedName name="Z_99FBDEB7_DD08_4F57_81F4_3C180403E153_.wvu.Cols" localSheetId="4" hidden="1">'Skatter, bidrag o fin poster'!#REF!</definedName>
    <definedName name="Z_99FBDEB7_DD08_4F57_81F4_3C180403E153_.wvu.Cols" localSheetId="3" hidden="1">'Verks int o kostn'!#REF!</definedName>
    <definedName name="Z_99FBDEB7_DD08_4F57_81F4_3C180403E153_.wvu.Cols" localSheetId="9" hidden="1">'Äldre o personer funktionsn'!#REF!</definedName>
    <definedName name="Z_99FBDEB7_DD08_4F57_81F4_3C180403E153_.wvu.Rows" localSheetId="2" hidden="1">'BR'!#REF!,'BR'!#REF!,'BR'!$88:$88</definedName>
    <definedName name="Z_99FBDEB7_DD08_4F57_81F4_3C180403E153_.wvu.Rows" localSheetId="6" hidden="1">'Drift'!#REF!,'Drift'!$126:$301</definedName>
    <definedName name="Z_99FBDEB7_DD08_4F57_81F4_3C180403E153_.wvu.Rows" localSheetId="10" hidden="1">'IFO'!#REF!,'IFO'!$38:$38</definedName>
    <definedName name="Z_99FBDEB7_DD08_4F57_81F4_3C180403E153_.wvu.Rows" localSheetId="5" hidden="1">'Investeringar'!#REF!,'Investeringar'!$76:$85</definedName>
    <definedName name="Z_99FBDEB7_DD08_4F57_81F4_3C180403E153_.wvu.Rows" localSheetId="0" hidden="1">'Kn Information'!#REF!</definedName>
    <definedName name="Z_99FBDEB7_DD08_4F57_81F4_3C180403E153_.wvu.Rows" localSheetId="7" hidden="1">'Motpart'!#REF!</definedName>
    <definedName name="Z_99FBDEB7_DD08_4F57_81F4_3C180403E153_.wvu.Rows" localSheetId="8" hidden="1">'Pedagogisk verksamhet'!#REF!</definedName>
    <definedName name="Z_99FBDEB7_DD08_4F57_81F4_3C180403E153_.wvu.Rows" localSheetId="1" hidden="1">'RR'!#REF!,'RR'!$49:$49</definedName>
    <definedName name="Z_99FBDEB7_DD08_4F57_81F4_3C180403E153_.wvu.Rows" localSheetId="4" hidden="1">'Skatter, bidrag o fin poster'!#REF!,'Skatter, bidrag o fin poster'!$44:$44</definedName>
    <definedName name="Z_99FBDEB7_DD08_4F57_81F4_3C180403E153_.wvu.Rows" localSheetId="3" hidden="1">'Verks int o kostn'!#REF!</definedName>
    <definedName name="Z_99FBDEB7_DD08_4F57_81F4_3C180403E153_.wvu.Rows" localSheetId="9" hidden="1">'Äldre o personer funktionsn'!#REF!</definedName>
    <definedName name="Z_FA98FB86_76DB_4A0E_BD94_632DC6B7BC81_.wvu.Cols" localSheetId="6" hidden="1">'Drift'!$AG:$IV</definedName>
    <definedName name="Z_FA98FB86_76DB_4A0E_BD94_632DC6B7BC81_.wvu.Cols" localSheetId="10" hidden="1">'IFO'!$T:$IV</definedName>
    <definedName name="Z_FA98FB86_76DB_4A0E_BD94_632DC6B7BC81_.wvu.Cols" localSheetId="5" hidden="1">'Investeringar'!$M:$IV</definedName>
    <definedName name="Z_FA98FB86_76DB_4A0E_BD94_632DC6B7BC81_.wvu.Cols" localSheetId="0" hidden="1">'Kn Information'!$F:$IV</definedName>
    <definedName name="Z_FA98FB86_76DB_4A0E_BD94_632DC6B7BC81_.wvu.Cols" localSheetId="7" hidden="1">'Motpart'!$AD:$IV</definedName>
    <definedName name="Z_FA98FB86_76DB_4A0E_BD94_632DC6B7BC81_.wvu.Cols" localSheetId="8" hidden="1">'Pedagogisk verksamhet'!$H:$H,'Pedagogisk verksamhet'!$Y:$IV</definedName>
    <definedName name="Z_FA98FB86_76DB_4A0E_BD94_632DC6B7BC81_.wvu.Cols" localSheetId="1" hidden="1">'RR'!$L:$IV</definedName>
    <definedName name="Z_FA98FB86_76DB_4A0E_BD94_632DC6B7BC81_.wvu.Cols" localSheetId="4" hidden="1">'Skatter, bidrag o fin poster'!$S:$IV</definedName>
    <definedName name="Z_FA98FB86_76DB_4A0E_BD94_632DC6B7BC81_.wvu.Cols" localSheetId="9" hidden="1">'Äldre o personer funktionsn'!$V:$IV</definedName>
    <definedName name="Z_FA98FB86_76DB_4A0E_BD94_632DC6B7BC81_.wvu.Rows" localSheetId="2" hidden="1">'BR'!$92:$65536,'BR'!#REF!,'BR'!$88:$88</definedName>
    <definedName name="Z_FA98FB86_76DB_4A0E_BD94_632DC6B7BC81_.wvu.Rows" localSheetId="6" hidden="1">'Drift'!$302:$65536,'Drift'!$126:$301</definedName>
    <definedName name="Z_FA98FB86_76DB_4A0E_BD94_632DC6B7BC81_.wvu.Rows" localSheetId="10" hidden="1">'IFO'!$39:$65536,'IFO'!$38:$38</definedName>
    <definedName name="Z_FA98FB86_76DB_4A0E_BD94_632DC6B7BC81_.wvu.Rows" localSheetId="5" hidden="1">'Investeringar'!$86:$65536,'Investeringar'!$76:$85</definedName>
    <definedName name="Z_FA98FB86_76DB_4A0E_BD94_632DC6B7BC81_.wvu.Rows" localSheetId="0" hidden="1">'Kn Information'!$51:$65536</definedName>
    <definedName name="Z_FA98FB86_76DB_4A0E_BD94_632DC6B7BC81_.wvu.Rows" localSheetId="7" hidden="1">'Motpart'!$53:$65536</definedName>
    <definedName name="Z_FA98FB86_76DB_4A0E_BD94_632DC6B7BC81_.wvu.Rows" localSheetId="8" hidden="1">'Pedagogisk verksamhet'!$104:$65536</definedName>
    <definedName name="Z_FA98FB86_76DB_4A0E_BD94_632DC6B7BC81_.wvu.Rows" localSheetId="1" hidden="1">'RR'!$57:$65536,'RR'!$49:$49</definedName>
    <definedName name="Z_FA98FB86_76DB_4A0E_BD94_632DC6B7BC81_.wvu.Rows" localSheetId="4" hidden="1">'Skatter, bidrag o fin poster'!$45:$65536,'Skatter, bidrag o fin poster'!$44:$44</definedName>
    <definedName name="Z_FA98FB86_76DB_4A0E_BD94_632DC6B7BC81_.wvu.Rows" localSheetId="3" hidden="1">'Verks int o kostn'!#REF!</definedName>
    <definedName name="Z_FA98FB86_76DB_4A0E_BD94_632DC6B7BC81_.wvu.Rows" localSheetId="9" hidden="1">'Äldre o personer funktionsn'!$60:$65536</definedName>
    <definedName name="År">2014</definedName>
    <definedName name="Äldre">'Äldre o personer funktionsn'!$R$12</definedName>
    <definedName name="Övr._o_ek.bistånd">'IFO'!$N$30</definedName>
  </definedNames>
  <calcPr fullCalcOnLoad="1"/>
</workbook>
</file>

<file path=xl/sharedStrings.xml><?xml version="1.0" encoding="utf-8"?>
<sst xmlns="http://schemas.openxmlformats.org/spreadsheetml/2006/main" count="1543" uniqueCount="1200">
  <si>
    <t>försäkringsavgifter</t>
  </si>
  <si>
    <t>självrisker</t>
  </si>
  <si>
    <t>kundförluster, förl. på kortfr.fordr., ö. riskk.</t>
  </si>
  <si>
    <t>infriad borgen</t>
  </si>
  <si>
    <t>i kommunens koncernföretag</t>
  </si>
  <si>
    <t>hos kommunens koncernföretag</t>
  </si>
  <si>
    <t>fordringar hos staten</t>
  </si>
  <si>
    <t xml:space="preserve">Kortfristiga skulder till koncernföretag </t>
  </si>
  <si>
    <t>Lev.skulder till kommunens koncernf.</t>
  </si>
  <si>
    <t>135</t>
  </si>
  <si>
    <t>Förvaltningsavgifter</t>
  </si>
  <si>
    <t>Ränta på pensionsavsättning och löneskatt</t>
  </si>
  <si>
    <t>139</t>
  </si>
  <si>
    <t>13 (ej 139)</t>
  </si>
  <si>
    <t>10-13 (ej 139)</t>
  </si>
  <si>
    <t>FINANSIELLA INTÄKTER ENL RR</t>
  </si>
  <si>
    <t>FINANSIELLA KOSTNADER ENL RR</t>
  </si>
  <si>
    <t xml:space="preserve">Obligationer, förlagsbevis m.m. samt certifikat </t>
  </si>
  <si>
    <t>Personalens källskatt</t>
  </si>
  <si>
    <t>298</t>
  </si>
  <si>
    <t>Förutbetalda skatteintäkter</t>
  </si>
  <si>
    <t>Verksamhetsblock/-områden</t>
  </si>
  <si>
    <t>EGENTLIG VERKSAMHET</t>
  </si>
  <si>
    <t>Politisk verksamhet, totalt</t>
  </si>
  <si>
    <t>Parker</t>
  </si>
  <si>
    <t>Räddningstjänst</t>
  </si>
  <si>
    <t>Övrig utbildning</t>
  </si>
  <si>
    <t>Utbildning, totalt</t>
  </si>
  <si>
    <t>SUMMA EGENTLIG VERKSAMHET</t>
  </si>
  <si>
    <t>Hamnverksamhet</t>
  </si>
  <si>
    <t>Kommersiell verksamhet</t>
  </si>
  <si>
    <t>Bostadsverksamhet</t>
  </si>
  <si>
    <t>Näringsliv och bostäder, totalt</t>
  </si>
  <si>
    <t>Sjötrafik</t>
  </si>
  <si>
    <t>Kommunikationer, totalt</t>
  </si>
  <si>
    <t>Fjärrvärmeförsörjning</t>
  </si>
  <si>
    <t>Vattenförsörjning och avloppshantering</t>
  </si>
  <si>
    <t>Avfallshantering</t>
  </si>
  <si>
    <t>SUMMA AFFÄRSVERKSAMHET</t>
  </si>
  <si>
    <t>Gemensamma lokaler</t>
  </si>
  <si>
    <t>Gemensamma verksamheter</t>
  </si>
  <si>
    <t>TOTALSUMMA</t>
  </si>
  <si>
    <t>Personalkostnader</t>
  </si>
  <si>
    <t xml:space="preserve">Externa varor, tjänster och bidrag  </t>
  </si>
  <si>
    <t>Lokal- och anläggningskostnader</t>
  </si>
  <si>
    <t>Externa intäkter</t>
  </si>
  <si>
    <t xml:space="preserve">Interna </t>
  </si>
  <si>
    <t>Kostnad</t>
  </si>
  <si>
    <t>BRUTTO-</t>
  </si>
  <si>
    <t>intäkter</t>
  </si>
  <si>
    <t>KOSTNAD</t>
  </si>
  <si>
    <t>kostnad</t>
  </si>
  <si>
    <t>[45]</t>
  </si>
  <si>
    <t>[601]</t>
  </si>
  <si>
    <t>[341]</t>
  </si>
  <si>
    <t>Block 1. POLITISK VERKSAMHET</t>
  </si>
  <si>
    <t>Nämnd- och styrelseverksamhet</t>
  </si>
  <si>
    <t>Stöd till politiska partier</t>
  </si>
  <si>
    <t>Revision</t>
  </si>
  <si>
    <t xml:space="preserve">Övrig politisk verksamhet </t>
  </si>
  <si>
    <t>POLITISK VERKSAMHET, TOTALT</t>
  </si>
  <si>
    <t>Block 2. INFRASTRUKTUR, SKYDD mm</t>
  </si>
  <si>
    <t>Fysisk o.teknisk planering, bostadsförbättr.</t>
  </si>
  <si>
    <t>Näringslivsfrämjande åtgärder</t>
  </si>
  <si>
    <t>Konsument- och energirådgivning</t>
  </si>
  <si>
    <t>Turistverksamhet</t>
  </si>
  <si>
    <t>Beskrivning av nyckeltalen</t>
  </si>
  <si>
    <t>Miljö- och hälsoskydd, myndighetsutövning</t>
  </si>
  <si>
    <t>Miljö- hälsa och hållbar utveckling</t>
  </si>
  <si>
    <t>Alkoholtillstånd m.m.</t>
  </si>
  <si>
    <t xml:space="preserve">Totalförsvar och samhällsskydd  </t>
  </si>
  <si>
    <t>INFRASTRUKTUR, SKYDD mm TOTALT</t>
  </si>
  <si>
    <t>Block 3.  KULTUR OCH FRITID</t>
  </si>
  <si>
    <t>Kulturverksamhet</t>
  </si>
  <si>
    <t>Stöd till studieorganisationer</t>
  </si>
  <si>
    <t>Allmän kulturverksamhet, övrigt</t>
  </si>
  <si>
    <t>Bibliotek</t>
  </si>
  <si>
    <t>Musikskola / kulturskola</t>
  </si>
  <si>
    <t>Kulturverksamhet totalt</t>
  </si>
  <si>
    <t>Fritidsverksamhet</t>
  </si>
  <si>
    <t>Allmän fritidsverksamhet</t>
  </si>
  <si>
    <t>Idrotts- och fritidsanläggningar</t>
  </si>
  <si>
    <t>Fritidsgårdar</t>
  </si>
  <si>
    <t>Fritidsverksamhet, totalt</t>
  </si>
  <si>
    <t xml:space="preserve"> KULTUR OCH FRITID, TOTALT</t>
  </si>
  <si>
    <t>Block 4. PEDAGOGISK VERKSAMHET</t>
  </si>
  <si>
    <t>Öppen förskola</t>
  </si>
  <si>
    <t>Förskola</t>
  </si>
  <si>
    <t>Pedagogisk omsorg</t>
  </si>
  <si>
    <t>Öppen fritidsverksamhet</t>
  </si>
  <si>
    <t>Fritidshem</t>
  </si>
  <si>
    <t>Skolväsendet för barn- o ungdom</t>
  </si>
  <si>
    <t>Statsbidrag maxtaxa</t>
  </si>
  <si>
    <t>Kvalitetssäkrande åtgärder</t>
  </si>
  <si>
    <t>Gymnasieskola</t>
  </si>
  <si>
    <t xml:space="preserve">Gymnasiesärskola </t>
  </si>
  <si>
    <t>Skolväsendet för barn o ungdom totalt</t>
  </si>
  <si>
    <t>Kommunal vuxenutbildning</t>
  </si>
  <si>
    <t>Högskoleutbildning m.m.</t>
  </si>
  <si>
    <t>Verksamhetens kostnad enligt RR</t>
  </si>
  <si>
    <t>Verksamhetens intäkter enl. RR</t>
  </si>
  <si>
    <t>Verksamhetens kostnader enl. RR</t>
  </si>
  <si>
    <t>Verksamhetens intäkter enl.RR</t>
  </si>
  <si>
    <t xml:space="preserve">Svenska för invandrare </t>
  </si>
  <si>
    <t>Uppdragsutbildning</t>
  </si>
  <si>
    <t>Utbildning inkl. förskoleklass</t>
  </si>
  <si>
    <t>PEDAGOGISK VERKSAMH., TOTALT</t>
  </si>
  <si>
    <t>Block 5. VÅRD O OMSORG</t>
  </si>
  <si>
    <t>Primärvård</t>
  </si>
  <si>
    <t>Hälso- och sjukvård, övrigt exkl. hemsjukvård</t>
  </si>
  <si>
    <t xml:space="preserve">Vård, omsorg: äldre och personer med funktionsnedsättning </t>
  </si>
  <si>
    <t>Färdtjänst/riksfärdtjänst</t>
  </si>
  <si>
    <t>Öppen verksamhet</t>
  </si>
  <si>
    <t>VoO: äldre, personer m.funktionsneds., tot.</t>
  </si>
  <si>
    <t xml:space="preserve">Individ- och familjeomsorg               </t>
  </si>
  <si>
    <t>Barn och ungdomsvård</t>
  </si>
  <si>
    <t>Ekonomiskt bistånd</t>
  </si>
  <si>
    <t xml:space="preserve">Individ- och familjeomsorg, totalt </t>
  </si>
  <si>
    <t>Familjerätt och familjerådgivning</t>
  </si>
  <si>
    <t>VÅRD OCH OMSORG, TOTALT</t>
  </si>
  <si>
    <t>Block 6. SÄRSKILT RIKTADE INSATSER</t>
  </si>
  <si>
    <r>
      <t>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</si>
  <si>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t xml:space="preserve"> </t>
  </si>
  <si>
    <t>Flyktingmottagande</t>
  </si>
  <si>
    <t xml:space="preserve">Arbetsmarknadsåtgärder </t>
  </si>
  <si>
    <t>SÄRSKILT RIKTADE INSATSER,TOTALT</t>
  </si>
  <si>
    <t>AFFÄRSVERKSAMHET</t>
  </si>
  <si>
    <t>Näringsliv och bostäder</t>
  </si>
  <si>
    <t>Arbetsområden och lokaler</t>
  </si>
  <si>
    <t>Kommunikationer</t>
  </si>
  <si>
    <t>Flygtrafik</t>
  </si>
  <si>
    <t>Energi, vatten och avfall</t>
  </si>
  <si>
    <t>Elförsörjning + gasförsörjning</t>
  </si>
  <si>
    <t>Energi, vatten och avfall, totalt</t>
  </si>
  <si>
    <t>SUMMA DRIFTVERKSAMHET</t>
  </si>
  <si>
    <t>Nettokostnad gemensamma verksamheter</t>
  </si>
  <si>
    <t>Kommuner</t>
  </si>
  <si>
    <t>Kommunal-</t>
  </si>
  <si>
    <t>Staten och</t>
  </si>
  <si>
    <t>Differens</t>
  </si>
  <si>
    <t xml:space="preserve"> stiftelser</t>
  </si>
  <si>
    <t>företag</t>
  </si>
  <si>
    <t>förbund</t>
  </si>
  <si>
    <t>statl.myndigh.</t>
  </si>
  <si>
    <t>[358]</t>
  </si>
  <si>
    <t xml:space="preserve">Fritidsverksamhet, totalt  </t>
  </si>
  <si>
    <t xml:space="preserve">Gymnasieskola </t>
  </si>
  <si>
    <t xml:space="preserve">Gymnasiesärskola  </t>
  </si>
  <si>
    <t>Särvux</t>
  </si>
  <si>
    <t xml:space="preserve">Förändring pensionsavs inkl.särsk.lönesk på p.avs </t>
  </si>
  <si>
    <t xml:space="preserve"> därav  inst. vård för vuxna med missbruksprob.</t>
  </si>
  <si>
    <t>Övrig Ifo + fam.rätt (rad 571+ 575+585)</t>
  </si>
  <si>
    <t>Arbetsmarknadsåtgärder</t>
  </si>
  <si>
    <t>Summa affärsverksamhet</t>
  </si>
  <si>
    <t>Gemensam verksamhet (inkl. lokaler)</t>
  </si>
  <si>
    <t>Brutto-</t>
  </si>
  <si>
    <t>Nyckeltal</t>
  </si>
  <si>
    <t>kronor/inv.,</t>
  </si>
  <si>
    <t xml:space="preserve">Interna kostnader </t>
  </si>
  <si>
    <t xml:space="preserve">Fördelning av gemensamma verksamheter </t>
  </si>
  <si>
    <t>Interna intäkter</t>
  </si>
  <si>
    <t>Balanskravsresultat</t>
  </si>
  <si>
    <t>Årets resultat enligt resultaträkningen</t>
  </si>
  <si>
    <t>Avgår; samtliga realisationsvinster</t>
  </si>
  <si>
    <t>Tillägg; realisationsvinster enl. undantagsmöjlighet</t>
  </si>
  <si>
    <t>Tillägg; realisationsförluster enl. undantagsmöjlighet</t>
  </si>
  <si>
    <t>Tillägg; orealiserade förluster i värdepapper</t>
  </si>
  <si>
    <t>intäkt</t>
  </si>
  <si>
    <t>Infrastruktur, skydd mm totalt</t>
  </si>
  <si>
    <t>Utlandet</t>
  </si>
  <si>
    <t>-/+ Nedskrivningar/återföring av nedskrivning</t>
  </si>
  <si>
    <t>Verksamhetens -kostnader resp. -intäkter</t>
  </si>
  <si>
    <t>Anhörigbidrag</t>
  </si>
  <si>
    <t>Vårdnadsbidrag barnomsorg</t>
  </si>
  <si>
    <t>Sjuklön</t>
  </si>
  <si>
    <t>Vatten och avlopp</t>
  </si>
  <si>
    <t>Öppen förskola och öppen fritidsverksamhet</t>
  </si>
  <si>
    <t>Summa vård och omsorg om äldre</t>
  </si>
  <si>
    <t>Daglig verksamhet enligt LSS</t>
  </si>
  <si>
    <t>Övriga insatser enligt LSS</t>
  </si>
  <si>
    <t>Öppna insatser, individuellt behovsprövad öppen vård</t>
  </si>
  <si>
    <t>Öppna insatser, bistånd som avser boende</t>
  </si>
  <si>
    <t>Öppna insatser, övriga</t>
  </si>
  <si>
    <r>
      <t xml:space="preserve">Konto </t>
    </r>
    <r>
      <rPr>
        <b/>
        <sz val="8"/>
        <rFont val="Helvetica"/>
        <family val="2"/>
      </rPr>
      <t>[354]</t>
    </r>
    <r>
      <rPr>
        <sz val="8"/>
        <rFont val="Helvetica"/>
        <family val="2"/>
      </rPr>
      <t xml:space="preserve"> kommunens ersättning </t>
    </r>
    <r>
      <rPr>
        <b/>
        <sz val="8"/>
        <rFont val="Helvetica"/>
        <family val="2"/>
      </rPr>
      <t>från</t>
    </r>
    <r>
      <rPr>
        <sz val="8"/>
        <rFont val="Helvetica"/>
        <family val="2"/>
      </rPr>
      <t xml:space="preserve"> Försäkringskassan för personlig assistent enligt SFB, tkr</t>
    </r>
  </si>
  <si>
    <r>
      <t xml:space="preserve">Konto </t>
    </r>
    <r>
      <rPr>
        <b/>
        <sz val="8"/>
        <rFont val="Helvetica"/>
        <family val="2"/>
      </rPr>
      <t>[4538]</t>
    </r>
    <r>
      <rPr>
        <sz val="8"/>
        <rFont val="Helvetica"/>
        <family val="2"/>
      </rPr>
      <t xml:space="preserve"> kommunens ersättning</t>
    </r>
    <r>
      <rPr>
        <b/>
        <sz val="8"/>
        <rFont val="Helvetica"/>
        <family val="2"/>
      </rPr>
      <t xml:space="preserve"> till</t>
    </r>
    <r>
      <rPr>
        <sz val="8"/>
        <rFont val="Helvetica"/>
        <family val="2"/>
      </rPr>
      <t xml:space="preserve"> Försäkringskassan för personlig assistent enligt  SFB, tkr</t>
    </r>
  </si>
  <si>
    <t>Familjehemsvård för barn och unga</t>
  </si>
  <si>
    <t>Summa barn- och ungdomsvård</t>
  </si>
  <si>
    <t>Övriga insatser till vuxna</t>
  </si>
  <si>
    <t>Familjerätt</t>
  </si>
  <si>
    <t>Familjerådgivning</t>
  </si>
  <si>
    <t>Summa individ- och familjeomsorg</t>
  </si>
  <si>
    <t>uppgiften avser kommunuppgiften</t>
  </si>
  <si>
    <t>jämförs med RR</t>
  </si>
  <si>
    <t>Därav</t>
  </si>
  <si>
    <t>inventarier</t>
  </si>
  <si>
    <t>tekn.anläggn.</t>
  </si>
  <si>
    <t>ringsbidrag</t>
  </si>
  <si>
    <t>[402]</t>
  </si>
  <si>
    <t>[403]</t>
  </si>
  <si>
    <t>[357]</t>
  </si>
  <si>
    <r>
      <t>Infrastruktur, skydd m.m.</t>
    </r>
    <r>
      <rPr>
        <sz val="7"/>
        <rFont val="Helvetica"/>
        <family val="2"/>
      </rPr>
      <t xml:space="preserve">                                      Fysisk o. teknisk planering, bostadsförbättr.</t>
    </r>
  </si>
  <si>
    <t>Näringsl.främj.åtg, turistv.o konsum.-ener.rådg</t>
  </si>
  <si>
    <t>17 [ej 178]</t>
  </si>
  <si>
    <t>Miljö- och hälsoskydd och alkoholtillstånd</t>
  </si>
  <si>
    <t>Totalförsvar och samhällsskydd</t>
  </si>
  <si>
    <t>Infrastruktur, skydd m.m. totalt</t>
  </si>
  <si>
    <t>Kultur och fritid, totalt</t>
  </si>
  <si>
    <r>
      <t>Utbildning</t>
    </r>
    <r>
      <rPr>
        <sz val="7"/>
        <rFont val="Helvetica"/>
        <family val="2"/>
      </rPr>
      <t xml:space="preserve">                                            </t>
    </r>
  </si>
  <si>
    <t>Gymnasieskola inkl gymnasiesärskola</t>
  </si>
  <si>
    <t>Pedagogisk verksamhet, totalt</t>
  </si>
  <si>
    <r>
      <t xml:space="preserve">Vård och omsorg </t>
    </r>
    <r>
      <rPr>
        <sz val="7"/>
        <rFont val="Helvetica"/>
        <family val="2"/>
      </rPr>
      <t xml:space="preserve">                                    
Primärvård</t>
    </r>
  </si>
  <si>
    <t>Individ o familjeomsorg totalt, familjerätt</t>
  </si>
  <si>
    <t xml:space="preserve">Vård och omsorg, totalt                                    </t>
  </si>
  <si>
    <t>Särskilt riktade insatser, totalt</t>
  </si>
  <si>
    <r>
      <t xml:space="preserve">AFFÄRSVERKSAMHET                            
</t>
    </r>
    <r>
      <rPr>
        <b/>
        <sz val="7"/>
        <rFont val="Helvetica"/>
        <family val="2"/>
      </rPr>
      <t xml:space="preserve">Näringsliv och bostäder                   </t>
    </r>
    <r>
      <rPr>
        <sz val="7"/>
        <rFont val="Helvetica"/>
        <family val="2"/>
      </rPr>
      <t>Arbetsområden och lokaler</t>
    </r>
  </si>
  <si>
    <r>
      <t>Kommunikationer</t>
    </r>
    <r>
      <rPr>
        <sz val="7"/>
        <rFont val="Helvetica"/>
        <family val="2"/>
      </rPr>
      <t xml:space="preserve">                                                         Flygtrafik</t>
    </r>
  </si>
  <si>
    <r>
      <t>Energi, vatten och avfall</t>
    </r>
    <r>
      <rPr>
        <sz val="7"/>
        <rFont val="Helvetica"/>
        <family val="2"/>
      </rPr>
      <t xml:space="preserve">                                        
El- och gasförsörjning</t>
    </r>
  </si>
  <si>
    <t>Energi, vatten och avfall,totalt</t>
  </si>
  <si>
    <t>Ange kommunens kostnad för rådgivning och annat personligt stöd enl 9 § punkt 1 LSS, tkr</t>
  </si>
  <si>
    <t>Öronmärkt belopp för framtida pensionsutbetalningar</t>
  </si>
  <si>
    <t>Övriga tilläggsupplysningar</t>
  </si>
  <si>
    <t>EU-bidrag (driftbidrag)</t>
  </si>
  <si>
    <t>Löner</t>
  </si>
  <si>
    <t>Boende enl. LSS för vuxna</t>
  </si>
  <si>
    <t>ägda företag</t>
  </si>
  <si>
    <t>Föreningar,</t>
  </si>
  <si>
    <t>Privata</t>
  </si>
  <si>
    <t>Utjämningssystemen o. generella statliga bidrag samt fastighetsavg.</t>
  </si>
  <si>
    <t xml:space="preserve">Summa öppna insatser vuxna </t>
  </si>
  <si>
    <t>HVB-vård för barn och unga</t>
  </si>
  <si>
    <t>Vård för vuxna med missbruksproblem</t>
  </si>
  <si>
    <r>
      <t xml:space="preserve">Övriga </t>
    </r>
  </si>
  <si>
    <t>Rad  nr</t>
  </si>
  <si>
    <t>Summa vård för vuxna med missbruksproblem</t>
  </si>
  <si>
    <t xml:space="preserve"> därav  HVB-vård för barn och unga</t>
  </si>
  <si>
    <t xml:space="preserve">Summa öppna insatser för barn och unga </t>
  </si>
  <si>
    <t>178</t>
  </si>
  <si>
    <t>Kalkylerad PO + Kalkylerad kapitalkostn.</t>
  </si>
  <si>
    <t>Interna kostnader</t>
  </si>
  <si>
    <t>Soc.avg o pens.utbet./kostn. (56(ej 5635), 57 (ej572)</t>
  </si>
  <si>
    <t>Förändr.pens.avs.[572] o.särsk.lönesk.pens.avs.[5635]</t>
  </si>
  <si>
    <t>Jämförelsestörande kostnader</t>
  </si>
  <si>
    <t>Jämförelsestörande intäkter</t>
  </si>
  <si>
    <t>100</t>
  </si>
  <si>
    <t>110</t>
  </si>
  <si>
    <t>120</t>
  </si>
  <si>
    <t>130</t>
  </si>
  <si>
    <t>190</t>
  </si>
  <si>
    <t>215</t>
  </si>
  <si>
    <t>220</t>
  </si>
  <si>
    <t>230</t>
  </si>
  <si>
    <t>249</t>
  </si>
  <si>
    <t>250</t>
  </si>
  <si>
    <t>261</t>
  </si>
  <si>
    <t>263</t>
  </si>
  <si>
    <t>267</t>
  </si>
  <si>
    <t>270</t>
  </si>
  <si>
    <t>275</t>
  </si>
  <si>
    <t>290</t>
  </si>
  <si>
    <t>310</t>
  </si>
  <si>
    <t>315</t>
  </si>
  <si>
    <t>320</t>
  </si>
  <si>
    <t>330</t>
  </si>
  <si>
    <t>339</t>
  </si>
  <si>
    <t>300</t>
  </si>
  <si>
    <t>340</t>
  </si>
  <si>
    <t>350</t>
  </si>
  <si>
    <t>359</t>
  </si>
  <si>
    <t>390</t>
  </si>
  <si>
    <t>400</t>
  </si>
  <si>
    <t>407</t>
  </si>
  <si>
    <t>412</t>
  </si>
  <si>
    <t>415</t>
  </si>
  <si>
    <t>425</t>
  </si>
  <si>
    <t>430</t>
  </si>
  <si>
    <t>443</t>
  </si>
  <si>
    <t>450</t>
  </si>
  <si>
    <t>453</t>
  </si>
  <si>
    <t>469</t>
  </si>
  <si>
    <t>474</t>
  </si>
  <si>
    <t>475</t>
  </si>
  <si>
    <t>476</t>
  </si>
  <si>
    <t>478</t>
  </si>
  <si>
    <t>480</t>
  </si>
  <si>
    <t>490</t>
  </si>
  <si>
    <t>500</t>
  </si>
  <si>
    <t>505</t>
  </si>
  <si>
    <t>513</t>
  </si>
  <si>
    <t>530</t>
  </si>
  <si>
    <t>600</t>
  </si>
  <si>
    <t>610</t>
  </si>
  <si>
    <t>690</t>
  </si>
  <si>
    <t>790</t>
  </si>
  <si>
    <t>800</t>
  </si>
  <si>
    <t>805</t>
  </si>
  <si>
    <t>810</t>
  </si>
  <si>
    <t>815</t>
  </si>
  <si>
    <t>820</t>
  </si>
  <si>
    <t>830</t>
  </si>
  <si>
    <t>832</t>
  </si>
  <si>
    <t>834</t>
  </si>
  <si>
    <t>840</t>
  </si>
  <si>
    <t>855</t>
  </si>
  <si>
    <t>860</t>
  </si>
  <si>
    <t>865</t>
  </si>
  <si>
    <t>870</t>
  </si>
  <si>
    <t>880</t>
  </si>
  <si>
    <t>890</t>
  </si>
  <si>
    <t>900</t>
  </si>
  <si>
    <t>910</t>
  </si>
  <si>
    <t>920</t>
  </si>
  <si>
    <t>950</t>
  </si>
  <si>
    <t>010</t>
  </si>
  <si>
    <t>020</t>
  </si>
  <si>
    <t>025</t>
  </si>
  <si>
    <t>030</t>
  </si>
  <si>
    <t>040</t>
  </si>
  <si>
    <t>050</t>
  </si>
  <si>
    <t>060</t>
  </si>
  <si>
    <t>070</t>
  </si>
  <si>
    <t>080</t>
  </si>
  <si>
    <t>115</t>
  </si>
  <si>
    <t>015</t>
  </si>
  <si>
    <t>021</t>
  </si>
  <si>
    <t>023</t>
  </si>
  <si>
    <t>036</t>
  </si>
  <si>
    <t>037</t>
  </si>
  <si>
    <t>033</t>
  </si>
  <si>
    <t>032</t>
  </si>
  <si>
    <t>031</t>
  </si>
  <si>
    <t>034</t>
  </si>
  <si>
    <t>035</t>
  </si>
  <si>
    <t>039</t>
  </si>
  <si>
    <t>045</t>
  </si>
  <si>
    <t>046</t>
  </si>
  <si>
    <t>051</t>
  </si>
  <si>
    <t>055</t>
  </si>
  <si>
    <t>053</t>
  </si>
  <si>
    <t>054</t>
  </si>
  <si>
    <t>056</t>
  </si>
  <si>
    <t>058</t>
  </si>
  <si>
    <t>059</t>
  </si>
  <si>
    <t>065</t>
  </si>
  <si>
    <t>069</t>
  </si>
  <si>
    <t>999</t>
  </si>
  <si>
    <t>052</t>
  </si>
  <si>
    <t>066</t>
  </si>
  <si>
    <t>073</t>
  </si>
  <si>
    <t>074</t>
  </si>
  <si>
    <t>075</t>
  </si>
  <si>
    <t>076</t>
  </si>
  <si>
    <t>071</t>
  </si>
  <si>
    <t>077</t>
  </si>
  <si>
    <t>078</t>
  </si>
  <si>
    <t>079</t>
  </si>
  <si>
    <t>081</t>
  </si>
  <si>
    <t>082</t>
  </si>
  <si>
    <t>083</t>
  </si>
  <si>
    <t>084</t>
  </si>
  <si>
    <t>085</t>
  </si>
  <si>
    <t>089</t>
  </si>
  <si>
    <t>090</t>
  </si>
  <si>
    <t>086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</si>
  <si>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</si>
  <si>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</si>
  <si>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</si>
  <si>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</si>
  <si>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</si>
  <si>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</si>
  <si>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</si>
  <si>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</si>
  <si>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</si>
  <si>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107</t>
  </si>
  <si>
    <t>109</t>
  </si>
  <si>
    <t>121</t>
  </si>
  <si>
    <t>122</t>
  </si>
  <si>
    <t>140</t>
  </si>
  <si>
    <t>150</t>
  </si>
  <si>
    <t>160</t>
  </si>
  <si>
    <t>088</t>
  </si>
  <si>
    <t>101</t>
  </si>
  <si>
    <t>239</t>
  </si>
  <si>
    <t>269</t>
  </si>
  <si>
    <t>459</t>
  </si>
  <si>
    <t>479</t>
  </si>
  <si>
    <t>580</t>
  </si>
  <si>
    <t>590</t>
  </si>
  <si>
    <t>- Avskrivningar</t>
  </si>
  <si>
    <t>+/- Omklassificeringar</t>
  </si>
  <si>
    <t>+/- Övriga förändringar</t>
  </si>
  <si>
    <t>990</t>
  </si>
  <si>
    <t>991</t>
  </si>
  <si>
    <t>992</t>
  </si>
  <si>
    <t>993</t>
  </si>
  <si>
    <t>994</t>
  </si>
  <si>
    <t>995</t>
  </si>
  <si>
    <t>Eget kapital, avsättningar och skulder</t>
  </si>
  <si>
    <t>Verksamhetens intäkter</t>
  </si>
  <si>
    <t>Verksamhetens kostnader</t>
  </si>
  <si>
    <t>Kommunal regi</t>
  </si>
  <si>
    <t>Därav pedagogisk verksamhet och omsorg (kostnad för personal)</t>
  </si>
  <si>
    <t>Förskola, personalkostnad andel av total kostnad kommunal regi.</t>
  </si>
  <si>
    <t>Övr periodiseringar</t>
  </si>
  <si>
    <t>381, 382, 384</t>
  </si>
  <si>
    <t>735, 738, 739</t>
  </si>
  <si>
    <t>Övriga insatser i ordinärt boende</t>
  </si>
  <si>
    <t>Återföring av nedskrivning av finansiella tillgångar</t>
  </si>
  <si>
    <t>IB Anläggningstillgångar</t>
  </si>
  <si>
    <t>UB Anläggningstillgångar</t>
  </si>
  <si>
    <t>Insatser till personer med funktionsnedsättning (ej LSS/SFB)</t>
  </si>
  <si>
    <t>Insatser enligt LSS/SFB</t>
  </si>
  <si>
    <t>Fritidshem, personalkostnad andel av total kostnad kommunal regi.</t>
  </si>
  <si>
    <t>Förskoleklass, personalkostnad andel av total kostnad kommunal regi.</t>
  </si>
  <si>
    <t>Grundskola</t>
  </si>
  <si>
    <t>Grundläggande vuxenutbildning</t>
  </si>
  <si>
    <t>Gymnasial vuxen- och påbyggnadsutbildning</t>
  </si>
  <si>
    <t>251</t>
  </si>
  <si>
    <t>255</t>
  </si>
  <si>
    <t>257</t>
  </si>
  <si>
    <t>351</t>
  </si>
  <si>
    <t>355</t>
  </si>
  <si>
    <t>357</t>
  </si>
  <si>
    <t>35</t>
  </si>
  <si>
    <t>401</t>
  </si>
  <si>
    <t>402</t>
  </si>
  <si>
    <t>404</t>
  </si>
  <si>
    <t>405</t>
  </si>
  <si>
    <t>406</t>
  </si>
  <si>
    <t>408</t>
  </si>
  <si>
    <t>4081</t>
  </si>
  <si>
    <t>431</t>
  </si>
  <si>
    <t>Övriga ansvarsförbindelser (inklusive borgens- o förlustansvar för egnahem o småhus)</t>
  </si>
  <si>
    <t>Pensionsförpliktelser som inte har upptagits bland skulder el. avsättningar inklusive löneskatt på pensionsförpliktelse</t>
  </si>
  <si>
    <t>435</t>
  </si>
  <si>
    <t>439</t>
  </si>
  <si>
    <t>07</t>
  </si>
  <si>
    <t>40</t>
  </si>
  <si>
    <t>43</t>
  </si>
  <si>
    <t>432</t>
  </si>
  <si>
    <t>434</t>
  </si>
  <si>
    <t>436</t>
  </si>
  <si>
    <t>437</t>
  </si>
  <si>
    <t>438</t>
  </si>
  <si>
    <t>4381</t>
  </si>
  <si>
    <t>50</t>
  </si>
  <si>
    <t>501</t>
  </si>
  <si>
    <t>502</t>
  </si>
  <si>
    <t>504</t>
  </si>
  <si>
    <t>506</t>
  </si>
  <si>
    <t>507</t>
  </si>
  <si>
    <t>508</t>
  </si>
  <si>
    <t>5081</t>
  </si>
  <si>
    <t>53</t>
  </si>
  <si>
    <t>531</t>
  </si>
  <si>
    <t>532</t>
  </si>
  <si>
    <t>534</t>
  </si>
  <si>
    <t>535</t>
  </si>
  <si>
    <t>536</t>
  </si>
  <si>
    <t>537</t>
  </si>
  <si>
    <t>538</t>
  </si>
  <si>
    <t>5381</t>
  </si>
  <si>
    <t>70</t>
  </si>
  <si>
    <t>701</t>
  </si>
  <si>
    <t>702</t>
  </si>
  <si>
    <t>706</t>
  </si>
  <si>
    <t>707</t>
  </si>
  <si>
    <t>708</t>
  </si>
  <si>
    <t>7081</t>
  </si>
  <si>
    <t>72</t>
  </si>
  <si>
    <t>721</t>
  </si>
  <si>
    <t>722</t>
  </si>
  <si>
    <t>726</t>
  </si>
  <si>
    <t>727</t>
  </si>
  <si>
    <t>728</t>
  </si>
  <si>
    <t>7281</t>
  </si>
  <si>
    <t>520</t>
  </si>
  <si>
    <t>510</t>
  </si>
  <si>
    <t>Hälso- o sjukvård, primärvård  (rad 500+505)</t>
  </si>
  <si>
    <t>Övrig utbildning (rad 475+476+478)</t>
  </si>
  <si>
    <t xml:space="preserve">Institutionsvård vuxna </t>
  </si>
  <si>
    <t>569</t>
  </si>
  <si>
    <t>559</t>
  </si>
  <si>
    <t>575</t>
  </si>
  <si>
    <t>571</t>
  </si>
  <si>
    <t xml:space="preserve">Korttidsboende </t>
  </si>
  <si>
    <t>Hemtjänst i ordinärt  boende</t>
  </si>
  <si>
    <t>Dagverksamhet,  ordinärt boende</t>
  </si>
  <si>
    <t>Hemtjänst i ordinärt boende</t>
  </si>
  <si>
    <t>Boendestöd i ordinärt boende</t>
  </si>
  <si>
    <t>585</t>
  </si>
  <si>
    <t>103</t>
  </si>
  <si>
    <t>Summering</t>
  </si>
  <si>
    <t>Försäljning av exploateringsfastigheter, tomträtter</t>
  </si>
  <si>
    <t>Div. förluster, övr.riskk. [735,737,738,739]</t>
  </si>
  <si>
    <r>
      <t>Insatser enligt LSS/SFB</t>
    </r>
    <r>
      <rPr>
        <b/>
        <vertAlign val="superscript"/>
        <sz val="7"/>
        <rFont val="Helvetica"/>
        <family val="2"/>
      </rPr>
      <t>1</t>
    </r>
  </si>
  <si>
    <t xml:space="preserve">Insatser till personer med funktionneds. </t>
  </si>
  <si>
    <t>BIDRAG TILL STATLIG INFRASTRUKTUR</t>
  </si>
  <si>
    <t xml:space="preserve">Sammanlagt beslutat bidrag till statlig infrastruktur </t>
  </si>
  <si>
    <t>Övriga periodiseringar</t>
  </si>
  <si>
    <t>901</t>
  </si>
  <si>
    <t>Övrigt</t>
  </si>
  <si>
    <t>Verksamhet/skolform</t>
  </si>
  <si>
    <t/>
  </si>
  <si>
    <t>Landsting</t>
  </si>
  <si>
    <t>0799</t>
  </si>
  <si>
    <t>07991</t>
  </si>
  <si>
    <t>Därav avgifter för verksamhet i enskild regi</t>
  </si>
  <si>
    <t>Nyckeltal kr/inv</t>
  </si>
  <si>
    <t>Däravposter till kommunernas tillgångar</t>
  </si>
  <si>
    <t>Däravposter till kommunernas skulder</t>
  </si>
  <si>
    <t>varav utlämnade lån till koncernföretag</t>
  </si>
  <si>
    <t>Värde tkr</t>
  </si>
  <si>
    <t>Värde, Tkr</t>
  </si>
  <si>
    <t>Externa lokalhyror</t>
  </si>
  <si>
    <t>Interna köp och övriga interna kostnader</t>
  </si>
  <si>
    <t>Fördelad gemensam verksamhet</t>
  </si>
  <si>
    <t>Externa bostadshyror o lokalhyror</t>
  </si>
  <si>
    <t>Övriga externa intäkter</t>
  </si>
  <si>
    <t>Bruttokostnad  ./. Interna intäkter och försäljning till andra kommuner och landsting</t>
  </si>
  <si>
    <t>Nyckeltal, kronor / invånare</t>
  </si>
  <si>
    <t>Föreningar stiftelser</t>
  </si>
  <si>
    <t>Privata företag</t>
  </si>
  <si>
    <t>357, 359</t>
  </si>
  <si>
    <t>Staten och statl. myndigheter</t>
  </si>
  <si>
    <t>Förs.av versamh. till landsting</t>
  </si>
  <si>
    <t>Driftbidrag fr. staten, statl. mynd. AF</t>
  </si>
  <si>
    <t>Driftbidrag från EU</t>
  </si>
  <si>
    <t>Markhyror och bidrag</t>
  </si>
  <si>
    <t>BRUTTO-KOSTNAD</t>
  </si>
  <si>
    <t>BRUTTO-INTÄKT</t>
  </si>
  <si>
    <t>Rad- nr</t>
  </si>
  <si>
    <t>440</t>
  </si>
  <si>
    <t>Förskoleklass</t>
  </si>
  <si>
    <t xml:space="preserve"> Förskoleklass</t>
  </si>
  <si>
    <t>Därav debiterat i kolumn M</t>
  </si>
  <si>
    <t>Särskilt boende/annat boende</t>
  </si>
  <si>
    <t>Realiserade valutakursvinster</t>
  </si>
  <si>
    <t>-Reaförlust</t>
  </si>
  <si>
    <t>986</t>
  </si>
  <si>
    <t>987</t>
  </si>
  <si>
    <t>988</t>
  </si>
  <si>
    <t>989</t>
  </si>
  <si>
    <t>470</t>
  </si>
  <si>
    <t>472</t>
  </si>
  <si>
    <t>Upplupna skatteintäkter</t>
  </si>
  <si>
    <t>Vård och omsorg om äldre</t>
  </si>
  <si>
    <t xml:space="preserve">Vård för vuxna med missbruksproblem </t>
  </si>
  <si>
    <t xml:space="preserve">Barn- och ungdomsvård </t>
  </si>
  <si>
    <t xml:space="preserve">Familjerätt och familjerådgivning </t>
  </si>
  <si>
    <t>Kommun-</t>
  </si>
  <si>
    <t>+ Reavinst</t>
  </si>
  <si>
    <t>Kommunägda företag</t>
  </si>
  <si>
    <t>Familjehemsvård för vuxna</t>
  </si>
  <si>
    <t>Därav försäljn. av verksamhet till andra kommuner</t>
  </si>
  <si>
    <t xml:space="preserve"> Avgifter</t>
  </si>
  <si>
    <t>Mark, byggn. och tekn. Anläggningar [11]</t>
  </si>
  <si>
    <t>Maskiner och inventarier [12]</t>
  </si>
  <si>
    <t>Finansiella anläggnings-tillg.                 [13 ej 139]</t>
  </si>
  <si>
    <t>Kalkylerad personal-omkostnad</t>
  </si>
  <si>
    <t>Kalkylerade kapital-kostnader</t>
  </si>
  <si>
    <t>540</t>
  </si>
  <si>
    <t>519</t>
  </si>
  <si>
    <t>Insatser till personer med funktionsnedsättning totalt (inkl LSS)</t>
  </si>
  <si>
    <t>Från driftredovis-ningen</t>
  </si>
  <si>
    <t xml:space="preserve"> Undervisning</t>
  </si>
  <si>
    <t>Skolskjuts, reseersättning o inackordering</t>
  </si>
  <si>
    <t xml:space="preserve"> Fördelad gemensam verksamhet</t>
  </si>
  <si>
    <t>Undervisning</t>
  </si>
  <si>
    <t>Förändring i %</t>
  </si>
  <si>
    <t>Nämnare nyckeltal</t>
  </si>
  <si>
    <t>Differens mot drift-  redovisningen</t>
  </si>
  <si>
    <t>inv 65-w år</t>
  </si>
  <si>
    <t>inv 0-64 år</t>
  </si>
  <si>
    <t>inv 0-22 år</t>
  </si>
  <si>
    <t>Vård och omsorg om äldre (från motpart)</t>
  </si>
  <si>
    <t>Summa familjerätt och familjerådgivning</t>
  </si>
  <si>
    <t>invånare</t>
  </si>
  <si>
    <t>Därav undervisning (kostnad för personal)</t>
  </si>
  <si>
    <t>Finansiella nyckeltal</t>
  </si>
  <si>
    <t>Likvida medel i % av externa driftkostnader</t>
  </si>
  <si>
    <t>Försäljn.av anl.tillg. i % av skatteintäkter, generella statsbidrag o utj.</t>
  </si>
  <si>
    <t>Andel investeringar som finansieras med försäljn. av anl.tillg.</t>
  </si>
  <si>
    <t>Måltider</t>
  </si>
  <si>
    <t>Kommuninformation:</t>
  </si>
  <si>
    <t>Invånare:</t>
  </si>
  <si>
    <t>Inv. 7-15 år:</t>
  </si>
  <si>
    <t>Kommun:</t>
  </si>
  <si>
    <t>KommunID:</t>
  </si>
  <si>
    <t>Förskola, avgiftsfinansierringsgrad %</t>
  </si>
  <si>
    <t>F</t>
  </si>
  <si>
    <t>H</t>
  </si>
  <si>
    <t>I</t>
  </si>
  <si>
    <t>Fritidshem, avgiftsfinansieringsgrad</t>
  </si>
  <si>
    <t>Soliditet, % enligt balansräkningen</t>
  </si>
  <si>
    <t>Soliditet, % inkl. pensionsåtaganden före 1998</t>
  </si>
  <si>
    <t>Långfristiga skulder exkl. utlåning till kommunägda bolag</t>
  </si>
  <si>
    <t>Verksamhetens nettokostnader / Skatteintäkter, generella statsbidrag och utj.</t>
  </si>
  <si>
    <t>Finansnetto / Skatteintäkter, generella statsbidrag och utjämning</t>
  </si>
  <si>
    <t>Förutbet. kostnader o uppl. Intäkter, exkl.uppl skatteint.</t>
  </si>
  <si>
    <t>Resultat före extraordinära poster / Skatteintäkter, generella statsbidrag och utj.</t>
  </si>
  <si>
    <t>Verksamhetens självfinansieringsgrad</t>
  </si>
  <si>
    <t>Förs. expl.fastigheter, tomträtter [37]</t>
  </si>
  <si>
    <t>Interna lokal-kostnader</t>
  </si>
  <si>
    <t>Utlämnade lån till koncernföretag  (rad 088)</t>
  </si>
  <si>
    <t>572, 5635</t>
  </si>
  <si>
    <t>56 [ej 5635]</t>
  </si>
  <si>
    <t xml:space="preserve">Därav från gemensamma verksamheter  </t>
  </si>
  <si>
    <t xml:space="preserve">Boende enligt LSS för barn och unga </t>
  </si>
  <si>
    <t>Förskola, fritidshem och annan pedagogisk verksamhet</t>
  </si>
  <si>
    <t>Därav lokalkostnader</t>
  </si>
  <si>
    <t>Lokalkostnader</t>
  </si>
  <si>
    <t>Invånarantal 19 - 64</t>
  </si>
  <si>
    <t>Förskola, totalt</t>
  </si>
  <si>
    <t>Fritidshem, totalt</t>
  </si>
  <si>
    <t>Förskoleklass, totalt</t>
  </si>
  <si>
    <t>Grundskola, totalt</t>
  </si>
  <si>
    <t>Gymnasieskola, totalt</t>
  </si>
  <si>
    <t>Gymnasiesärskola, totalt</t>
  </si>
  <si>
    <t>Specificering av vissa intäkter (i kol.övr. externa intäkter)</t>
  </si>
  <si>
    <t>Grundläggande vuxenutbildning, totalt</t>
  </si>
  <si>
    <t>Gymnasial vuxen- och påbyggnadsutbildning, totalt</t>
  </si>
  <si>
    <t>1321</t>
  </si>
  <si>
    <t>Rad nr</t>
  </si>
  <si>
    <t>5731</t>
  </si>
  <si>
    <t>5732</t>
  </si>
  <si>
    <t>07911</t>
  </si>
  <si>
    <t>07912</t>
  </si>
  <si>
    <t>07951</t>
  </si>
  <si>
    <t>2599</t>
  </si>
  <si>
    <t>25991</t>
  </si>
  <si>
    <t>4091</t>
  </si>
  <si>
    <t>4092</t>
  </si>
  <si>
    <t>4094</t>
  </si>
  <si>
    <t>4391</t>
  </si>
  <si>
    <t>4392</t>
  </si>
  <si>
    <t>4393</t>
  </si>
  <si>
    <t>4394</t>
  </si>
  <si>
    <t>5091</t>
  </si>
  <si>
    <t>5092</t>
  </si>
  <si>
    <t>5093</t>
  </si>
  <si>
    <t>5094</t>
  </si>
  <si>
    <t>5391</t>
  </si>
  <si>
    <t>5392</t>
  </si>
  <si>
    <t>5393</t>
  </si>
  <si>
    <t>5394</t>
  </si>
  <si>
    <t>inv 23-w år</t>
  </si>
  <si>
    <t>Beteckning</t>
  </si>
  <si>
    <t>Grundsärskola, totalt</t>
  </si>
  <si>
    <t>87</t>
  </si>
  <si>
    <t>25911</t>
  </si>
  <si>
    <t>25912</t>
  </si>
  <si>
    <t>25951</t>
  </si>
  <si>
    <t>88</t>
  </si>
  <si>
    <t>35911</t>
  </si>
  <si>
    <t>35912</t>
  </si>
  <si>
    <t>35951</t>
  </si>
  <si>
    <t>89</t>
  </si>
  <si>
    <t>80</t>
  </si>
  <si>
    <t>40911</t>
  </si>
  <si>
    <t>40912</t>
  </si>
  <si>
    <t>40931</t>
  </si>
  <si>
    <t>90</t>
  </si>
  <si>
    <t>81</t>
  </si>
  <si>
    <t>43911</t>
  </si>
  <si>
    <t>43912</t>
  </si>
  <si>
    <t>43921</t>
  </si>
  <si>
    <t>43931</t>
  </si>
  <si>
    <t>91</t>
  </si>
  <si>
    <t>82</t>
  </si>
  <si>
    <t>50911</t>
  </si>
  <si>
    <t>50912</t>
  </si>
  <si>
    <t>50921</t>
  </si>
  <si>
    <t>50931</t>
  </si>
  <si>
    <t>92</t>
  </si>
  <si>
    <t>83</t>
  </si>
  <si>
    <t>53911</t>
  </si>
  <si>
    <t>53912</t>
  </si>
  <si>
    <t>53921</t>
  </si>
  <si>
    <t>53931</t>
  </si>
  <si>
    <t>inv 23-64 år</t>
  </si>
  <si>
    <t>Grundsärskola</t>
  </si>
  <si>
    <r>
      <t>Summa insatser till personer med funktionsnedsättning (exkl LSS/SFB</t>
    </r>
    <r>
      <rPr>
        <b/>
        <vertAlign val="superscript"/>
        <sz val="7"/>
        <rFont val="Helvetica"/>
        <family val="2"/>
      </rPr>
      <t>1</t>
    </r>
    <r>
      <rPr>
        <b/>
        <sz val="7"/>
        <rFont val="Helvetica"/>
        <family val="2"/>
      </rPr>
      <t>)</t>
    </r>
  </si>
  <si>
    <r>
      <t xml:space="preserve">Insatser enligt LSS/SFB </t>
    </r>
    <r>
      <rPr>
        <b/>
        <sz val="7"/>
        <rFont val="Calibri"/>
        <family val="2"/>
      </rPr>
      <t>¹</t>
    </r>
    <r>
      <rPr>
        <b/>
        <vertAlign val="superscript"/>
        <sz val="7"/>
        <rFont val="Calibri"/>
        <family val="2"/>
      </rPr>
      <t>,2</t>
    </r>
    <r>
      <rPr>
        <b/>
        <sz val="7"/>
        <rFont val="Calibri"/>
        <family val="2"/>
      </rPr>
      <t>)</t>
    </r>
  </si>
  <si>
    <r>
      <t>Personlig assistans enl. LSS/SFB</t>
    </r>
    <r>
      <rPr>
        <vertAlign val="superscript"/>
        <sz val="7"/>
        <rFont val="Helvetica"/>
        <family val="2"/>
      </rPr>
      <t>1</t>
    </r>
  </si>
  <si>
    <r>
      <t>Summa insatser enligt LSS/SFB</t>
    </r>
    <r>
      <rPr>
        <b/>
        <vertAlign val="superscript"/>
        <sz val="7"/>
        <rFont val="Helvetica"/>
        <family val="2"/>
      </rPr>
      <t>1</t>
    </r>
  </si>
  <si>
    <t>2) Kostnaderna och intäkterna för LSS bruttoredovisas liksom övriga verksamheter</t>
  </si>
  <si>
    <t>Skattekostnader/bokslutsdispositioner</t>
  </si>
  <si>
    <t>1) De bestämmelser om personlig assistans som tidigare fanns i LASS är fr.o.m. år 2011 inordnade i Socialförsäkringsbalken (SFB, 51 kap.).</t>
  </si>
  <si>
    <r>
      <t>Omsättningstillgångar</t>
    </r>
    <r>
      <rPr>
        <sz val="7"/>
        <rFont val="Helvetica"/>
        <family val="2"/>
      </rPr>
      <t xml:space="preserve">                                       </t>
    </r>
  </si>
  <si>
    <t>C</t>
  </si>
  <si>
    <t>E</t>
  </si>
  <si>
    <t>G</t>
  </si>
  <si>
    <t>VKV</t>
  </si>
  <si>
    <t>VKVK</t>
  </si>
  <si>
    <t>D</t>
  </si>
  <si>
    <t>Rad-</t>
  </si>
  <si>
    <t>Text</t>
  </si>
  <si>
    <t>Kommunen</t>
  </si>
  <si>
    <t>nr</t>
  </si>
  <si>
    <t>Avskrivningar</t>
  </si>
  <si>
    <t>Verksamhetens nettokostnader</t>
  </si>
  <si>
    <t>Skatteintäkter</t>
  </si>
  <si>
    <t>Finansiella intäkter</t>
  </si>
  <si>
    <t>Finansiella kostnader</t>
  </si>
  <si>
    <t>Resultat före extraordinära poster</t>
  </si>
  <si>
    <t>Extraordinära intäkter</t>
  </si>
  <si>
    <t>Extraordinära kostnader</t>
  </si>
  <si>
    <t>Årets resultat</t>
  </si>
  <si>
    <t>Rad</t>
  </si>
  <si>
    <t>Anläggningstillgångar</t>
  </si>
  <si>
    <t>Immateriella anläggningstillgångar</t>
  </si>
  <si>
    <t>Mark, byggn. och tekn. anläggningar</t>
  </si>
  <si>
    <t>Maskiner och inventarier</t>
  </si>
  <si>
    <t>Summa materiella anläggningstillg.</t>
  </si>
  <si>
    <t>Aktier och andelar, bostadsrätter</t>
  </si>
  <si>
    <t>Långfristiga fordringar</t>
  </si>
  <si>
    <t>Summa finansiella anläggningstillg.</t>
  </si>
  <si>
    <t>Summering av verksamhetens intäkter</t>
  </si>
  <si>
    <t>Summering av verksamhetens kostnader</t>
  </si>
  <si>
    <t>SUMMA ANLÄGGNINGSTILLGÅNGAR</t>
  </si>
  <si>
    <t>15</t>
  </si>
  <si>
    <t>Kundfordringar</t>
  </si>
  <si>
    <t>16</t>
  </si>
  <si>
    <t>Diverse kortfristiga fordringar</t>
  </si>
  <si>
    <t>165</t>
  </si>
  <si>
    <t>182</t>
  </si>
  <si>
    <t>Aktier och andelar</t>
  </si>
  <si>
    <t>183</t>
  </si>
  <si>
    <t>Värdereglering av kortfristiga placeringar</t>
  </si>
  <si>
    <t>Obligationer, förlagsbevis m.m.</t>
  </si>
  <si>
    <t>184</t>
  </si>
  <si>
    <t>Certifikat</t>
  </si>
  <si>
    <t>189</t>
  </si>
  <si>
    <t>15-18</t>
  </si>
  <si>
    <t>Summa kortfr. fordr. och placeringar</t>
  </si>
  <si>
    <t>Kassa och bank (likvida medel)</t>
  </si>
  <si>
    <t>14-19</t>
  </si>
  <si>
    <t>SUMMA OMSÄTTNINGSTILLG.</t>
  </si>
  <si>
    <t>10-19</t>
  </si>
  <si>
    <t>SUMMA TILLGÅNGAR</t>
  </si>
  <si>
    <t>Eget kapital, ingående värde</t>
  </si>
  <si>
    <t>221</t>
  </si>
  <si>
    <t>222</t>
  </si>
  <si>
    <t>225</t>
  </si>
  <si>
    <t>228</t>
  </si>
  <si>
    <t>Andra avsättningar</t>
  </si>
  <si>
    <t>2281</t>
  </si>
  <si>
    <t>SUMMA AVSÄTTNINGAR</t>
  </si>
  <si>
    <t>Lån i banker och kreditinstitut</t>
  </si>
  <si>
    <t>Lån i utländsk valuta</t>
  </si>
  <si>
    <t>Långfristiga skulder till koncernföretag</t>
  </si>
  <si>
    <t>Checkkredit, övr.långfristiga skulder</t>
  </si>
  <si>
    <t>237</t>
  </si>
  <si>
    <t>Långfristig leasingskuld</t>
  </si>
  <si>
    <t>Långfristiga skulder, totalt</t>
  </si>
  <si>
    <t>24</t>
  </si>
  <si>
    <t>Kortfristiga skulder till kreditinstitut och kunder</t>
  </si>
  <si>
    <t>25</t>
  </si>
  <si>
    <t>Leverantörsskulder</t>
  </si>
  <si>
    <t>Skulder till staten</t>
  </si>
  <si>
    <t>292</t>
  </si>
  <si>
    <t>Upplupna semesterlöner</t>
  </si>
  <si>
    <t>2933</t>
  </si>
  <si>
    <t>296</t>
  </si>
  <si>
    <t>Not 1</t>
  </si>
  <si>
    <t>Not 2</t>
  </si>
  <si>
    <t>Övriga kortfristiga skulder</t>
  </si>
  <si>
    <t>24-29</t>
  </si>
  <si>
    <t>Kortfristiga skulder, totalt</t>
  </si>
  <si>
    <t>23-29</t>
  </si>
  <si>
    <t>SUMMA SKULDER</t>
  </si>
  <si>
    <t>20,22-29</t>
  </si>
  <si>
    <t>SKULDER, AVSÄTT.O EGET KAPITAL</t>
  </si>
  <si>
    <t>Borgen o andra förpliktelser gentemot kommunala bostadsföretag</t>
  </si>
  <si>
    <t>Borgen o andra förplikt. gentemot övriga bostadsföretag/föreningar</t>
  </si>
  <si>
    <t>Borgen o andra förpliktelser gentemot övriga kommunala företag</t>
  </si>
  <si>
    <t>SUMMA ANSVARSFÖRBINDELSER</t>
  </si>
  <si>
    <t>Förrättnings- och granskningsavgifter</t>
  </si>
  <si>
    <t>Taxor och avgifter, övrigt</t>
  </si>
  <si>
    <t>Taxor och avgifter</t>
  </si>
  <si>
    <t>Bostads- och lokalhyror</t>
  </si>
  <si>
    <t>Markhyror och arrenden mm.</t>
  </si>
  <si>
    <t>343-349</t>
  </si>
  <si>
    <t>Hyror och arrenden</t>
  </si>
  <si>
    <t>Bidrag</t>
  </si>
  <si>
    <t>Bidrag till enskilda</t>
  </si>
  <si>
    <t>Bostadssociala bidrag</t>
  </si>
  <si>
    <t>Löner mm.</t>
  </si>
  <si>
    <t>Personal</t>
  </si>
  <si>
    <t>Livsmedel</t>
  </si>
  <si>
    <t>Kontorsmaterial</t>
  </si>
  <si>
    <t>Material, övrigt</t>
  </si>
  <si>
    <t>Material</t>
  </si>
  <si>
    <t>Tillfälligt inhyrd personal</t>
  </si>
  <si>
    <t>Hyra / leasing av anläggningstillgångar</t>
  </si>
  <si>
    <t>Tele-, It-kommunikation o. postbefordran</t>
  </si>
  <si>
    <t>Transporter</t>
  </si>
  <si>
    <t>Lokalhyror</t>
  </si>
  <si>
    <t>Markhyror</t>
  </si>
  <si>
    <t>Tjänster, övrigt</t>
  </si>
  <si>
    <t>Tjänster, inkl köp av verksamhet</t>
  </si>
  <si>
    <t>Allmän kommunalskatt</t>
  </si>
  <si>
    <t>Övriga skatter</t>
  </si>
  <si>
    <t>Inkomstutjämningsavgift</t>
  </si>
  <si>
    <t>Regleringsavgift</t>
  </si>
  <si>
    <t>Kostnadsutjämningsavgift</t>
  </si>
  <si>
    <t>Avgift till LSS-utjämningen</t>
  </si>
  <si>
    <t>Avgifter i utjämningssystemen</t>
  </si>
  <si>
    <t>Inkomstutjämningsbidrag</t>
  </si>
  <si>
    <t>Strukturbidrag</t>
  </si>
  <si>
    <t>Införandebidrag</t>
  </si>
  <si>
    <t>Regleringsbidrag</t>
  </si>
  <si>
    <t>Kostnadsutjämningsbidrag</t>
  </si>
  <si>
    <t>Bidrag för LSS-utjämning</t>
  </si>
  <si>
    <t>Bidrag från utjämningssystemen och generella statliga bidrag</t>
  </si>
  <si>
    <t>Utdelning på aktier och andelar</t>
  </si>
  <si>
    <t>Ränteintäkter</t>
  </si>
  <si>
    <t>Ränteintäkter på kundfordringar</t>
  </si>
  <si>
    <t>855, 857</t>
  </si>
  <si>
    <t>Räntekostn. för lev.skulder o bankkostnader</t>
  </si>
  <si>
    <t>U</t>
  </si>
  <si>
    <t>V</t>
  </si>
  <si>
    <t>W</t>
  </si>
  <si>
    <t>X</t>
  </si>
  <si>
    <t>Z</t>
  </si>
  <si>
    <t>ZF</t>
  </si>
  <si>
    <t>ZM</t>
  </si>
  <si>
    <t>Y</t>
  </si>
  <si>
    <t>YJ</t>
  </si>
  <si>
    <t>Koncernen</t>
  </si>
  <si>
    <t xml:space="preserve">Orealiserade valutakursvinster  </t>
  </si>
  <si>
    <t>Nedskrivning av finansiella tillgångar</t>
  </si>
  <si>
    <t>avgifter</t>
  </si>
  <si>
    <t>Tillgångar</t>
  </si>
  <si>
    <t>Förråd, lager, exploateringsfastigh.</t>
  </si>
  <si>
    <t>1351</t>
  </si>
  <si>
    <t>1661</t>
  </si>
  <si>
    <t>246</t>
  </si>
  <si>
    <t>Årets resultat / Skatteintäkter, generella statsbidrag och utj.</t>
  </si>
  <si>
    <t>Investeringar i % av skatteintäkter, generella statsbidrag och utj.</t>
  </si>
  <si>
    <t>Avgifter till utjämningssytemen</t>
  </si>
  <si>
    <t>Grundskola inkl förskoleklass och grundsärskola</t>
  </si>
  <si>
    <t xml:space="preserve">Bidrag från utjämningssystemen och generella </t>
  </si>
  <si>
    <t>statliga bidrag</t>
  </si>
  <si>
    <t xml:space="preserve"> 849 ej 8498</t>
  </si>
  <si>
    <t xml:space="preserve">Realiserade valutakursförluster </t>
  </si>
  <si>
    <t>Orealiserade valutakursförluster</t>
  </si>
  <si>
    <t>Övr. finans. intäkter</t>
  </si>
  <si>
    <t>Övr. finans. kostn.</t>
  </si>
  <si>
    <t>Förlust vid avyttring av materiella anl.</t>
  </si>
  <si>
    <t xml:space="preserve">Verksamhetens intäkter </t>
  </si>
  <si>
    <t xml:space="preserve">Verksamhetens kostnader </t>
  </si>
  <si>
    <t>Däravposter till verksamhetens kostnader</t>
  </si>
  <si>
    <t>Förändring</t>
  </si>
  <si>
    <t>procent</t>
  </si>
  <si>
    <t>Borgensförbindelser och övriga ansvarsförbindelser</t>
  </si>
  <si>
    <t xml:space="preserve">Förskola, fritidshem o annan ped.verksamhet totalt </t>
  </si>
  <si>
    <t>Förskola, fritidshem o annan pedagogisk verksamhet, totalt</t>
  </si>
  <si>
    <t>Därav interna intäkter</t>
  </si>
  <si>
    <t xml:space="preserve">Korttidsboende / Korttidsvård </t>
  </si>
  <si>
    <t>Elevhälsa</t>
  </si>
  <si>
    <t>563 [ej 5635]</t>
  </si>
  <si>
    <t>år 2013</t>
  </si>
  <si>
    <t>Föränd. %  2012 - 2013</t>
  </si>
  <si>
    <t>Kostnader 2013</t>
  </si>
  <si>
    <t>BAS 13</t>
  </si>
  <si>
    <t>del av 15</t>
  </si>
  <si>
    <t>del av 25</t>
  </si>
  <si>
    <t>30, 369</t>
  </si>
  <si>
    <t>Övriga hyror och arrenden</t>
  </si>
  <si>
    <t>Driftbidrag, motpart kommuner o landsting</t>
  </si>
  <si>
    <t>Däravposter till verksamhetens intäkter</t>
  </si>
  <si>
    <t>Försäljning av verksamhet, motpart landsting</t>
  </si>
  <si>
    <t>Försäljning av verksamhet, motpart kommun</t>
  </si>
  <si>
    <t>Avgår: återföring av orealiserade förluster i värdepapper</t>
  </si>
  <si>
    <t>Årets resultat efter balanskravsjusteringar</t>
  </si>
  <si>
    <t>Bidrag till statlig infrastruktur</t>
  </si>
  <si>
    <t>4541</t>
  </si>
  <si>
    <t>Kostnadsföring bidrag till statlig infrastruktur</t>
  </si>
  <si>
    <t>Upplösning aktiverat bidr. till stat. infrastruktur</t>
  </si>
  <si>
    <t>Förändring av avsättning</t>
  </si>
  <si>
    <t>Försäljningsintäker,  övriga ersättningar och intäkter</t>
  </si>
  <si>
    <t>Erhållna ersättningar för personlig assistent (FK)</t>
  </si>
  <si>
    <t>Särskild momsersättning vid köp av ej skattepliktig verksamhet</t>
  </si>
  <si>
    <t>Investeringsbidrag (periodiserade över nyttjandetid), övriga bidrag (driftbidrag)</t>
  </si>
  <si>
    <t>Särsk. löneskatt, exkl. särsk.lönesk.pens.avs.</t>
  </si>
  <si>
    <t>Försäljn. av verksamheter och tjänster</t>
  </si>
  <si>
    <t>Bidrag till föreningar, komm.förb., företag m.fl.</t>
  </si>
  <si>
    <t>Lämnade bidrag</t>
  </si>
  <si>
    <t>Pensionsförsäkringspremier</t>
  </si>
  <si>
    <t>Pensionsutbetalningar avseende pensioner</t>
  </si>
  <si>
    <t>Husbyggnads-, anläggnings- o reparationsentrenader</t>
  </si>
  <si>
    <t>Köp av huvudverksamhet</t>
  </si>
  <si>
    <t>Reparation och underhåll</t>
  </si>
  <si>
    <t>Avsättning för särskild löneskatt på pensioner</t>
  </si>
  <si>
    <t>Avsättn. för återställ. av avfallsdeponier</t>
  </si>
  <si>
    <t>Upplupen pensionskostnad avgiftsbestämd ålderspension</t>
  </si>
  <si>
    <t>761</t>
  </si>
  <si>
    <t>Kommunal fastighetsavgift</t>
  </si>
  <si>
    <t>Förbrukningsinventarier</t>
  </si>
  <si>
    <t>Förlust vid avyttring av finansiella anläggningstillg.</t>
  </si>
  <si>
    <t>Räntekostnader</t>
  </si>
  <si>
    <t>Aktier, andelar och bostadsrätter [132, 137]</t>
  </si>
  <si>
    <t xml:space="preserve">Köp av huvud-verksamhet </t>
  </si>
  <si>
    <t>[30, 34 ej 341, 35-36</t>
  </si>
  <si>
    <t xml:space="preserve">          därav AFA</t>
  </si>
  <si>
    <t>Lämnade bidrag  [45]</t>
  </si>
  <si>
    <t>Mortpart 85</t>
  </si>
  <si>
    <t>Extern motpart, interv.5-7</t>
  </si>
  <si>
    <t>Motpart 87</t>
  </si>
  <si>
    <t>Motpart 82</t>
  </si>
  <si>
    <t>Motpart 84</t>
  </si>
  <si>
    <t>Motpart 81</t>
  </si>
  <si>
    <t>Motpart 86</t>
  </si>
  <si>
    <t>Motpart 83</t>
  </si>
  <si>
    <t>Extern motpart interv. 9</t>
  </si>
  <si>
    <t>[361]                      Motpart 82</t>
  </si>
  <si>
    <t>[361]                       Motpart 84</t>
  </si>
  <si>
    <t>[351]                       Motpart 81</t>
  </si>
  <si>
    <t>Köp av huvud-</t>
  </si>
  <si>
    <t>238</t>
  </si>
  <si>
    <t>Skuld för kostnadsersättningar och investeringsbidrag</t>
  </si>
  <si>
    <t>232, 239</t>
  </si>
  <si>
    <t>Uppl.särsk.lönesk.avgiftsbest.ålderspens.</t>
  </si>
  <si>
    <t>Upplupna sociala avgifter</t>
  </si>
  <si>
    <t>Bränsle, energi och vatten, Drivmedel</t>
  </si>
  <si>
    <t>62, 691</t>
  </si>
  <si>
    <t>8597, 8598</t>
  </si>
  <si>
    <t>361, 363, 365</t>
  </si>
  <si>
    <t>Kostnadsersättningar</t>
  </si>
  <si>
    <t>Övriga främmande tjänster</t>
  </si>
  <si>
    <t>781, 782,784</t>
  </si>
  <si>
    <t>6192, 692, 696, 73, 76</t>
  </si>
  <si>
    <t>Fastighets-, fordons- o trängselskatt, Försäkringspremier o riskkostnader, div.kostnad.</t>
  </si>
  <si>
    <t>Bidrag motpart staten och statliga myndigh.</t>
  </si>
  <si>
    <t>Pensionsutbetalningar intjänade fr.o.m.98</t>
  </si>
  <si>
    <t>Pensutbetalningar intjänade före 98</t>
  </si>
  <si>
    <t>Pens.utbet. särsk. avtalspens., visstidspens.</t>
  </si>
  <si>
    <r>
      <rPr>
        <b/>
        <sz val="7"/>
        <rFont val="Helvetica"/>
        <family val="2"/>
      </rPr>
      <t xml:space="preserve">Not 1: </t>
    </r>
    <r>
      <rPr>
        <sz val="7"/>
        <rFont val="Helvetica"/>
        <family val="2"/>
      </rPr>
      <t xml:space="preserve">402,403, 41, 43, 64 ej 644, 654, 655  </t>
    </r>
  </si>
  <si>
    <t>(Reavinst vid) Försäljning av finans. anläggningstillg.</t>
  </si>
  <si>
    <t>859 ej [8597, 8598]</t>
  </si>
  <si>
    <t>Generella bidrag från staten  m.m.</t>
  </si>
  <si>
    <t>[46]</t>
  </si>
  <si>
    <t>Köp av huvudverksamhet [46]</t>
  </si>
  <si>
    <t>verksamhet [46]</t>
  </si>
  <si>
    <t>617, 618</t>
  </si>
  <si>
    <t>63, 695</t>
  </si>
  <si>
    <t>50, 51, 53, 54, 55x2, 5598</t>
  </si>
  <si>
    <t>[50-51, 53, 54, 55x2, 5598]</t>
  </si>
  <si>
    <t>[55x1, 5597, 60,"ej 601", 61"ej 617,618", 63, 66, 68, 69"ej 691", 70-72, 731-734, 74, 75, 76, 787</t>
  </si>
  <si>
    <t>Kostn.avs. ersättning för pers. assistenter</t>
  </si>
  <si>
    <t>361, 363</t>
  </si>
  <si>
    <t>Försälj.av verksamh. och tjänster, motpart kommun</t>
  </si>
  <si>
    <t>Försälj.av verksamh. och tjänster,motpart landsting</t>
  </si>
  <si>
    <t>Försälj.av verksamh. och tjänster, motpart övr. mm.</t>
  </si>
  <si>
    <t>361 ,363</t>
  </si>
  <si>
    <t>Förs. av verksamh. till annan komm.</t>
  </si>
  <si>
    <t>361</t>
  </si>
  <si>
    <t>Därav köp av huvudverksamhet</t>
  </si>
  <si>
    <t>Motpartsredovisning av köp av huvudverksamhet [46]</t>
  </si>
  <si>
    <t>341</t>
  </si>
  <si>
    <t>651</t>
  </si>
  <si>
    <t>317</t>
  </si>
  <si>
    <t>327</t>
  </si>
  <si>
    <t>087</t>
  </si>
  <si>
    <t>062</t>
  </si>
  <si>
    <t>063</t>
  </si>
  <si>
    <t>064</t>
  </si>
  <si>
    <t>Not 1: 26-27 (ej 271), 289, 29 (ej 292, 293, 296, 298)</t>
  </si>
  <si>
    <t>Driftbidr., motpart staten o statl.myndigheter, exkl.AF</t>
  </si>
  <si>
    <t>Driftbidrag, motpart arbetsförmedlingen</t>
  </si>
  <si>
    <t>del av 453</t>
  </si>
  <si>
    <t xml:space="preserve">6192, 692, 696 </t>
  </si>
  <si>
    <r>
      <rPr>
        <b/>
        <sz val="7"/>
        <rFont val="Helvetica"/>
        <family val="2"/>
      </rPr>
      <t>Not 2</t>
    </r>
    <r>
      <rPr>
        <sz val="7"/>
        <rFont val="Helvetica"/>
        <family val="2"/>
      </rPr>
      <t>: 55x1, 5597, 61 ej [617, 618, 6192], 699, 70 ej 701, 71-72</t>
    </r>
  </si>
  <si>
    <t>808, 809</t>
  </si>
  <si>
    <t>Mellankommunal kostn.utj., Övriga skatter</t>
  </si>
  <si>
    <t>- Försäljningspris / avyttring</t>
  </si>
  <si>
    <t>[40"ej 401", 41, 43, 617, 618, 62, 64-65, 691]</t>
  </si>
  <si>
    <t>Landsting/Regioner</t>
  </si>
  <si>
    <t>Enskilda personer, hushåll</t>
  </si>
  <si>
    <t>Kommunalförbund och SKL</t>
  </si>
  <si>
    <t>Staten, statl. Myndigheter (inkl.FK)</t>
  </si>
  <si>
    <t>[342, 351 [ej mot-part 81], 354, 356, 357, 359]</t>
  </si>
  <si>
    <t>Därav försäljning av verksamhet till kommuner och landsting</t>
  </si>
  <si>
    <t xml:space="preserve"> [30, 34 ej 341, 35-36] </t>
  </si>
  <si>
    <t>Externa bostadshyror och lokalhyror</t>
  </si>
  <si>
    <t>361 motp.82, 84</t>
  </si>
  <si>
    <t>Försäljning av verksamhet till andra kommuner och landsting</t>
  </si>
  <si>
    <t>BAS 13:            [361] motpart 82, 84</t>
  </si>
  <si>
    <t>BAS 13:</t>
  </si>
  <si>
    <t>Därav                                köp av verksamhet</t>
  </si>
  <si>
    <t>inkomster</t>
  </si>
  <si>
    <t>(exklusive</t>
  </si>
  <si>
    <t>försäljning av anlägg-ningstill-gångar)</t>
  </si>
  <si>
    <t>Avsättningar för pensioner och liknande förpliktelser</t>
  </si>
  <si>
    <t>Avsättningar för särskild avtalspens, visstidspens.o liknande</t>
  </si>
  <si>
    <t>fastighets-,fordons- och trängselskatt</t>
  </si>
  <si>
    <t>Reaförluster o div. period. [78 "ej 787,"]</t>
  </si>
  <si>
    <t>138</t>
  </si>
  <si>
    <t>Grundfondskapital</t>
  </si>
  <si>
    <t>133, 134</t>
  </si>
  <si>
    <t>132, 137</t>
  </si>
  <si>
    <t>104</t>
  </si>
  <si>
    <t>31 [ej 311, 312]</t>
  </si>
  <si>
    <t>[31]</t>
  </si>
  <si>
    <t>Buss, bil och spårbundna persontransporter</t>
  </si>
  <si>
    <t>Väg- och järnvägsnät, parkering</t>
  </si>
  <si>
    <t>Justeringar i Eget kapital</t>
  </si>
  <si>
    <t xml:space="preserve">Lärverktyg </t>
  </si>
  <si>
    <t>Varor m.m.</t>
  </si>
  <si>
    <t>Försälj. av anl.tillg.,  [38]</t>
  </si>
  <si>
    <t>Kommun-                  nyckel</t>
  </si>
  <si>
    <t>SCB-             nyckel</t>
  </si>
  <si>
    <t xml:space="preserve">             Fördelning i kolumnen kommunnyckel </t>
  </si>
  <si>
    <t xml:space="preserve">             Fördelning i kolumnen SCB-nyckel</t>
  </si>
  <si>
    <t>Drift!$X$120</t>
  </si>
  <si>
    <t>'Verks int o kostn'!$D$76</t>
  </si>
  <si>
    <t>RR!$E$7</t>
  </si>
  <si>
    <t>BR!$F$78</t>
  </si>
  <si>
    <t>BR!$F$60</t>
  </si>
  <si>
    <t>'Verks int o kostn'!$E$20</t>
  </si>
  <si>
    <t>'Verks int o kostn'!$E$21</t>
  </si>
  <si>
    <t>'Verks int o kostn'!$J$23</t>
  </si>
  <si>
    <t>'Verks int o kostn'!$J$45</t>
  </si>
  <si>
    <t>'Verks int o kostn'!$J$41</t>
  </si>
  <si>
    <t>'Skatter, bidrag o fin poster'!$E$11</t>
  </si>
  <si>
    <t>'Skatter, bidrag o fin poster'!$P$23</t>
  </si>
  <si>
    <t>Investeringar!$C$16</t>
  </si>
  <si>
    <t>Investeringar!$D$16</t>
  </si>
  <si>
    <t>Investeringar!$E$16</t>
  </si>
  <si>
    <t>Investeringar!$I$67</t>
  </si>
  <si>
    <t>Investeringar!$F$16</t>
  </si>
  <si>
    <t>Drift!$AD$113</t>
  </si>
  <si>
    <t>Drift!$AD$116</t>
  </si>
  <si>
    <t>Drift!$N$114</t>
  </si>
  <si>
    <t>Drift!$P$125</t>
  </si>
  <si>
    <t>Drift!$Q$122</t>
  </si>
  <si>
    <t>Drift!$W$123</t>
  </si>
  <si>
    <t>Drift!$X$119</t>
  </si>
  <si>
    <t>Motpart!$M$40</t>
  </si>
  <si>
    <t>Motpart!$U$42</t>
  </si>
  <si>
    <t>Motpart!$X$40</t>
  </si>
  <si>
    <t>Motpart!$Y$42</t>
  </si>
  <si>
    <t>Motpart!$Z$42</t>
  </si>
  <si>
    <t>Motpart!$AA$42</t>
  </si>
  <si>
    <t>Motpart!$AB$42</t>
  </si>
  <si>
    <t>Motpart!$AC$42</t>
  </si>
  <si>
    <t>Motpart!$AD$10</t>
  </si>
  <si>
    <t>Motpart!$AD$38</t>
  </si>
  <si>
    <t>'Pedagogisk verksamhet'!$P$43</t>
  </si>
  <si>
    <t>'Pedagogisk verksamhet'!$P$53</t>
  </si>
  <si>
    <t>Kontrollblad!$F$7</t>
  </si>
  <si>
    <t>'Pedagogisk verksamhet'!$P$67</t>
  </si>
  <si>
    <t>Kontrollblad!$F$18</t>
  </si>
  <si>
    <t>Kontrollblad!$F$26</t>
  </si>
  <si>
    <t>Kontrollblad!$F$43</t>
  </si>
  <si>
    <t>Kontrollblad!$F$51</t>
  </si>
  <si>
    <t>Kontrollblad!$F$60</t>
  </si>
  <si>
    <t>Kontrollblad!$F$68</t>
  </si>
  <si>
    <t>Kontrollblad!$F$76</t>
  </si>
  <si>
    <t>Kontrollblad!$F$89</t>
  </si>
  <si>
    <t>Kontrollblad!$F$102</t>
  </si>
  <si>
    <t>Kontrollblad!$F$110</t>
  </si>
  <si>
    <t>Kontrollblad!$F$118</t>
  </si>
  <si>
    <t>Kontrollblad!$F$128</t>
  </si>
  <si>
    <t>Kontrollblad!$F$141</t>
  </si>
  <si>
    <t>'Äldre o personer funktionsn'!$N$20</t>
  </si>
  <si>
    <t>'Äldre o personer funktionsn'!$N$29</t>
  </si>
  <si>
    <t>'Äldre o personer funktionsn'!$N$37</t>
  </si>
  <si>
    <t>'Äldre o personer funktionsn'!$D$59</t>
  </si>
  <si>
    <t>IFO!$J$30</t>
  </si>
  <si>
    <t>IFO!$J$20</t>
  </si>
  <si>
    <t>IFO!$J$28</t>
  </si>
  <si>
    <t>IFO!$J$36</t>
  </si>
  <si>
    <t>20</t>
  </si>
  <si>
    <t>EGET KAPITAL, utgående värde</t>
  </si>
  <si>
    <t xml:space="preserve">        därav Övrigt eget kapital</t>
  </si>
  <si>
    <t xml:space="preserve">        därav Resultatutjämningsreserv</t>
  </si>
  <si>
    <t>Invånarantal 1-5 år</t>
  </si>
  <si>
    <t>Invånarantal 6-12 år</t>
  </si>
  <si>
    <t>Invånarantal 6 år</t>
  </si>
  <si>
    <t>Invånarantal 7-15 år</t>
  </si>
  <si>
    <t>Invånarantal 6-15 år</t>
  </si>
  <si>
    <t>Invånarantal 16-18 år</t>
  </si>
  <si>
    <t>Särskild utbildning för vuxna</t>
  </si>
  <si>
    <t>Förskola, kostnad per invånare 1-5 år</t>
  </si>
  <si>
    <t>Förskola, kostnad per invånare 1-5 år kommunal regi</t>
  </si>
  <si>
    <t>Förskola, kostnad för lokaler/invånare 1-5 år kommunal regi</t>
  </si>
  <si>
    <t>Förskola, köp av platser i annan kommun per invånare 1-5 år</t>
  </si>
  <si>
    <t>Förskola, försäljning av platser till annan kommun per invånare 1-5 år</t>
  </si>
  <si>
    <t>Förskola, köp av platser i enskild regi per invånare 1-5 år</t>
  </si>
  <si>
    <t>Kostnad per invånare 16-18 år kommunal regi.</t>
  </si>
  <si>
    <t>Kostnad per invånare 16-18 år för undervisning kommunal regi.</t>
  </si>
  <si>
    <t>Kostnad per invånare 16-18 år för lärverktyg kommunal regi.</t>
  </si>
  <si>
    <t>Kostnad per invånare 16-18 år för skolmåltider kommunal regi.</t>
  </si>
  <si>
    <t>Kostnad per invånare 16-18 år skolskjuts hemkommunen.</t>
  </si>
  <si>
    <t>Kostnad per invånare 16-18 år för elevhälsa kommunal regi.</t>
  </si>
  <si>
    <t>Lokalkostnad per invånare 16-18 år kommunal regi.</t>
  </si>
  <si>
    <t>Kostnad per invånare 16-18 år för övrigt kommunal regi.</t>
  </si>
  <si>
    <t>Kostnad per invånare 16-18 år för hemkommunen.</t>
  </si>
  <si>
    <t>Köp av platser i annan kommun per invånare 16-18 år.</t>
  </si>
  <si>
    <t>Försäljning av platser till annan kommun per invånare 16-18 år.</t>
  </si>
  <si>
    <t>Köp av plater från landsting per invånare 16-18 år.</t>
  </si>
  <si>
    <t>Köp av platser i fristående skola per invånare 16-18 år</t>
  </si>
  <si>
    <t>Köp av platser i fristående skola per invånare 16-18 år.</t>
  </si>
  <si>
    <t>Kostnad per invånare 19-64 år kommunal regi</t>
  </si>
  <si>
    <t>Kostnad per invånare 19-64 år för undervisning.</t>
  </si>
  <si>
    <t>Kostnad per invånare 19-64 år för lärverktyg</t>
  </si>
  <si>
    <t>Kostnad per invånare 19-64 år för elevhälsa.</t>
  </si>
  <si>
    <t>Kostnad per invånare 19-64 år för lokaler.</t>
  </si>
  <si>
    <t>Kostnad per invånare 19-64 år för övigt.</t>
  </si>
  <si>
    <t>Kostnad per invånare 19-64 år för hemkommunen, grundläggande och gymnasial vuxenutbildning.</t>
  </si>
  <si>
    <t>Kostnad per invånare 6-15 år kommunal regi.</t>
  </si>
  <si>
    <t>Kostnad per invånare 6-15 år för undervisning kommunal regi.</t>
  </si>
  <si>
    <t>Kostnad per invånare 6-15 år för lärverktyg kommunal regi.</t>
  </si>
  <si>
    <t>Kostnad per invånare 6-15 år för skolmåltider kommunal regi.</t>
  </si>
  <si>
    <t>Kostnad per invånare 6-15 år skolskjuts hemkommunen.</t>
  </si>
  <si>
    <t>Kostnad per invånare 6-15 år för elevhälsa kommunal regi.</t>
  </si>
  <si>
    <t>Lokalkostnad per invånare 6-15 år kommunal regi.</t>
  </si>
  <si>
    <t>Kostnad per invånare 6-15 år för övrigt kommunal regi.</t>
  </si>
  <si>
    <t>Kostnad per invånare 6-15 år för hemkommunen.</t>
  </si>
  <si>
    <t>Köp av platser i annan kommun per invånare 6-15 år.</t>
  </si>
  <si>
    <t>Försäljning av platser till annan kommun per invånare 6-15 år.</t>
  </si>
  <si>
    <t>Köp av platser från landsting per invånare 6-15 år.</t>
  </si>
  <si>
    <t>Köp av platser i fristående skola per invånare 6-15 år.</t>
  </si>
  <si>
    <t>Kostnad per invånare 7-15 år kommunal regi.</t>
  </si>
  <si>
    <t>Kostnad per  invånare 7-15 år för undervisning kommunal regi.</t>
  </si>
  <si>
    <t>Kostnad per  invånare 7-15 år för lärverktyg kommunal regi.</t>
  </si>
  <si>
    <t>Kostnad per  invånare 7-15 år för skolmåltider kommunal regi.</t>
  </si>
  <si>
    <t>Kostnad per  invånare 7-15 år för skolskjuts hemkommun.</t>
  </si>
  <si>
    <t>Kostnad per  invånare 7-15 år för elevhälsa kommunal regi.</t>
  </si>
  <si>
    <t>Kostnad per  invånare 7-15 år för lokaler kommunal regi.</t>
  </si>
  <si>
    <t>Kostnad per  invånare 7-15 år för övrigt kommunal regi.</t>
  </si>
  <si>
    <t>Kostnad per  invånare 7-15 år för hemkommunen.</t>
  </si>
  <si>
    <t>Köp av platser i annan kommun per  invånare 7-15 år.</t>
  </si>
  <si>
    <t>Försäljning av platser till annan kommun per  invånare 7-15 år.</t>
  </si>
  <si>
    <t>Köp av platser i fristående skola per  invånare 7-15 år.</t>
  </si>
  <si>
    <t>Förskoleklass, kostnad per invånare 6 år för hemkommunen</t>
  </si>
  <si>
    <t>Förskoleklass, kostnad per invånare 6 år kommunal regi</t>
  </si>
  <si>
    <t>Förskolklass, kostnad för lokaler/invånare 6 år i kommunal regi.</t>
  </si>
  <si>
    <t>Förskoleklass, köp av platser i annan kommun per invånare 6 år</t>
  </si>
  <si>
    <t>Förskoleklass, försäljning av platser till annan kommun per invånare 6 år.</t>
  </si>
  <si>
    <t>Förskoleklass, köp av platser i enskild regi per invånare 6 år.</t>
  </si>
  <si>
    <t>Fritidshem, kostnad per invånare 6-12 år för hemkommunen</t>
  </si>
  <si>
    <t>Fritidshem, kostnad per invånare 6-12 år kommunal regi</t>
  </si>
  <si>
    <t>Fritidshem, kostnad för lokaler/invånare 6-12 år kommunal regi</t>
  </si>
  <si>
    <t>Fritidshem, köp av platser i annan kommun per invånare 6-12 år</t>
  </si>
  <si>
    <t>Fritidshem, försäljning av platser till annan kommun per invånare 6-12 år</t>
  </si>
  <si>
    <t>Fritidshem, köp av platser i enskild regi per invånare 6-12 år</t>
  </si>
  <si>
    <t>Justering slutavräkning år 2013</t>
  </si>
  <si>
    <t>Justeringspost slutavräkning år 2014</t>
  </si>
  <si>
    <t>år 2014</t>
  </si>
  <si>
    <t>Ackumulerat, ej återställt negativt resultat inkl. 2014-års resultat.</t>
  </si>
  <si>
    <t>2013 - 2014</t>
  </si>
  <si>
    <t>Netto-kostnader 2014</t>
  </si>
  <si>
    <t>Kostnader 2014</t>
  </si>
  <si>
    <t>147</t>
  </si>
  <si>
    <t>Avgår: medel till resultatutjämningsreserv (RUR)</t>
  </si>
  <si>
    <t>Tillägg medel från resultatutjämninsreserv (RUR)</t>
  </si>
  <si>
    <t>Summa balanskravsresultat efter RUR</t>
  </si>
  <si>
    <t>Avgår: övriga justeringar</t>
  </si>
  <si>
    <t>Tillägg: övriga justeringar</t>
  </si>
  <si>
    <t>Årets balanskravsresultat</t>
  </si>
  <si>
    <t>Synnerliga skäl för att inte behöva återställa ett negativt resultat</t>
  </si>
  <si>
    <t>+ Inköp / nyanskaffning inklusive pågående arbeten</t>
  </si>
  <si>
    <t>(Reavinst vid) försäljning av anläggningstillgångar</t>
  </si>
  <si>
    <t>Exploateringsfastigheter(avser kommun)</t>
  </si>
  <si>
    <t>Entrepren., Konsulter</t>
  </si>
  <si>
    <t>Inköp av maskiner o</t>
  </si>
  <si>
    <t>Inköp av mark, byggn.</t>
  </si>
  <si>
    <t>Statliga investe-</t>
  </si>
  <si>
    <t>Investerings-</t>
  </si>
  <si>
    <t>utgifter</t>
  </si>
  <si>
    <t>Därav borgensåtaganden för lån</t>
  </si>
  <si>
    <t xml:space="preserve">      varav för lån</t>
  </si>
  <si>
    <t>Borgensavgift</t>
  </si>
  <si>
    <t>042</t>
  </si>
  <si>
    <t xml:space="preserve">           varav  för lån av offentligt ägda bolag</t>
  </si>
  <si>
    <t>Återbet borgensåt.</t>
  </si>
  <si>
    <t>161</t>
  </si>
  <si>
    <t>162</t>
  </si>
  <si>
    <t xml:space="preserve">Förändring mellan </t>
  </si>
  <si>
    <t>2013 och 2014</t>
  </si>
  <si>
    <t>Förändring mellan</t>
  </si>
  <si>
    <t xml:space="preserve"> 2013 och 2014</t>
  </si>
  <si>
    <t xml:space="preserve">Bruttokost-nad ./. Interna intäkter och försäljning till andra kommuner o </t>
  </si>
  <si>
    <t>landsting</t>
  </si>
  <si>
    <t>Bruttokost-nad ./. Interna intäkter och försäljning till andra kommuner och landsting</t>
  </si>
  <si>
    <t>o landsting</t>
  </si>
  <si>
    <t>RIKSTOTAL</t>
  </si>
  <si>
    <t>Värde mnkr</t>
  </si>
  <si>
    <t>108</t>
  </si>
  <si>
    <t>Förändring kostnader 2013-2014 procent</t>
  </si>
  <si>
    <t>Köp av verksamhet som andel av verksamhetens kostnad 2014 procent</t>
  </si>
  <si>
    <t>Nyckeltal kostnad kr per invånarev eller andel av verksamhet</t>
  </si>
  <si>
    <t>Kommunernas finanser</t>
  </si>
  <si>
    <t>Räkenskapssammandrag 2014</t>
  </si>
  <si>
    <t xml:space="preserve">Investeringar fördelade på verksamheter </t>
  </si>
  <si>
    <r>
      <t xml:space="preserve">BAS13 [617,618,74,75] </t>
    </r>
    <r>
      <rPr>
        <sz val="7"/>
        <rFont val="Helvetica"/>
        <family val="2"/>
      </rPr>
      <t xml:space="preserve">                                         </t>
    </r>
  </si>
  <si>
    <t>Däravpost till finansiella poster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</si>
</sst>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"/>
    <numFmt numFmtId="165" formatCode="###,###,###"/>
    <numFmt numFmtId="166" formatCode=";;;"/>
    <numFmt numFmtId="167" formatCode="#,##0.0000"/>
    <numFmt numFmtId="168" formatCode="0.0000"/>
    <numFmt numFmtId="169" formatCode="###,##0"/>
    <numFmt numFmtId="170" formatCode="#,###"/>
    <numFmt numFmtId="171" formatCode="#,##0.0000000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#,##0.0"/>
    <numFmt numFmtId="177" formatCode="[$-41D]&quot;den &quot;d\ mmmm\ yyyy"/>
  </numFmts>
  <fonts count="146">
    <font>
      <sz val="10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b/>
      <sz val="8"/>
      <name val="Helvetica"/>
      <family val="2"/>
    </font>
    <font>
      <b/>
      <sz val="7"/>
      <name val="Helvetica"/>
      <family val="2"/>
    </font>
    <font>
      <b/>
      <sz val="11"/>
      <name val="Helvetica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"/>
      <name val="Helvetica"/>
      <family val="2"/>
    </font>
    <font>
      <b/>
      <sz val="7"/>
      <name val="Arial"/>
      <family val="2"/>
    </font>
    <font>
      <b/>
      <sz val="10"/>
      <name val="Helvetica"/>
      <family val="2"/>
    </font>
    <font>
      <sz val="7"/>
      <color indexed="8"/>
      <name val="Helvetica"/>
      <family val="2"/>
    </font>
    <font>
      <sz val="12"/>
      <name val="Times New Roman"/>
      <family val="1"/>
    </font>
    <font>
      <b/>
      <sz val="12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MS Sans Serif"/>
      <family val="2"/>
    </font>
    <font>
      <b/>
      <sz val="9"/>
      <name val="Helvetica"/>
      <family val="2"/>
    </font>
    <font>
      <b/>
      <sz val="7"/>
      <name val="Coronet"/>
      <family val="2"/>
    </font>
    <font>
      <b/>
      <sz val="8"/>
      <name val="Coronet"/>
      <family val="2"/>
    </font>
    <font>
      <b/>
      <sz val="11"/>
      <name val="Coronet"/>
      <family val="2"/>
    </font>
    <font>
      <b/>
      <sz val="12"/>
      <color indexed="9"/>
      <name val="Arial Black"/>
      <family val="2"/>
    </font>
    <font>
      <sz val="10"/>
      <color indexed="9"/>
      <name val="Coronet"/>
      <family val="2"/>
    </font>
    <font>
      <b/>
      <sz val="9"/>
      <color indexed="9"/>
      <name val="Coronet"/>
      <family val="2"/>
    </font>
    <font>
      <b/>
      <sz val="16"/>
      <color indexed="9"/>
      <name val="Arial"/>
      <family val="2"/>
    </font>
    <font>
      <sz val="10"/>
      <color indexed="47"/>
      <name val="Arial"/>
      <family val="2"/>
    </font>
    <font>
      <sz val="7"/>
      <color indexed="10"/>
      <name val="Helvetica"/>
      <family val="2"/>
    </font>
    <font>
      <sz val="8"/>
      <color indexed="10"/>
      <name val="Helvetica"/>
      <family val="2"/>
    </font>
    <font>
      <sz val="7"/>
      <color indexed="10"/>
      <name val="Arial"/>
      <family val="2"/>
    </font>
    <font>
      <sz val="9"/>
      <name val="Helvetica"/>
      <family val="2"/>
    </font>
    <font>
      <sz val="10"/>
      <color indexed="9"/>
      <name val="Arial"/>
      <family val="2"/>
    </font>
    <font>
      <sz val="8"/>
      <color indexed="47"/>
      <name val="Arial"/>
      <family val="2"/>
    </font>
    <font>
      <sz val="8"/>
      <color indexed="9"/>
      <name val="Arial"/>
      <family val="2"/>
    </font>
    <font>
      <sz val="7"/>
      <color indexed="37"/>
      <name val="Helvetica"/>
      <family val="2"/>
    </font>
    <font>
      <sz val="8"/>
      <color indexed="37"/>
      <name val="Helvetica"/>
      <family val="2"/>
    </font>
    <font>
      <sz val="7"/>
      <color indexed="8"/>
      <name val="Arial"/>
      <family val="2"/>
    </font>
    <font>
      <sz val="10"/>
      <color indexed="39"/>
      <name val="Arial"/>
      <family val="2"/>
    </font>
    <font>
      <sz val="8"/>
      <color indexed="39"/>
      <name val="Helvetica"/>
      <family val="2"/>
    </font>
    <font>
      <b/>
      <sz val="7"/>
      <color indexed="10"/>
      <name val="Helvetica"/>
      <family val="2"/>
    </font>
    <font>
      <sz val="7"/>
      <color indexed="39"/>
      <name val="Arial"/>
      <family val="2"/>
    </font>
    <font>
      <sz val="8"/>
      <color indexed="12"/>
      <name val="Helvetica"/>
      <family val="2"/>
    </font>
    <font>
      <sz val="8"/>
      <color indexed="39"/>
      <name val="Arial"/>
      <family val="2"/>
    </font>
    <font>
      <sz val="7"/>
      <color indexed="47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sz val="9"/>
      <color indexed="39"/>
      <name val="Helvetica"/>
      <family val="2"/>
    </font>
    <font>
      <b/>
      <sz val="10"/>
      <color indexed="37"/>
      <name val="Helvetica"/>
      <family val="2"/>
    </font>
    <font>
      <b/>
      <sz val="10"/>
      <color indexed="47"/>
      <name val="Helvetica"/>
      <family val="2"/>
    </font>
    <font>
      <sz val="7"/>
      <color indexed="47"/>
      <name val="Helvetica"/>
      <family val="2"/>
    </font>
    <font>
      <b/>
      <sz val="9"/>
      <color indexed="8"/>
      <name val="Arial Black"/>
      <family val="2"/>
    </font>
    <font>
      <b/>
      <sz val="12"/>
      <name val="Arial"/>
      <family val="2"/>
    </font>
    <font>
      <b/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0"/>
      <color indexed="9"/>
      <name val="Helvetica"/>
      <family val="2"/>
    </font>
    <font>
      <b/>
      <sz val="9"/>
      <color indexed="9"/>
      <name val="Helvetica"/>
      <family val="2"/>
    </font>
    <font>
      <b/>
      <sz val="8"/>
      <color indexed="8"/>
      <name val="Helvetica"/>
      <family val="2"/>
    </font>
    <font>
      <sz val="7"/>
      <color indexed="8"/>
      <name val="Calibri"/>
      <family val="2"/>
    </font>
    <font>
      <b/>
      <sz val="7"/>
      <color indexed="8"/>
      <name val="Helvetica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Arial"/>
      <family val="2"/>
    </font>
    <font>
      <b/>
      <sz val="7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8"/>
      <color indexed="9"/>
      <name val="Helvetica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Helvetica"/>
      <family val="2"/>
    </font>
    <font>
      <sz val="7"/>
      <color indexed="16"/>
      <name val="Helvetica"/>
      <family val="2"/>
    </font>
    <font>
      <sz val="10"/>
      <color indexed="16"/>
      <name val="Cambria"/>
      <family val="1"/>
    </font>
    <font>
      <b/>
      <sz val="7"/>
      <color indexed="9"/>
      <name val="Helvetica"/>
      <family val="2"/>
    </font>
    <font>
      <b/>
      <vertAlign val="superscript"/>
      <sz val="7"/>
      <name val="Helvetica"/>
      <family val="2"/>
    </font>
    <font>
      <b/>
      <vertAlign val="superscript"/>
      <sz val="7"/>
      <name val="Calibri"/>
      <family val="2"/>
    </font>
    <font>
      <vertAlign val="superscript"/>
      <sz val="7"/>
      <name val="Helvetica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"/>
      <color indexed="9"/>
      <name val="Arial"/>
      <family val="2"/>
    </font>
    <font>
      <sz val="10"/>
      <color indexed="39"/>
      <name val="Helvetica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8"/>
      <color indexed="50"/>
      <name val="Helvetica"/>
      <family val="2"/>
    </font>
    <font>
      <b/>
      <sz val="8"/>
      <color indexed="25"/>
      <name val="Arial"/>
      <family val="2"/>
    </font>
    <font>
      <b/>
      <sz val="10"/>
      <color indexed="25"/>
      <name val="Arial"/>
      <family val="2"/>
    </font>
    <font>
      <sz val="7"/>
      <name val="Helvetica "/>
      <family val="0"/>
    </font>
    <font>
      <sz val="7"/>
      <color indexed="9"/>
      <name val="Cambria"/>
      <family val="1"/>
    </font>
    <font>
      <sz val="8"/>
      <color indexed="9"/>
      <name val="Cambria"/>
      <family val="1"/>
    </font>
    <font>
      <sz val="10"/>
      <color indexed="9"/>
      <name val="Cambria"/>
      <family val="1"/>
    </font>
    <font>
      <sz val="7"/>
      <name val="Cambria"/>
      <family val="1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6.5"/>
      <name val="Helvetica"/>
      <family val="2"/>
    </font>
    <font>
      <b/>
      <sz val="20"/>
      <color indexed="8"/>
      <name val="Helvetica"/>
      <family val="2"/>
    </font>
    <font>
      <sz val="8"/>
      <name val="Cambria"/>
      <family val="1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7"/>
      <color indexed="9"/>
      <name val="Helvetica"/>
      <family val="2"/>
    </font>
    <font>
      <sz val="7"/>
      <color indexed="45"/>
      <name val="Helvetica"/>
      <family val="2"/>
    </font>
    <font>
      <sz val="7"/>
      <color indexed="10"/>
      <name val="Helvetica "/>
      <family val="0"/>
    </font>
    <font>
      <sz val="7"/>
      <color indexed="26"/>
      <name val="Helvetica"/>
      <family val="2"/>
    </font>
    <font>
      <sz val="10"/>
      <color indexed="26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7"/>
      <color rgb="FFFF0000"/>
      <name val="Helvetica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Helvetica"/>
      <family val="2"/>
    </font>
    <font>
      <b/>
      <sz val="11"/>
      <color theme="0"/>
      <name val="Arial"/>
      <family val="2"/>
    </font>
    <font>
      <sz val="7"/>
      <color theme="0"/>
      <name val="Helvetica"/>
      <family val="2"/>
    </font>
    <font>
      <sz val="7"/>
      <color theme="7" tint="0.5999900102615356"/>
      <name val="Helvetica"/>
      <family val="2"/>
    </font>
    <font>
      <sz val="7"/>
      <color rgb="FFFF0000"/>
      <name val="Helvetica "/>
      <family val="0"/>
    </font>
    <font>
      <sz val="7"/>
      <color rgb="FFFFFFCC"/>
      <name val="Helvetica"/>
      <family val="2"/>
    </font>
    <font>
      <sz val="10"/>
      <color rgb="FFFFFFCC"/>
      <name val="Arial"/>
      <family val="2"/>
    </font>
    <font>
      <b/>
      <sz val="7"/>
      <color rgb="FFFF0000"/>
      <name val="Helvetica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40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lightDown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rgb="FFFFFFFF"/>
      </patternFill>
    </fill>
    <fill>
      <patternFill patternType="lightGray">
        <fgColor indexed="40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 style="hair"/>
      <top/>
      <bottom style="medium"/>
    </border>
    <border>
      <left style="thin"/>
      <right style="hair"/>
      <top style="medium"/>
      <bottom style="hair"/>
    </border>
    <border>
      <left style="hair"/>
      <right style="hair"/>
      <top/>
      <bottom/>
    </border>
    <border>
      <left style="thin"/>
      <right style="hair"/>
      <top/>
      <bottom/>
    </border>
    <border>
      <left/>
      <right style="hair"/>
      <top style="medium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/>
    </border>
    <border>
      <left style="medium"/>
      <right/>
      <top style="hair"/>
      <bottom/>
    </border>
    <border>
      <left style="medium"/>
      <right/>
      <top style="hair"/>
      <bottom style="thin"/>
    </border>
    <border>
      <left style="medium"/>
      <right/>
      <top style="hair"/>
      <bottom style="medium"/>
    </border>
    <border>
      <left/>
      <right/>
      <top/>
      <bottom style="medium"/>
    </border>
    <border>
      <left style="hair"/>
      <right style="medium"/>
      <top style="thin"/>
      <bottom style="hair"/>
    </border>
    <border>
      <left/>
      <right style="medium"/>
      <top style="medium"/>
      <bottom style="hair"/>
    </border>
    <border>
      <left/>
      <right style="thin"/>
      <top/>
      <bottom/>
    </border>
    <border>
      <left style="medium"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thin"/>
      <top style="medium"/>
      <bottom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hair"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medium"/>
      <top style="medium"/>
      <bottom style="medium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medium"/>
      <top/>
      <bottom style="thin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/>
      <right/>
      <top style="medium"/>
      <bottom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/>
      <bottom style="hair"/>
    </border>
    <border>
      <left style="hair"/>
      <right style="hair"/>
      <top style="thin"/>
      <bottom/>
    </border>
    <border>
      <left style="hair"/>
      <right style="medium"/>
      <top style="hair"/>
      <bottom style="thin"/>
    </border>
    <border>
      <left style="hair"/>
      <right style="hair"/>
      <top style="medium"/>
      <bottom style="medium"/>
    </border>
    <border>
      <left style="hair"/>
      <right/>
      <top/>
      <bottom style="medium"/>
    </border>
    <border>
      <left/>
      <right style="medium"/>
      <top style="hair"/>
      <bottom/>
    </border>
    <border>
      <left style="hair"/>
      <right style="medium"/>
      <top style="medium"/>
      <bottom/>
    </border>
    <border>
      <left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medium"/>
      <bottom style="medium"/>
    </border>
    <border>
      <left style="thin"/>
      <right style="hair"/>
      <top style="hair"/>
      <bottom style="medium"/>
    </border>
    <border>
      <left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/>
    </border>
    <border>
      <left style="hair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hair"/>
      <top style="medium"/>
      <bottom/>
    </border>
    <border>
      <left style="thin"/>
      <right style="hair"/>
      <top style="medium"/>
      <bottom style="medium"/>
    </border>
    <border>
      <left style="thin"/>
      <right style="hair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/>
      <top style="hair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/>
      <bottom style="thin"/>
    </border>
    <border>
      <left style="thin"/>
      <right style="thin"/>
      <top/>
      <bottom style="hair"/>
    </border>
    <border>
      <left style="hair"/>
      <right style="thin"/>
      <top style="medium"/>
      <bottom/>
    </border>
    <border>
      <left style="hair"/>
      <right style="hair"/>
      <top style="medium"/>
      <bottom/>
    </border>
    <border>
      <left style="thin"/>
      <right style="medium"/>
      <top style="medium"/>
      <bottom/>
    </border>
    <border>
      <left/>
      <right style="hair"/>
      <top style="medium"/>
      <bottom/>
    </border>
    <border>
      <left/>
      <right style="medium"/>
      <top style="medium"/>
      <bottom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hair"/>
      <bottom/>
    </border>
    <border>
      <left style="medium"/>
      <right style="hair"/>
      <top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medium"/>
      <right style="hair"/>
      <top/>
      <bottom style="medium"/>
    </border>
    <border>
      <left style="medium"/>
      <right style="hair"/>
      <top style="hair"/>
      <bottom/>
    </border>
    <border>
      <left style="medium"/>
      <right/>
      <top/>
      <bottom style="hair"/>
    </border>
    <border>
      <left style="hair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thin"/>
      <bottom/>
    </border>
    <border>
      <left style="medium"/>
      <right/>
      <top style="thin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hair"/>
      <right style="hair"/>
      <top style="thin">
        <color indexed="39"/>
      </top>
      <bottom/>
    </border>
    <border>
      <left style="medium"/>
      <right style="hair"/>
      <top style="medium"/>
      <bottom style="medium"/>
    </border>
    <border>
      <left style="hair"/>
      <right/>
      <top/>
      <bottom style="thin"/>
    </border>
    <border>
      <left style="hair"/>
      <right/>
      <top style="thin">
        <color indexed="39"/>
      </top>
      <bottom>
        <color indexed="63"/>
      </bottom>
    </border>
    <border>
      <left style="hair"/>
      <right style="medium"/>
      <top style="thin">
        <color indexed="39"/>
      </top>
      <bottom>
        <color indexed="63"/>
      </bottom>
    </border>
    <border>
      <left style="hair"/>
      <right style="hair"/>
      <top style="thin">
        <color indexed="12"/>
      </top>
      <bottom style="hair"/>
    </border>
    <border>
      <left style="hair"/>
      <right style="hair"/>
      <top style="medium">
        <color indexed="12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/>
      <right style="hair"/>
      <top/>
      <bottom/>
    </border>
    <border>
      <left/>
      <right style="hair"/>
      <top style="hair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hair"/>
      <top style="hair"/>
      <bottom/>
    </border>
    <border>
      <left/>
      <right style="medium"/>
      <top style="thin"/>
      <bottom style="thin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 style="hair"/>
      <right style="medium"/>
      <top style="medium"/>
      <bottom style="thin"/>
    </border>
    <border>
      <left/>
      <right style="thin"/>
      <top style="medium"/>
      <bottom style="hair"/>
    </border>
    <border>
      <left/>
      <right style="thin"/>
      <top style="hair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medium"/>
      <top style="thin"/>
      <bottom/>
    </border>
    <border>
      <left style="hair"/>
      <right/>
      <top style="hair"/>
      <bottom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hair"/>
      <bottom style="medium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 style="thick"/>
      <top/>
      <bottom/>
    </border>
    <border>
      <left style="thin"/>
      <right style="hair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medium"/>
      <bottom style="hair"/>
    </border>
    <border>
      <left style="thin"/>
      <right/>
      <top/>
      <bottom style="hair"/>
    </border>
    <border>
      <left style="hair"/>
      <right style="medium"/>
      <top style="thin"/>
      <bottom/>
    </border>
    <border>
      <left style="hair"/>
      <right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hair"/>
      <bottom/>
    </border>
    <border>
      <left style="medium"/>
      <right>
        <color indexed="63"/>
      </right>
      <top style="medium"/>
      <bottom style="hair"/>
    </border>
    <border>
      <left style="hair"/>
      <right/>
      <top style="thin"/>
      <bottom/>
    </border>
    <border>
      <left style="medium"/>
      <right/>
      <top style="thin"/>
      <bottom/>
    </border>
    <border>
      <left style="hair"/>
      <right style="hair"/>
      <top style="thin"/>
      <bottom style="medium"/>
    </border>
    <border>
      <left style="medium"/>
      <right style="medium"/>
      <top style="hair"/>
      <bottom>
        <color indexed="63"/>
      </bottom>
    </border>
    <border>
      <left/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hair"/>
      <right/>
      <top style="medium"/>
      <bottom style="medium"/>
    </border>
    <border>
      <left/>
      <right style="hair"/>
      <top style="thin"/>
      <bottom style="medium"/>
    </border>
    <border>
      <left/>
      <right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thin"/>
    </border>
    <border>
      <left/>
      <right style="hair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5" borderId="0" applyNumberFormat="0" applyBorder="0" applyAlignment="0" applyProtection="0"/>
    <xf numFmtId="0" fontId="124" fillId="8" borderId="0" applyNumberFormat="0" applyBorder="0" applyAlignment="0" applyProtection="0"/>
    <xf numFmtId="0" fontId="124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0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0" fillId="17" borderId="1" applyNumberFormat="0" applyFont="0" applyAlignment="0" applyProtection="0"/>
    <xf numFmtId="0" fontId="124" fillId="17" borderId="1" applyNumberFormat="0" applyFont="0" applyAlignment="0" applyProtection="0"/>
    <xf numFmtId="0" fontId="106" fillId="18" borderId="2" applyNumberFormat="0" applyAlignment="0" applyProtection="0"/>
    <xf numFmtId="0" fontId="126" fillId="4" borderId="0" applyNumberFormat="0" applyBorder="0" applyAlignment="0" applyProtection="0"/>
    <xf numFmtId="0" fontId="127" fillId="3" borderId="0" applyNumberFormat="0" applyBorder="0" applyAlignment="0" applyProtection="0"/>
    <xf numFmtId="0" fontId="127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14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0" fillId="7" borderId="2" applyNumberFormat="0" applyAlignment="0" applyProtection="0"/>
    <xf numFmtId="0" fontId="131" fillId="25" borderId="3" applyNumberFormat="0" applyAlignment="0" applyProtection="0"/>
    <xf numFmtId="0" fontId="81" fillId="0" borderId="4" applyNumberFormat="0" applyFill="0" applyAlignment="0" applyProtection="0"/>
    <xf numFmtId="0" fontId="11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132" fillId="0" borderId="8" applyNumberFormat="0" applyFill="0" applyAlignment="0" applyProtection="0"/>
    <xf numFmtId="43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3" fillId="18" borderId="9" applyNumberFormat="0" applyAlignment="0" applyProtection="0"/>
    <xf numFmtId="44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0" borderId="0" applyNumberFormat="0" applyFill="0" applyBorder="0" applyAlignment="0" applyProtection="0"/>
  </cellStyleXfs>
  <cellXfs count="232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5" fillId="27" borderId="0" xfId="0" applyFont="1" applyFill="1" applyBorder="1" applyAlignment="1" applyProtection="1">
      <alignment horizontal="left"/>
      <protection/>
    </xf>
    <xf numFmtId="0" fontId="6" fillId="27" borderId="0" xfId="0" applyFont="1" applyFill="1" applyBorder="1" applyAlignment="1" applyProtection="1">
      <alignment horizontal="right"/>
      <protection/>
    </xf>
    <xf numFmtId="0" fontId="0" fillId="27" borderId="0" xfId="0" applyFill="1" applyAlignment="1" applyProtection="1">
      <alignment/>
      <protection/>
    </xf>
    <xf numFmtId="0" fontId="2" fillId="27" borderId="0" xfId="0" applyFont="1" applyFill="1" applyAlignment="1" applyProtection="1">
      <alignment/>
      <protection/>
    </xf>
    <xf numFmtId="49" fontId="4" fillId="27" borderId="0" xfId="0" applyNumberFormat="1" applyFont="1" applyFill="1" applyBorder="1" applyAlignment="1" applyProtection="1">
      <alignment horizontal="left"/>
      <protection/>
    </xf>
    <xf numFmtId="1" fontId="4" fillId="27" borderId="0" xfId="0" applyNumberFormat="1" applyFont="1" applyFill="1" applyBorder="1" applyAlignment="1" applyProtection="1">
      <alignment horizontal="left"/>
      <protection/>
    </xf>
    <xf numFmtId="0" fontId="4" fillId="27" borderId="0" xfId="0" applyFont="1" applyFill="1" applyBorder="1" applyAlignment="1" applyProtection="1">
      <alignment/>
      <protection/>
    </xf>
    <xf numFmtId="3" fontId="2" fillId="27" borderId="0" xfId="0" applyNumberFormat="1" applyFont="1" applyFill="1" applyBorder="1" applyAlignment="1" applyProtection="1">
      <alignment/>
      <protection/>
    </xf>
    <xf numFmtId="49" fontId="13" fillId="27" borderId="0" xfId="56" applyNumberFormat="1" applyFont="1" applyFill="1" applyAlignment="1" applyProtection="1">
      <alignment horizontal="left"/>
      <protection/>
    </xf>
    <xf numFmtId="0" fontId="8" fillId="27" borderId="0" xfId="0" applyFont="1" applyFill="1" applyBorder="1" applyAlignment="1" applyProtection="1">
      <alignment/>
      <protection/>
    </xf>
    <xf numFmtId="0" fontId="4" fillId="27" borderId="0" xfId="0" applyFont="1" applyFill="1" applyBorder="1" applyAlignment="1" applyProtection="1">
      <alignment/>
      <protection/>
    </xf>
    <xf numFmtId="0" fontId="2" fillId="27" borderId="0" xfId="0" applyFont="1" applyFill="1" applyBorder="1" applyAlignment="1" applyProtection="1">
      <alignment/>
      <protection/>
    </xf>
    <xf numFmtId="0" fontId="4" fillId="27" borderId="0" xfId="0" applyFont="1" applyFill="1" applyAlignment="1" applyProtection="1">
      <alignment/>
      <protection/>
    </xf>
    <xf numFmtId="3" fontId="5" fillId="27" borderId="0" xfId="0" applyNumberFormat="1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27" borderId="0" xfId="0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27" borderId="11" xfId="0" applyNumberFormat="1" applyFont="1" applyFill="1" applyBorder="1" applyAlignment="1" applyProtection="1">
      <alignment horizontal="right"/>
      <protection locked="0"/>
    </xf>
    <xf numFmtId="3" fontId="3" fillId="27" borderId="12" xfId="0" applyNumberFormat="1" applyFont="1" applyFill="1" applyBorder="1" applyAlignment="1" applyProtection="1">
      <alignment horizontal="right"/>
      <protection locked="0"/>
    </xf>
    <xf numFmtId="3" fontId="3" fillId="27" borderId="13" xfId="0" applyNumberFormat="1" applyFont="1" applyFill="1" applyBorder="1" applyAlignment="1" applyProtection="1">
      <alignment horizontal="right"/>
      <protection locked="0"/>
    </xf>
    <xf numFmtId="3" fontId="3" fillId="27" borderId="14" xfId="0" applyNumberFormat="1" applyFont="1" applyFill="1" applyBorder="1" applyAlignment="1" applyProtection="1">
      <alignment horizontal="right"/>
      <protection locked="0"/>
    </xf>
    <xf numFmtId="3" fontId="3" fillId="27" borderId="15" xfId="0" applyNumberFormat="1" applyFont="1" applyFill="1" applyBorder="1" applyAlignment="1" applyProtection="1">
      <alignment horizontal="right"/>
      <protection locked="0"/>
    </xf>
    <xf numFmtId="3" fontId="3" fillId="27" borderId="16" xfId="0" applyNumberFormat="1" applyFont="1" applyFill="1" applyBorder="1" applyAlignment="1" applyProtection="1">
      <alignment horizontal="right"/>
      <protection locked="0"/>
    </xf>
    <xf numFmtId="3" fontId="3" fillId="28" borderId="15" xfId="0" applyNumberFormat="1" applyFont="1" applyFill="1" applyBorder="1" applyAlignment="1" applyProtection="1">
      <alignment horizontal="right"/>
      <protection/>
    </xf>
    <xf numFmtId="3" fontId="3" fillId="27" borderId="17" xfId="0" applyNumberFormat="1" applyFont="1" applyFill="1" applyBorder="1" applyAlignment="1" applyProtection="1">
      <alignment horizontal="right"/>
      <protection locked="0"/>
    </xf>
    <xf numFmtId="3" fontId="3" fillId="27" borderId="18" xfId="0" applyNumberFormat="1" applyFont="1" applyFill="1" applyBorder="1" applyAlignment="1" applyProtection="1">
      <alignment horizontal="right"/>
      <protection locked="0"/>
    </xf>
    <xf numFmtId="3" fontId="3" fillId="27" borderId="19" xfId="0" applyNumberFormat="1" applyFont="1" applyFill="1" applyBorder="1" applyAlignment="1" applyProtection="1">
      <alignment horizontal="right"/>
      <protection locked="0"/>
    </xf>
    <xf numFmtId="3" fontId="3" fillId="27" borderId="0" xfId="0" applyNumberFormat="1" applyFont="1" applyFill="1" applyBorder="1" applyAlignment="1" applyProtection="1">
      <alignment/>
      <protection/>
    </xf>
    <xf numFmtId="3" fontId="3" fillId="27" borderId="0" xfId="0" applyNumberFormat="1" applyFont="1" applyFill="1" applyBorder="1" applyAlignment="1" applyProtection="1">
      <alignment horizontal="right"/>
      <protection/>
    </xf>
    <xf numFmtId="0" fontId="9" fillId="27" borderId="0" xfId="0" applyFont="1" applyFill="1" applyBorder="1" applyAlignment="1" applyProtection="1">
      <alignment/>
      <protection/>
    </xf>
    <xf numFmtId="3" fontId="4" fillId="27" borderId="0" xfId="0" applyNumberFormat="1" applyFont="1" applyFill="1" applyBorder="1" applyAlignment="1" applyProtection="1">
      <alignment/>
      <protection/>
    </xf>
    <xf numFmtId="3" fontId="4" fillId="27" borderId="0" xfId="0" applyNumberFormat="1" applyFont="1" applyFill="1" applyBorder="1" applyAlignment="1" applyProtection="1">
      <alignment/>
      <protection/>
    </xf>
    <xf numFmtId="0" fontId="9" fillId="27" borderId="0" xfId="0" applyFont="1" applyFill="1" applyAlignment="1" applyProtection="1">
      <alignment/>
      <protection/>
    </xf>
    <xf numFmtId="0" fontId="52" fillId="27" borderId="0" xfId="0" applyFont="1" applyFill="1" applyBorder="1" applyAlignment="1" applyProtection="1">
      <alignment vertical="top"/>
      <protection/>
    </xf>
    <xf numFmtId="3" fontId="3" fillId="27" borderId="0" xfId="0" applyNumberFormat="1" applyFont="1" applyFill="1" applyBorder="1" applyAlignment="1" applyProtection="1">
      <alignment horizontal="left"/>
      <protection/>
    </xf>
    <xf numFmtId="3" fontId="6" fillId="27" borderId="0" xfId="0" applyNumberFormat="1" applyFont="1" applyFill="1" applyBorder="1" applyAlignment="1" applyProtection="1">
      <alignment/>
      <protection/>
    </xf>
    <xf numFmtId="0" fontId="3" fillId="27" borderId="0" xfId="0" applyFont="1" applyFill="1" applyBorder="1" applyAlignment="1" applyProtection="1">
      <alignment/>
      <protection/>
    </xf>
    <xf numFmtId="1" fontId="31" fillId="27" borderId="0" xfId="0" applyNumberFormat="1" applyFont="1" applyFill="1" applyBorder="1" applyAlignment="1" applyProtection="1">
      <alignment horizontal="left"/>
      <protection/>
    </xf>
    <xf numFmtId="165" fontId="40" fillId="27" borderId="0" xfId="0" applyNumberFormat="1" applyFont="1" applyFill="1" applyBorder="1" applyAlignment="1" applyProtection="1">
      <alignment/>
      <protection/>
    </xf>
    <xf numFmtId="3" fontId="28" fillId="27" borderId="0" xfId="0" applyNumberFormat="1" applyFont="1" applyFill="1" applyAlignment="1" applyProtection="1">
      <alignment/>
      <protection/>
    </xf>
    <xf numFmtId="0" fontId="8" fillId="27" borderId="0" xfId="0" applyFont="1" applyFill="1" applyAlignment="1" applyProtection="1">
      <alignment/>
      <protection/>
    </xf>
    <xf numFmtId="0" fontId="44" fillId="27" borderId="0" xfId="0" applyNumberFormat="1" applyFont="1" applyFill="1" applyAlignment="1" applyProtection="1">
      <alignment/>
      <protection/>
    </xf>
    <xf numFmtId="0" fontId="50" fillId="27" borderId="0" xfId="0" applyNumberFormat="1" applyFont="1" applyFill="1" applyAlignment="1" applyProtection="1">
      <alignment/>
      <protection/>
    </xf>
    <xf numFmtId="0" fontId="4" fillId="27" borderId="0" xfId="0" applyFont="1" applyFill="1" applyAlignment="1" applyProtection="1">
      <alignment/>
      <protection/>
    </xf>
    <xf numFmtId="3" fontId="45" fillId="27" borderId="0" xfId="0" applyNumberFormat="1" applyFont="1" applyFill="1" applyBorder="1" applyAlignment="1" applyProtection="1">
      <alignment horizontal="left"/>
      <protection/>
    </xf>
    <xf numFmtId="3" fontId="8" fillId="27" borderId="20" xfId="0" applyNumberFormat="1" applyFont="1" applyFill="1" applyBorder="1" applyAlignment="1" applyProtection="1">
      <alignment/>
      <protection/>
    </xf>
    <xf numFmtId="3" fontId="8" fillId="27" borderId="0" xfId="0" applyNumberFormat="1" applyFont="1" applyFill="1" applyBorder="1" applyAlignment="1" applyProtection="1">
      <alignment/>
      <protection/>
    </xf>
    <xf numFmtId="3" fontId="4" fillId="29" borderId="0" xfId="0" applyNumberFormat="1" applyFont="1" applyFill="1" applyBorder="1" applyAlignment="1" applyProtection="1">
      <alignment/>
      <protection/>
    </xf>
    <xf numFmtId="3" fontId="3" fillId="30" borderId="0" xfId="0" applyNumberFormat="1" applyFont="1" applyFill="1" applyBorder="1" applyAlignment="1" applyProtection="1">
      <alignment horizontal="right"/>
      <protection/>
    </xf>
    <xf numFmtId="3" fontId="3" fillId="29" borderId="0" xfId="0" applyNumberFormat="1" applyFont="1" applyFill="1" applyBorder="1" applyAlignment="1" applyProtection="1">
      <alignment horizontal="right"/>
      <protection/>
    </xf>
    <xf numFmtId="3" fontId="3" fillId="29" borderId="0" xfId="0" applyNumberFormat="1" applyFont="1" applyFill="1" applyBorder="1" applyAlignment="1" applyProtection="1">
      <alignment horizontal="left"/>
      <protection/>
    </xf>
    <xf numFmtId="3" fontId="3" fillId="30" borderId="0" xfId="0" applyNumberFormat="1" applyFont="1" applyFill="1" applyBorder="1" applyAlignment="1" applyProtection="1">
      <alignment/>
      <protection/>
    </xf>
    <xf numFmtId="3" fontId="3" fillId="30" borderId="0" xfId="0" applyNumberFormat="1" applyFont="1" applyFill="1" applyBorder="1" applyAlignment="1" applyProtection="1">
      <alignment/>
      <protection/>
    </xf>
    <xf numFmtId="3" fontId="3" fillId="27" borderId="14" xfId="0" applyNumberFormat="1" applyFont="1" applyFill="1" applyBorder="1" applyAlignment="1" applyProtection="1">
      <alignment horizontal="right"/>
      <protection locked="0"/>
    </xf>
    <xf numFmtId="3" fontId="3" fillId="27" borderId="21" xfId="0" applyNumberFormat="1" applyFont="1" applyFill="1" applyBorder="1" applyAlignment="1" applyProtection="1">
      <alignment horizontal="right"/>
      <protection locked="0"/>
    </xf>
    <xf numFmtId="3" fontId="47" fillId="27" borderId="0" xfId="0" applyNumberFormat="1" applyFont="1" applyFill="1" applyBorder="1" applyAlignment="1" applyProtection="1">
      <alignment/>
      <protection/>
    </xf>
    <xf numFmtId="3" fontId="3" fillId="31" borderId="0" xfId="0" applyNumberFormat="1" applyFont="1" applyFill="1" applyBorder="1" applyAlignment="1" applyProtection="1">
      <alignment horizontal="right"/>
      <protection/>
    </xf>
    <xf numFmtId="3" fontId="3" fillId="31" borderId="0" xfId="0" applyNumberFormat="1" applyFont="1" applyFill="1" applyBorder="1" applyAlignment="1" applyProtection="1">
      <alignment/>
      <protection/>
    </xf>
    <xf numFmtId="0" fontId="57" fillId="27" borderId="0" xfId="0" applyFont="1" applyFill="1" applyAlignment="1" applyProtection="1">
      <alignment/>
      <protection/>
    </xf>
    <xf numFmtId="0" fontId="58" fillId="27" borderId="0" xfId="0" applyFont="1" applyFill="1" applyBorder="1" applyAlignment="1" applyProtection="1">
      <alignment/>
      <protection/>
    </xf>
    <xf numFmtId="0" fontId="28" fillId="27" borderId="0" xfId="0" applyFont="1" applyFill="1" applyBorder="1" applyAlignment="1" applyProtection="1">
      <alignment/>
      <protection/>
    </xf>
    <xf numFmtId="0" fontId="13" fillId="27" borderId="0" xfId="0" applyFont="1" applyFill="1" applyBorder="1" applyAlignment="1" applyProtection="1">
      <alignment/>
      <protection/>
    </xf>
    <xf numFmtId="166" fontId="13" fillId="27" borderId="0" xfId="0" applyNumberFormat="1" applyFont="1" applyFill="1" applyAlignment="1" applyProtection="1">
      <alignment/>
      <protection/>
    </xf>
    <xf numFmtId="0" fontId="60" fillId="27" borderId="0" xfId="0" applyFont="1" applyFill="1" applyBorder="1" applyAlignment="1" applyProtection="1" quotePrefix="1">
      <alignment/>
      <protection/>
    </xf>
    <xf numFmtId="0" fontId="58" fillId="27" borderId="0" xfId="0" applyFont="1" applyFill="1" applyBorder="1" applyAlignment="1" applyProtection="1">
      <alignment horizontal="left"/>
      <protection/>
    </xf>
    <xf numFmtId="0" fontId="61" fillId="27" borderId="0" xfId="0" applyNumberFormat="1" applyFont="1" applyFill="1" applyAlignment="1" applyProtection="1">
      <alignment/>
      <protection hidden="1"/>
    </xf>
    <xf numFmtId="0" fontId="61" fillId="27" borderId="0" xfId="0" applyNumberFormat="1" applyFont="1" applyFill="1" applyAlignment="1" applyProtection="1">
      <alignment/>
      <protection/>
    </xf>
    <xf numFmtId="0" fontId="62" fillId="27" borderId="0" xfId="0" applyNumberFormat="1" applyFont="1" applyFill="1" applyAlignment="1" applyProtection="1">
      <alignment/>
      <protection/>
    </xf>
    <xf numFmtId="0" fontId="62" fillId="27" borderId="0" xfId="0" applyFont="1" applyFill="1" applyAlignment="1" applyProtection="1">
      <alignment/>
      <protection/>
    </xf>
    <xf numFmtId="3" fontId="4" fillId="27" borderId="0" xfId="0" applyNumberFormat="1" applyFont="1" applyFill="1" applyBorder="1" applyAlignment="1" applyProtection="1">
      <alignment/>
      <protection/>
    </xf>
    <xf numFmtId="3" fontId="3" fillId="27" borderId="11" xfId="0" applyNumberFormat="1" applyFont="1" applyFill="1" applyBorder="1" applyAlignment="1" applyProtection="1">
      <alignment horizontal="right"/>
      <protection locked="0"/>
    </xf>
    <xf numFmtId="3" fontId="3" fillId="27" borderId="0" xfId="0" applyNumberFormat="1" applyFont="1" applyFill="1" applyBorder="1" applyAlignment="1" applyProtection="1">
      <alignment/>
      <protection/>
    </xf>
    <xf numFmtId="3" fontId="13" fillId="27" borderId="0" xfId="0" applyNumberFormat="1" applyFont="1" applyFill="1" applyBorder="1" applyAlignment="1" applyProtection="1">
      <alignment/>
      <protection/>
    </xf>
    <xf numFmtId="3" fontId="29" fillId="27" borderId="0" xfId="0" applyNumberFormat="1" applyFont="1" applyFill="1" applyBorder="1" applyAlignment="1" applyProtection="1">
      <alignment horizontal="left"/>
      <protection/>
    </xf>
    <xf numFmtId="0" fontId="9" fillId="27" borderId="0" xfId="0" applyFont="1" applyFill="1" applyAlignment="1" applyProtection="1">
      <alignment/>
      <protection/>
    </xf>
    <xf numFmtId="166" fontId="9" fillId="27" borderId="0" xfId="0" applyNumberFormat="1" applyFont="1" applyFill="1" applyAlignment="1" applyProtection="1">
      <alignment/>
      <protection/>
    </xf>
    <xf numFmtId="0" fontId="29" fillId="27" borderId="0" xfId="0" applyFont="1" applyFill="1" applyAlignment="1" applyProtection="1">
      <alignment/>
      <protection/>
    </xf>
    <xf numFmtId="0" fontId="63" fillId="27" borderId="0" xfId="0" applyFont="1" applyFill="1" applyAlignment="1" applyProtection="1">
      <alignment/>
      <protection/>
    </xf>
    <xf numFmtId="0" fontId="64" fillId="27" borderId="0" xfId="0" applyFont="1" applyFill="1" applyAlignment="1" applyProtection="1">
      <alignment/>
      <protection/>
    </xf>
    <xf numFmtId="0" fontId="15" fillId="27" borderId="0" xfId="0" applyFont="1" applyFill="1" applyAlignment="1" applyProtection="1">
      <alignment vertical="top"/>
      <protection/>
    </xf>
    <xf numFmtId="0" fontId="28" fillId="27" borderId="0" xfId="0" applyFont="1" applyFill="1" applyBorder="1" applyAlignment="1" applyProtection="1">
      <alignment horizontal="left" vertical="top"/>
      <protection/>
    </xf>
    <xf numFmtId="1" fontId="4" fillId="27" borderId="1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6" fillId="29" borderId="0" xfId="0" applyNumberFormat="1" applyFont="1" applyFill="1" applyBorder="1" applyAlignment="1" applyProtection="1">
      <alignment/>
      <protection/>
    </xf>
    <xf numFmtId="0" fontId="52" fillId="27" borderId="0" xfId="0" applyFont="1" applyFill="1" applyAlignment="1" applyProtection="1">
      <alignment vertical="top"/>
      <protection/>
    </xf>
    <xf numFmtId="0" fontId="46" fillId="27" borderId="0" xfId="0" applyFont="1" applyFill="1" applyAlignment="1" applyProtection="1">
      <alignment/>
      <protection/>
    </xf>
    <xf numFmtId="0" fontId="46" fillId="27" borderId="0" xfId="0" applyFont="1" applyFill="1" applyAlignment="1" applyProtection="1">
      <alignment vertical="top"/>
      <protection/>
    </xf>
    <xf numFmtId="0" fontId="26" fillId="32" borderId="0" xfId="0" applyFont="1" applyFill="1" applyBorder="1" applyAlignment="1" applyProtection="1">
      <alignment horizontal="left"/>
      <protection/>
    </xf>
    <xf numFmtId="0" fontId="23" fillId="32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3" fontId="3" fillId="33" borderId="22" xfId="0" applyNumberFormat="1" applyFont="1" applyFill="1" applyBorder="1" applyAlignment="1" applyProtection="1">
      <alignment horizontal="right"/>
      <protection/>
    </xf>
    <xf numFmtId="3" fontId="3" fillId="34" borderId="23" xfId="0" applyNumberFormat="1" applyFont="1" applyFill="1" applyBorder="1" applyAlignment="1" applyProtection="1">
      <alignment horizontal="right"/>
      <protection/>
    </xf>
    <xf numFmtId="3" fontId="3" fillId="34" borderId="18" xfId="0" applyNumberFormat="1" applyFont="1" applyFill="1" applyBorder="1" applyAlignment="1" applyProtection="1">
      <alignment horizontal="right"/>
      <protection/>
    </xf>
    <xf numFmtId="3" fontId="3" fillId="34" borderId="16" xfId="0" applyNumberFormat="1" applyFont="1" applyFill="1" applyBorder="1" applyAlignment="1" applyProtection="1">
      <alignment horizontal="right"/>
      <protection/>
    </xf>
    <xf numFmtId="3" fontId="3" fillId="34" borderId="24" xfId="0" applyNumberFormat="1" applyFont="1" applyFill="1" applyBorder="1" applyAlignment="1" applyProtection="1">
      <alignment horizontal="right"/>
      <protection/>
    </xf>
    <xf numFmtId="3" fontId="3" fillId="34" borderId="25" xfId="0" applyNumberFormat="1" applyFont="1" applyFill="1" applyBorder="1" applyAlignment="1" applyProtection="1">
      <alignment horizontal="right"/>
      <protection/>
    </xf>
    <xf numFmtId="3" fontId="3" fillId="34" borderId="26" xfId="0" applyNumberFormat="1" applyFont="1" applyFill="1" applyBorder="1" applyAlignment="1" applyProtection="1">
      <alignment horizontal="right"/>
      <protection/>
    </xf>
    <xf numFmtId="3" fontId="3" fillId="34" borderId="14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26" fillId="32" borderId="0" xfId="0" applyFont="1" applyFill="1" applyAlignment="1" applyProtection="1">
      <alignment vertical="top"/>
      <protection/>
    </xf>
    <xf numFmtId="0" fontId="24" fillId="32" borderId="0" xfId="0" applyFont="1" applyFill="1" applyAlignment="1" applyProtection="1">
      <alignment/>
      <protection/>
    </xf>
    <xf numFmtId="0" fontId="25" fillId="32" borderId="0" xfId="0" applyFont="1" applyFill="1" applyAlignment="1" applyProtection="1">
      <alignment/>
      <protection/>
    </xf>
    <xf numFmtId="0" fontId="26" fillId="32" borderId="0" xfId="0" applyFont="1" applyFill="1" applyBorder="1" applyAlignment="1" applyProtection="1" quotePrefix="1">
      <alignment horizontal="left"/>
      <protection/>
    </xf>
    <xf numFmtId="0" fontId="56" fillId="32" borderId="0" xfId="0" applyFont="1" applyFill="1" applyAlignment="1" applyProtection="1">
      <alignment/>
      <protection/>
    </xf>
    <xf numFmtId="0" fontId="57" fillId="32" borderId="0" xfId="0" applyFont="1" applyFill="1" applyAlignment="1" applyProtection="1">
      <alignment/>
      <protection/>
    </xf>
    <xf numFmtId="166" fontId="57" fillId="32" borderId="0" xfId="0" applyNumberFormat="1" applyFont="1" applyFill="1" applyAlignment="1" applyProtection="1">
      <alignment/>
      <protection/>
    </xf>
    <xf numFmtId="3" fontId="3" fillId="34" borderId="18" xfId="0" applyNumberFormat="1" applyFont="1" applyFill="1" applyBorder="1" applyAlignment="1" applyProtection="1">
      <alignment/>
      <protection/>
    </xf>
    <xf numFmtId="3" fontId="3" fillId="34" borderId="14" xfId="0" applyNumberFormat="1" applyFont="1" applyFill="1" applyBorder="1" applyAlignment="1" applyProtection="1">
      <alignment/>
      <protection/>
    </xf>
    <xf numFmtId="3" fontId="3" fillId="27" borderId="27" xfId="0" applyNumberFormat="1" applyFont="1" applyFill="1" applyBorder="1" applyAlignment="1" applyProtection="1">
      <alignment horizontal="right"/>
      <protection locked="0"/>
    </xf>
    <xf numFmtId="3" fontId="3" fillId="27" borderId="27" xfId="0" applyNumberFormat="1" applyFont="1" applyFill="1" applyBorder="1" applyAlignment="1" applyProtection="1">
      <alignment horizontal="right"/>
      <protection locked="0"/>
    </xf>
    <xf numFmtId="3" fontId="3" fillId="27" borderId="28" xfId="0" applyNumberFormat="1" applyFont="1" applyFill="1" applyBorder="1" applyAlignment="1" applyProtection="1">
      <alignment horizontal="right"/>
      <protection locked="0"/>
    </xf>
    <xf numFmtId="3" fontId="3" fillId="27" borderId="29" xfId="0" applyNumberFormat="1" applyFont="1" applyFill="1" applyBorder="1" applyAlignment="1" applyProtection="1">
      <alignment horizontal="right"/>
      <protection locked="0"/>
    </xf>
    <xf numFmtId="3" fontId="3" fillId="27" borderId="30" xfId="0" applyNumberFormat="1" applyFont="1" applyFill="1" applyBorder="1" applyAlignment="1" applyProtection="1">
      <alignment horizontal="right"/>
      <protection locked="0"/>
    </xf>
    <xf numFmtId="3" fontId="3" fillId="27" borderId="31" xfId="0" applyNumberFormat="1" applyFont="1" applyFill="1" applyBorder="1" applyAlignment="1" applyProtection="1">
      <alignment horizontal="right"/>
      <protection locked="0"/>
    </xf>
    <xf numFmtId="3" fontId="3" fillId="28" borderId="28" xfId="0" applyNumberFormat="1" applyFont="1" applyFill="1" applyBorder="1" applyAlignment="1" applyProtection="1">
      <alignment horizontal="right"/>
      <protection/>
    </xf>
    <xf numFmtId="3" fontId="3" fillId="27" borderId="32" xfId="0" applyNumberFormat="1" applyFont="1" applyFill="1" applyBorder="1" applyAlignment="1" applyProtection="1">
      <alignment horizontal="right"/>
      <protection locked="0"/>
    </xf>
    <xf numFmtId="3" fontId="3" fillId="27" borderId="33" xfId="0" applyNumberFormat="1" applyFont="1" applyFill="1" applyBorder="1" applyAlignment="1" applyProtection="1">
      <alignment horizontal="right"/>
      <protection locked="0"/>
    </xf>
    <xf numFmtId="3" fontId="3" fillId="27" borderId="34" xfId="0" applyNumberFormat="1" applyFont="1" applyFill="1" applyBorder="1" applyAlignment="1" applyProtection="1">
      <alignment horizontal="right"/>
      <protection locked="0"/>
    </xf>
    <xf numFmtId="3" fontId="3" fillId="27" borderId="35" xfId="0" applyNumberFormat="1" applyFont="1" applyFill="1" applyBorder="1" applyAlignment="1" applyProtection="1">
      <alignment horizontal="right"/>
      <protection locked="0"/>
    </xf>
    <xf numFmtId="0" fontId="6" fillId="27" borderId="0" xfId="0" applyFont="1" applyFill="1" applyBorder="1" applyAlignment="1" applyProtection="1">
      <alignment/>
      <protection/>
    </xf>
    <xf numFmtId="3" fontId="3" fillId="30" borderId="36" xfId="0" applyNumberFormat="1" applyFont="1" applyFill="1" applyBorder="1" applyAlignment="1" applyProtection="1">
      <alignment horizontal="right"/>
      <protection/>
    </xf>
    <xf numFmtId="3" fontId="3" fillId="27" borderId="37" xfId="0" applyNumberFormat="1" applyFont="1" applyFill="1" applyBorder="1" applyAlignment="1" applyProtection="1">
      <alignment horizontal="right"/>
      <protection locked="0"/>
    </xf>
    <xf numFmtId="3" fontId="3" fillId="27" borderId="38" xfId="0" applyNumberFormat="1" applyFont="1" applyFill="1" applyBorder="1" applyAlignment="1" applyProtection="1">
      <alignment horizontal="right"/>
      <protection locked="0"/>
    </xf>
    <xf numFmtId="3" fontId="3" fillId="27" borderId="39" xfId="0" applyNumberFormat="1" applyFont="1" applyFill="1" applyBorder="1" applyAlignment="1" applyProtection="1">
      <alignment horizontal="right"/>
      <protection locked="0"/>
    </xf>
    <xf numFmtId="3" fontId="3" fillId="28" borderId="40" xfId="0" applyNumberFormat="1" applyFont="1" applyFill="1" applyBorder="1" applyAlignment="1" applyProtection="1">
      <alignment horizontal="right"/>
      <protection/>
    </xf>
    <xf numFmtId="3" fontId="3" fillId="28" borderId="38" xfId="0" applyNumberFormat="1" applyFont="1" applyFill="1" applyBorder="1" applyAlignment="1" applyProtection="1">
      <alignment horizontal="right"/>
      <protection/>
    </xf>
    <xf numFmtId="3" fontId="3" fillId="28" borderId="41" xfId="0" applyNumberFormat="1" applyFont="1" applyFill="1" applyBorder="1" applyAlignment="1" applyProtection="1">
      <alignment horizontal="right"/>
      <protection/>
    </xf>
    <xf numFmtId="3" fontId="3" fillId="27" borderId="41" xfId="0" applyNumberFormat="1" applyFont="1" applyFill="1" applyBorder="1" applyAlignment="1" applyProtection="1">
      <alignment horizontal="right"/>
      <protection locked="0"/>
    </xf>
    <xf numFmtId="3" fontId="3" fillId="34" borderId="42" xfId="0" applyNumberFormat="1" applyFont="1" applyFill="1" applyBorder="1" applyAlignment="1" applyProtection="1">
      <alignment/>
      <protection/>
    </xf>
    <xf numFmtId="3" fontId="3" fillId="34" borderId="43" xfId="0" applyNumberFormat="1" applyFont="1" applyFill="1" applyBorder="1" applyAlignment="1" applyProtection="1">
      <alignment horizontal="right"/>
      <protection/>
    </xf>
    <xf numFmtId="3" fontId="3" fillId="34" borderId="44" xfId="0" applyNumberFormat="1" applyFont="1" applyFill="1" applyBorder="1" applyAlignment="1" applyProtection="1">
      <alignment horizontal="right"/>
      <protection/>
    </xf>
    <xf numFmtId="0" fontId="4" fillId="35" borderId="45" xfId="0" applyFont="1" applyFill="1" applyBorder="1" applyAlignment="1" applyProtection="1">
      <alignment horizontal="center"/>
      <protection/>
    </xf>
    <xf numFmtId="0" fontId="4" fillId="35" borderId="46" xfId="0" applyFont="1" applyFill="1" applyBorder="1" applyAlignment="1" applyProtection="1">
      <alignment horizontal="center"/>
      <protection/>
    </xf>
    <xf numFmtId="0" fontId="4" fillId="35" borderId="47" xfId="0" applyFont="1" applyFill="1" applyBorder="1" applyAlignment="1" applyProtection="1">
      <alignment horizontal="center"/>
      <protection/>
    </xf>
    <xf numFmtId="0" fontId="4" fillId="35" borderId="48" xfId="0" applyFont="1" applyFill="1" applyBorder="1" applyAlignment="1" applyProtection="1">
      <alignment horizontal="center"/>
      <protection/>
    </xf>
    <xf numFmtId="0" fontId="28" fillId="27" borderId="0" xfId="0" applyFont="1" applyFill="1" applyBorder="1" applyAlignment="1" applyProtection="1">
      <alignment/>
      <protection/>
    </xf>
    <xf numFmtId="0" fontId="44" fillId="27" borderId="0" xfId="0" applyNumberFormat="1" applyFont="1" applyFill="1" applyBorder="1" applyAlignment="1" applyProtection="1">
      <alignment/>
      <protection/>
    </xf>
    <xf numFmtId="3" fontId="8" fillId="27" borderId="49" xfId="0" applyNumberFormat="1" applyFont="1" applyFill="1" applyBorder="1" applyAlignment="1" applyProtection="1">
      <alignment/>
      <protection/>
    </xf>
    <xf numFmtId="3" fontId="30" fillId="27" borderId="49" xfId="0" applyNumberFormat="1" applyFont="1" applyFill="1" applyBorder="1" applyAlignment="1" applyProtection="1">
      <alignment horizontal="left"/>
      <protection/>
    </xf>
    <xf numFmtId="164" fontId="9" fillId="27" borderId="10" xfId="0" applyNumberFormat="1" applyFont="1" applyFill="1" applyBorder="1" applyAlignment="1" applyProtection="1">
      <alignment horizontal="center" vertical="center"/>
      <protection/>
    </xf>
    <xf numFmtId="3" fontId="3" fillId="34" borderId="50" xfId="0" applyNumberFormat="1" applyFont="1" applyFill="1" applyBorder="1" applyAlignment="1" applyProtection="1">
      <alignment horizontal="right"/>
      <protection/>
    </xf>
    <xf numFmtId="3" fontId="3" fillId="34" borderId="29" xfId="0" applyNumberFormat="1" applyFont="1" applyFill="1" applyBorder="1" applyAlignment="1" applyProtection="1">
      <alignment horizontal="right"/>
      <protection/>
    </xf>
    <xf numFmtId="3" fontId="3" fillId="34" borderId="51" xfId="0" applyNumberFormat="1" applyFont="1" applyFill="1" applyBorder="1" applyAlignment="1" applyProtection="1">
      <alignment horizontal="right"/>
      <protection/>
    </xf>
    <xf numFmtId="0" fontId="26" fillId="32" borderId="0" xfId="53" applyFont="1" applyFill="1" applyBorder="1" applyAlignment="1" applyProtection="1">
      <alignment horizontal="left"/>
      <protection/>
    </xf>
    <xf numFmtId="0" fontId="23" fillId="32" borderId="0" xfId="53" applyFont="1" applyFill="1" applyBorder="1" applyAlignment="1" applyProtection="1">
      <alignment horizontal="left"/>
      <protection/>
    </xf>
    <xf numFmtId="0" fontId="4" fillId="0" borderId="0" xfId="53" applyFont="1" applyFill="1" applyProtection="1">
      <alignment/>
      <protection/>
    </xf>
    <xf numFmtId="3" fontId="3" fillId="27" borderId="14" xfId="53" applyNumberFormat="1" applyFont="1" applyFill="1" applyBorder="1" applyAlignment="1" applyProtection="1">
      <alignment horizontal="right"/>
      <protection locked="0"/>
    </xf>
    <xf numFmtId="3" fontId="3" fillId="33" borderId="11" xfId="53" applyNumberFormat="1" applyFont="1" applyFill="1" applyBorder="1" applyAlignment="1" applyProtection="1">
      <alignment horizontal="right"/>
      <protection/>
    </xf>
    <xf numFmtId="3" fontId="3" fillId="34" borderId="14" xfId="53" applyNumberFormat="1" applyFont="1" applyFill="1" applyBorder="1" applyAlignment="1" applyProtection="1">
      <alignment horizontal="right"/>
      <protection/>
    </xf>
    <xf numFmtId="0" fontId="68" fillId="35" borderId="0" xfId="0" applyFont="1" applyFill="1" applyBorder="1" applyAlignment="1">
      <alignment wrapText="1"/>
    </xf>
    <xf numFmtId="0" fontId="58" fillId="35" borderId="0" xfId="0" applyFont="1" applyFill="1" applyBorder="1" applyAlignment="1">
      <alignment horizontal="center" wrapText="1"/>
    </xf>
    <xf numFmtId="0" fontId="71" fillId="32" borderId="0" xfId="0" applyFont="1" applyFill="1" applyBorder="1" applyAlignment="1" applyProtection="1">
      <alignment horizontal="left"/>
      <protection/>
    </xf>
    <xf numFmtId="3" fontId="28" fillId="27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49" fontId="3" fillId="35" borderId="52" xfId="0" applyNumberFormat="1" applyFont="1" applyFill="1" applyBorder="1" applyAlignment="1" applyProtection="1">
      <alignment/>
      <protection/>
    </xf>
    <xf numFmtId="49" fontId="3" fillId="35" borderId="37" xfId="0" applyNumberFormat="1" applyFont="1" applyFill="1" applyBorder="1" applyAlignment="1" applyProtection="1">
      <alignment/>
      <protection/>
    </xf>
    <xf numFmtId="49" fontId="3" fillId="35" borderId="38" xfId="0" applyNumberFormat="1" applyFont="1" applyFill="1" applyBorder="1" applyAlignment="1" applyProtection="1">
      <alignment/>
      <protection/>
    </xf>
    <xf numFmtId="49" fontId="3" fillId="35" borderId="53" xfId="0" applyNumberFormat="1" applyFont="1" applyFill="1" applyBorder="1" applyAlignment="1" applyProtection="1">
      <alignment/>
      <protection/>
    </xf>
    <xf numFmtId="49" fontId="3" fillId="35" borderId="54" xfId="0" applyNumberFormat="1" applyFont="1" applyFill="1" applyBorder="1" applyAlignment="1" applyProtection="1">
      <alignment/>
      <protection/>
    </xf>
    <xf numFmtId="49" fontId="3" fillId="35" borderId="55" xfId="0" applyNumberFormat="1" applyFont="1" applyFill="1" applyBorder="1" applyAlignment="1" applyProtection="1">
      <alignment/>
      <protection/>
    </xf>
    <xf numFmtId="49" fontId="3" fillId="35" borderId="39" xfId="0" applyNumberFormat="1" applyFont="1" applyFill="1" applyBorder="1" applyAlignment="1" applyProtection="1">
      <alignment/>
      <protection/>
    </xf>
    <xf numFmtId="3" fontId="75" fillId="0" borderId="0" xfId="0" applyNumberFormat="1" applyFont="1" applyFill="1" applyBorder="1" applyAlignment="1" applyProtection="1">
      <alignment/>
      <protection/>
    </xf>
    <xf numFmtId="0" fontId="13" fillId="27" borderId="0" xfId="0" applyFont="1" applyFill="1" applyAlignment="1" applyProtection="1">
      <alignment/>
      <protection/>
    </xf>
    <xf numFmtId="0" fontId="77" fillId="32" borderId="0" xfId="0" applyFont="1" applyFill="1" applyAlignment="1" applyProtection="1">
      <alignment/>
      <protection/>
    </xf>
    <xf numFmtId="0" fontId="13" fillId="27" borderId="0" xfId="0" applyNumberFormat="1" applyFont="1" applyFill="1" applyBorder="1" applyAlignment="1" applyProtection="1">
      <alignment/>
      <protection/>
    </xf>
    <xf numFmtId="169" fontId="75" fillId="27" borderId="0" xfId="0" applyNumberFormat="1" applyFont="1" applyFill="1" applyBorder="1" applyAlignment="1" applyProtection="1">
      <alignment horizontal="left"/>
      <protection/>
    </xf>
    <xf numFmtId="3" fontId="75" fillId="27" borderId="0" xfId="0" applyNumberFormat="1" applyFont="1" applyFill="1" applyBorder="1" applyAlignment="1" applyProtection="1">
      <alignment/>
      <protection/>
    </xf>
    <xf numFmtId="0" fontId="75" fillId="27" borderId="0" xfId="0" applyFont="1" applyFill="1" applyAlignment="1" applyProtection="1">
      <alignment/>
      <protection/>
    </xf>
    <xf numFmtId="3" fontId="3" fillId="34" borderId="56" xfId="0" applyNumberFormat="1" applyFont="1" applyFill="1" applyBorder="1" applyAlignment="1" applyProtection="1">
      <alignment horizontal="right"/>
      <protection/>
    </xf>
    <xf numFmtId="3" fontId="3" fillId="34" borderId="57" xfId="0" applyNumberFormat="1" applyFont="1" applyFill="1" applyBorder="1" applyAlignment="1" applyProtection="1">
      <alignment horizontal="right"/>
      <protection/>
    </xf>
    <xf numFmtId="49" fontId="3" fillId="35" borderId="0" xfId="0" applyNumberFormat="1" applyFont="1" applyFill="1" applyBorder="1" applyAlignment="1" applyProtection="1">
      <alignment/>
      <protection/>
    </xf>
    <xf numFmtId="49" fontId="3" fillId="35" borderId="58" xfId="0" applyNumberFormat="1" applyFont="1" applyFill="1" applyBorder="1" applyAlignment="1" applyProtection="1">
      <alignment/>
      <protection/>
    </xf>
    <xf numFmtId="49" fontId="3" fillId="35" borderId="48" xfId="0" applyNumberFormat="1" applyFont="1" applyFill="1" applyBorder="1" applyAlignment="1" applyProtection="1">
      <alignment/>
      <protection/>
    </xf>
    <xf numFmtId="3" fontId="45" fillId="27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30" fillId="27" borderId="0" xfId="0" applyNumberFormat="1" applyFont="1" applyFill="1" applyBorder="1" applyAlignment="1" applyProtection="1">
      <alignment horizontal="left"/>
      <protection/>
    </xf>
    <xf numFmtId="0" fontId="0" fillId="32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7" borderId="0" xfId="0" applyFill="1" applyBorder="1" applyAlignment="1" applyProtection="1">
      <alignment/>
      <protection/>
    </xf>
    <xf numFmtId="0" fontId="3" fillId="27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3" fontId="3" fillId="0" borderId="59" xfId="0" applyNumberFormat="1" applyFont="1" applyFill="1" applyBorder="1" applyAlignment="1" applyProtection="1">
      <alignment horizontal="right"/>
      <protection locked="0"/>
    </xf>
    <xf numFmtId="3" fontId="3" fillId="27" borderId="60" xfId="0" applyNumberFormat="1" applyFont="1" applyFill="1" applyBorder="1" applyAlignment="1" applyProtection="1">
      <alignment horizontal="right"/>
      <protection locked="0"/>
    </xf>
    <xf numFmtId="3" fontId="3" fillId="27" borderId="28" xfId="0" applyNumberFormat="1" applyFont="1" applyFill="1" applyBorder="1" applyAlignment="1" applyProtection="1">
      <alignment horizontal="right"/>
      <protection locked="0"/>
    </xf>
    <xf numFmtId="165" fontId="28" fillId="0" borderId="0" xfId="0" applyNumberFormat="1" applyFont="1" applyFill="1" applyBorder="1" applyAlignment="1" applyProtection="1">
      <alignment/>
      <protection/>
    </xf>
    <xf numFmtId="0" fontId="28" fillId="27" borderId="0" xfId="0" applyFont="1" applyFill="1" applyAlignment="1" applyProtection="1">
      <alignment/>
      <protection/>
    </xf>
    <xf numFmtId="0" fontId="28" fillId="27" borderId="0" xfId="0" applyFont="1" applyFill="1" applyBorder="1" applyAlignment="1" applyProtection="1">
      <alignment horizontal="left"/>
      <protection/>
    </xf>
    <xf numFmtId="0" fontId="46" fillId="27" borderId="0" xfId="0" applyFont="1" applyFill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49" fontId="0" fillId="27" borderId="0" xfId="0" applyNumberFormat="1" applyFill="1" applyAlignment="1" applyProtection="1">
      <alignment/>
      <protection/>
    </xf>
    <xf numFmtId="0" fontId="76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3" fontId="3" fillId="27" borderId="61" xfId="0" applyNumberFormat="1" applyFont="1" applyFill="1" applyBorder="1" applyAlignment="1" applyProtection="1">
      <alignment horizontal="right"/>
      <protection locked="0"/>
    </xf>
    <xf numFmtId="3" fontId="3" fillId="31" borderId="27" xfId="0" applyNumberFormat="1" applyFont="1" applyFill="1" applyBorder="1" applyAlignment="1" applyProtection="1">
      <alignment horizontal="right"/>
      <protection locked="0"/>
    </xf>
    <xf numFmtId="3" fontId="3" fillId="27" borderId="62" xfId="0" applyNumberFormat="1" applyFont="1" applyFill="1" applyBorder="1" applyAlignment="1" applyProtection="1">
      <alignment horizontal="right"/>
      <protection locked="0"/>
    </xf>
    <xf numFmtId="3" fontId="3" fillId="31" borderId="28" xfId="0" applyNumberFormat="1" applyFont="1" applyFill="1" applyBorder="1" applyAlignment="1" applyProtection="1">
      <alignment horizontal="right"/>
      <protection locked="0"/>
    </xf>
    <xf numFmtId="3" fontId="3" fillId="36" borderId="27" xfId="0" applyNumberFormat="1" applyFont="1" applyFill="1" applyBorder="1" applyAlignment="1" applyProtection="1">
      <alignment horizontal="right"/>
      <protection locked="0"/>
    </xf>
    <xf numFmtId="3" fontId="3" fillId="27" borderId="35" xfId="0" applyNumberFormat="1" applyFont="1" applyFill="1" applyBorder="1" applyAlignment="1" applyProtection="1">
      <alignment horizontal="right"/>
      <protection locked="0"/>
    </xf>
    <xf numFmtId="3" fontId="3" fillId="31" borderId="61" xfId="0" applyNumberFormat="1" applyFont="1" applyFill="1" applyBorder="1" applyAlignment="1" applyProtection="1">
      <alignment horizontal="right"/>
      <protection locked="0"/>
    </xf>
    <xf numFmtId="3" fontId="3" fillId="31" borderId="21" xfId="0" applyNumberFormat="1" applyFont="1" applyFill="1" applyBorder="1" applyAlignment="1" applyProtection="1">
      <alignment horizontal="right"/>
      <protection locked="0"/>
    </xf>
    <xf numFmtId="3" fontId="3" fillId="31" borderId="63" xfId="0" applyNumberFormat="1" applyFont="1" applyFill="1" applyBorder="1" applyAlignment="1" applyProtection="1">
      <alignment horizontal="right"/>
      <protection locked="0"/>
    </xf>
    <xf numFmtId="3" fontId="3" fillId="27" borderId="29" xfId="0" applyNumberFormat="1" applyFont="1" applyFill="1" applyBorder="1" applyAlignment="1" applyProtection="1">
      <alignment horizontal="right"/>
      <protection locked="0"/>
    </xf>
    <xf numFmtId="3" fontId="3" fillId="27" borderId="64" xfId="0" applyNumberFormat="1" applyFont="1" applyFill="1" applyBorder="1" applyAlignment="1" applyProtection="1">
      <alignment horizontal="right"/>
      <protection locked="0"/>
    </xf>
    <xf numFmtId="0" fontId="0" fillId="32" borderId="0" xfId="0" applyFill="1" applyBorder="1" applyAlignment="1" applyProtection="1">
      <alignment/>
      <protection/>
    </xf>
    <xf numFmtId="0" fontId="0" fillId="29" borderId="0" xfId="0" applyFill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51" fillId="27" borderId="0" xfId="0" applyFont="1" applyFill="1" applyAlignment="1" applyProtection="1" quotePrefix="1">
      <alignment horizontal="left"/>
      <protection/>
    </xf>
    <xf numFmtId="0" fontId="33" fillId="27" borderId="0" xfId="0" applyFont="1" applyFill="1" applyAlignment="1" applyProtection="1">
      <alignment horizontal="center"/>
      <protection/>
    </xf>
    <xf numFmtId="0" fontId="33" fillId="29" borderId="0" xfId="0" applyFont="1" applyFill="1" applyBorder="1" applyAlignment="1" applyProtection="1">
      <alignment horizontal="center"/>
      <protection/>
    </xf>
    <xf numFmtId="0" fontId="33" fillId="27" borderId="0" xfId="0" applyFont="1" applyFill="1" applyBorder="1" applyAlignment="1" applyProtection="1">
      <alignment horizontal="center"/>
      <protection/>
    </xf>
    <xf numFmtId="0" fontId="34" fillId="27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6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29" borderId="0" xfId="0" applyFont="1" applyFill="1" applyBorder="1" applyAlignment="1" applyProtection="1">
      <alignment/>
      <protection/>
    </xf>
    <xf numFmtId="3" fontId="3" fillId="29" borderId="0" xfId="0" applyNumberFormat="1" applyFont="1" applyFill="1" applyBorder="1" applyAlignment="1" applyProtection="1">
      <alignment/>
      <protection/>
    </xf>
    <xf numFmtId="0" fontId="46" fillId="27" borderId="0" xfId="0" applyFont="1" applyFill="1" applyBorder="1" applyAlignment="1" applyProtection="1">
      <alignment/>
      <protection/>
    </xf>
    <xf numFmtId="0" fontId="16" fillId="27" borderId="0" xfId="0" applyFont="1" applyFill="1" applyBorder="1" applyAlignment="1" applyProtection="1">
      <alignment/>
      <protection/>
    </xf>
    <xf numFmtId="0" fontId="8" fillId="27" borderId="0" xfId="0" applyFont="1" applyFill="1" applyBorder="1" applyAlignment="1" applyProtection="1">
      <alignment/>
      <protection/>
    </xf>
    <xf numFmtId="49" fontId="8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 horizontal="right"/>
      <protection locked="0"/>
    </xf>
    <xf numFmtId="0" fontId="9" fillId="27" borderId="0" xfId="0" applyFont="1" applyFill="1" applyBorder="1" applyAlignment="1" applyProtection="1">
      <alignment/>
      <protection/>
    </xf>
    <xf numFmtId="0" fontId="9" fillId="27" borderId="10" xfId="0" applyFont="1" applyFill="1" applyBorder="1" applyAlignment="1" applyProtection="1">
      <alignment/>
      <protection/>
    </xf>
    <xf numFmtId="0" fontId="16" fillId="27" borderId="0" xfId="0" applyFont="1" applyFill="1" applyAlignment="1" applyProtection="1">
      <alignment/>
      <protection/>
    </xf>
    <xf numFmtId="0" fontId="8" fillId="27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3" fillId="27" borderId="66" xfId="0" applyNumberFormat="1" applyFont="1" applyFill="1" applyBorder="1" applyAlignment="1" applyProtection="1">
      <alignment horizontal="right"/>
      <protection locked="0"/>
    </xf>
    <xf numFmtId="3" fontId="3" fillId="27" borderId="60" xfId="0" applyNumberFormat="1" applyFont="1" applyFill="1" applyBorder="1" applyAlignment="1" applyProtection="1">
      <alignment horizontal="right"/>
      <protection locked="0"/>
    </xf>
    <xf numFmtId="3" fontId="3" fillId="0" borderId="29" xfId="0" applyNumberFormat="1" applyFont="1" applyFill="1" applyBorder="1" applyAlignment="1" applyProtection="1">
      <alignment horizontal="right"/>
      <protection locked="0"/>
    </xf>
    <xf numFmtId="3" fontId="3" fillId="0" borderId="28" xfId="0" applyNumberFormat="1" applyFont="1" applyFill="1" applyBorder="1" applyAlignment="1" applyProtection="1">
      <alignment horizontal="right"/>
      <protection locked="0"/>
    </xf>
    <xf numFmtId="3" fontId="3" fillId="27" borderId="67" xfId="0" applyNumberFormat="1" applyFont="1" applyFill="1" applyBorder="1" applyAlignment="1" applyProtection="1">
      <alignment horizontal="right"/>
      <protection locked="0"/>
    </xf>
    <xf numFmtId="3" fontId="10" fillId="27" borderId="27" xfId="0" applyNumberFormat="1" applyFont="1" applyFill="1" applyBorder="1" applyAlignment="1" applyProtection="1">
      <alignment horizontal="right"/>
      <protection locked="0"/>
    </xf>
    <xf numFmtId="3" fontId="3" fillId="0" borderId="27" xfId="0" applyNumberFormat="1" applyFont="1" applyFill="1" applyBorder="1" applyAlignment="1" applyProtection="1">
      <alignment horizontal="right"/>
      <protection locked="0"/>
    </xf>
    <xf numFmtId="3" fontId="3" fillId="0" borderId="35" xfId="0" applyNumberFormat="1" applyFont="1" applyFill="1" applyBorder="1" applyAlignment="1" applyProtection="1">
      <alignment horizontal="right"/>
      <protection locked="0"/>
    </xf>
    <xf numFmtId="3" fontId="3" fillId="27" borderId="68" xfId="0" applyNumberFormat="1" applyFont="1" applyFill="1" applyBorder="1" applyAlignment="1" applyProtection="1">
      <alignment horizontal="right"/>
      <protection locked="0"/>
    </xf>
    <xf numFmtId="3" fontId="3" fillId="0" borderId="69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3" fontId="3" fillId="0" borderId="70" xfId="0" applyNumberFormat="1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5" fillId="27" borderId="0" xfId="0" applyFont="1" applyFill="1" applyAlignment="1" applyProtection="1">
      <alignment/>
      <protection/>
    </xf>
    <xf numFmtId="0" fontId="59" fillId="27" borderId="0" xfId="0" applyFont="1" applyFill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27" borderId="0" xfId="0" applyFill="1" applyBorder="1" applyAlignment="1" applyProtection="1">
      <alignment horizontal="left"/>
      <protection/>
    </xf>
    <xf numFmtId="3" fontId="3" fillId="27" borderId="0" xfId="0" applyNumberFormat="1" applyFont="1" applyFill="1" applyBorder="1" applyAlignment="1" applyProtection="1">
      <alignment shrinkToFit="1"/>
      <protection/>
    </xf>
    <xf numFmtId="49" fontId="4" fillId="0" borderId="0" xfId="0" applyNumberFormat="1" applyFont="1" applyFill="1" applyBorder="1" applyAlignment="1" applyProtection="1">
      <alignment/>
      <protection/>
    </xf>
    <xf numFmtId="3" fontId="10" fillId="27" borderId="17" xfId="0" applyNumberFormat="1" applyFont="1" applyFill="1" applyBorder="1" applyAlignment="1" applyProtection="1">
      <alignment horizontal="right"/>
      <protection locked="0"/>
    </xf>
    <xf numFmtId="3" fontId="10" fillId="27" borderId="14" xfId="0" applyNumberFormat="1" applyFont="1" applyFill="1" applyBorder="1" applyAlignment="1" applyProtection="1">
      <alignment horizontal="right"/>
      <protection locked="0"/>
    </xf>
    <xf numFmtId="3" fontId="10" fillId="27" borderId="14" xfId="0" applyNumberFormat="1" applyFont="1" applyFill="1" applyBorder="1" applyAlignment="1" applyProtection="1" quotePrefix="1">
      <alignment horizontal="right"/>
      <protection locked="0"/>
    </xf>
    <xf numFmtId="3" fontId="10" fillId="27" borderId="59" xfId="0" applyNumberFormat="1" applyFont="1" applyFill="1" applyBorder="1" applyAlignment="1" applyProtection="1" quotePrefix="1">
      <alignment horizontal="right"/>
      <protection locked="0"/>
    </xf>
    <xf numFmtId="3" fontId="10" fillId="0" borderId="17" xfId="0" applyNumberFormat="1" applyFont="1" applyFill="1" applyBorder="1" applyAlignment="1" applyProtection="1">
      <alignment horizontal="right"/>
      <protection locked="0"/>
    </xf>
    <xf numFmtId="3" fontId="10" fillId="0" borderId="14" xfId="0" applyNumberFormat="1" applyFont="1" applyFill="1" applyBorder="1" applyAlignment="1" applyProtection="1">
      <alignment horizontal="right"/>
      <protection locked="0"/>
    </xf>
    <xf numFmtId="3" fontId="3" fillId="27" borderId="71" xfId="0" applyNumberFormat="1" applyFont="1" applyFill="1" applyBorder="1" applyAlignment="1" applyProtection="1">
      <alignment horizontal="right"/>
      <protection locked="0"/>
    </xf>
    <xf numFmtId="3" fontId="3" fillId="27" borderId="72" xfId="0" applyNumberFormat="1" applyFont="1" applyFill="1" applyBorder="1" applyAlignment="1" applyProtection="1">
      <alignment horizontal="right"/>
      <protection locked="0"/>
    </xf>
    <xf numFmtId="3" fontId="3" fillId="27" borderId="73" xfId="0" applyNumberFormat="1" applyFont="1" applyFill="1" applyBorder="1" applyAlignment="1" applyProtection="1">
      <alignment horizontal="right"/>
      <protection locked="0"/>
    </xf>
    <xf numFmtId="3" fontId="3" fillId="31" borderId="71" xfId="0" applyNumberFormat="1" applyFont="1" applyFill="1" applyBorder="1" applyAlignment="1" applyProtection="1">
      <alignment horizontal="right"/>
      <protection locked="0"/>
    </xf>
    <xf numFmtId="3" fontId="3" fillId="31" borderId="72" xfId="0" applyNumberFormat="1" applyFont="1" applyFill="1" applyBorder="1" applyAlignment="1" applyProtection="1">
      <alignment horizontal="right"/>
      <protection locked="0"/>
    </xf>
    <xf numFmtId="3" fontId="3" fillId="31" borderId="73" xfId="0" applyNumberFormat="1" applyFont="1" applyFill="1" applyBorder="1" applyAlignment="1" applyProtection="1">
      <alignment horizontal="right"/>
      <protection locked="0"/>
    </xf>
    <xf numFmtId="3" fontId="3" fillId="27" borderId="22" xfId="0" applyNumberFormat="1" applyFont="1" applyFill="1" applyBorder="1" applyAlignment="1" applyProtection="1">
      <alignment horizontal="right"/>
      <protection locked="0"/>
    </xf>
    <xf numFmtId="3" fontId="3" fillId="27" borderId="74" xfId="0" applyNumberFormat="1" applyFont="1" applyFill="1" applyBorder="1" applyAlignment="1" applyProtection="1">
      <alignment horizontal="right"/>
      <protection locked="0"/>
    </xf>
    <xf numFmtId="3" fontId="3" fillId="27" borderId="75" xfId="0" applyNumberFormat="1" applyFont="1" applyFill="1" applyBorder="1" applyAlignment="1" applyProtection="1">
      <alignment horizontal="right"/>
      <protection locked="0"/>
    </xf>
    <xf numFmtId="0" fontId="8" fillId="27" borderId="49" xfId="0" applyFont="1" applyFill="1" applyBorder="1" applyAlignment="1" applyProtection="1">
      <alignment/>
      <protection/>
    </xf>
    <xf numFmtId="0" fontId="74" fillId="0" borderId="49" xfId="58" applyFont="1" applyFill="1" applyBorder="1" applyProtection="1">
      <alignment/>
      <protection/>
    </xf>
    <xf numFmtId="0" fontId="74" fillId="0" borderId="0" xfId="58" applyFont="1" applyFill="1" applyBorder="1" applyProtection="1">
      <alignment/>
      <protection/>
    </xf>
    <xf numFmtId="49" fontId="8" fillId="27" borderId="0" xfId="0" applyNumberFormat="1" applyFont="1" applyFill="1" applyBorder="1" applyAlignment="1" applyProtection="1">
      <alignment vertical="top" wrapText="1"/>
      <protection/>
    </xf>
    <xf numFmtId="3" fontId="3" fillId="34" borderId="28" xfId="0" applyNumberFormat="1" applyFont="1" applyFill="1" applyBorder="1" applyAlignment="1" applyProtection="1">
      <alignment horizontal="right"/>
      <protection/>
    </xf>
    <xf numFmtId="3" fontId="9" fillId="27" borderId="0" xfId="0" applyNumberFormat="1" applyFont="1" applyFill="1" applyBorder="1" applyAlignment="1" applyProtection="1">
      <alignment/>
      <protection/>
    </xf>
    <xf numFmtId="3" fontId="73" fillId="27" borderId="0" xfId="0" applyNumberFormat="1" applyFont="1" applyFill="1" applyBorder="1" applyAlignment="1" applyProtection="1">
      <alignment/>
      <protection/>
    </xf>
    <xf numFmtId="49" fontId="0" fillId="32" borderId="0" xfId="0" applyNumberFormat="1" applyFont="1" applyFill="1" applyAlignment="1" applyProtection="1">
      <alignment/>
      <protection/>
    </xf>
    <xf numFmtId="49" fontId="0" fillId="27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76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76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168" fontId="4" fillId="0" borderId="0" xfId="58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3" fontId="10" fillId="0" borderId="28" xfId="0" applyNumberFormat="1" applyFont="1" applyFill="1" applyBorder="1" applyAlignment="1" applyProtection="1">
      <alignment horizontal="right"/>
      <protection locked="0"/>
    </xf>
    <xf numFmtId="3" fontId="10" fillId="0" borderId="13" xfId="0" applyNumberFormat="1" applyFont="1" applyFill="1" applyBorder="1" applyAlignment="1" applyProtection="1">
      <alignment horizontal="right"/>
      <protection locked="0"/>
    </xf>
    <xf numFmtId="0" fontId="0" fillId="32" borderId="0" xfId="53" applyFill="1" applyProtection="1">
      <alignment/>
      <protection/>
    </xf>
    <xf numFmtId="1" fontId="0" fillId="32" borderId="0" xfId="53" applyNumberFormat="1" applyFill="1" applyProtection="1">
      <alignment/>
      <protection/>
    </xf>
    <xf numFmtId="0" fontId="0" fillId="0" borderId="0" xfId="53" applyFill="1" applyBorder="1" applyProtection="1">
      <alignment/>
      <protection/>
    </xf>
    <xf numFmtId="0" fontId="0" fillId="0" borderId="0" xfId="53" applyFill="1" applyProtection="1">
      <alignment/>
      <protection/>
    </xf>
    <xf numFmtId="0" fontId="0" fillId="27" borderId="0" xfId="53" applyFill="1" applyProtection="1">
      <alignment/>
      <protection/>
    </xf>
    <xf numFmtId="0" fontId="34" fillId="27" borderId="0" xfId="53" applyFont="1" applyFill="1" applyBorder="1" applyAlignment="1" applyProtection="1">
      <alignment horizontal="center"/>
      <protection/>
    </xf>
    <xf numFmtId="0" fontId="0" fillId="0" borderId="0" xfId="53" applyProtection="1">
      <alignment/>
      <protection/>
    </xf>
    <xf numFmtId="1" fontId="48" fillId="27" borderId="0" xfId="53" applyNumberFormat="1" applyFont="1" applyFill="1" applyAlignment="1" applyProtection="1">
      <alignment horizontal="left"/>
      <protection/>
    </xf>
    <xf numFmtId="0" fontId="0" fillId="0" borderId="0" xfId="53" applyBorder="1" applyProtection="1">
      <alignment/>
      <protection/>
    </xf>
    <xf numFmtId="1" fontId="48" fillId="27" borderId="0" xfId="58" applyNumberFormat="1" applyFont="1" applyFill="1" applyBorder="1" applyAlignment="1" applyProtection="1">
      <alignment horizontal="left"/>
      <protection/>
    </xf>
    <xf numFmtId="0" fontId="0" fillId="27" borderId="0" xfId="53" applyFont="1" applyFill="1" applyProtection="1">
      <alignment/>
      <protection/>
    </xf>
    <xf numFmtId="0" fontId="46" fillId="27" borderId="0" xfId="53" applyFont="1" applyFill="1" applyProtection="1">
      <alignment/>
      <protection/>
    </xf>
    <xf numFmtId="1" fontId="0" fillId="0" borderId="0" xfId="53" applyNumberFormat="1" applyProtection="1">
      <alignment/>
      <protection/>
    </xf>
    <xf numFmtId="0" fontId="0" fillId="0" borderId="0" xfId="53" applyFont="1" applyProtection="1">
      <alignment/>
      <protection/>
    </xf>
    <xf numFmtId="3" fontId="3" fillId="27" borderId="11" xfId="53" applyNumberFormat="1" applyFont="1" applyFill="1" applyBorder="1" applyAlignment="1" applyProtection="1">
      <alignment horizontal="right"/>
      <protection locked="0"/>
    </xf>
    <xf numFmtId="3" fontId="3" fillId="27" borderId="24" xfId="53" applyNumberFormat="1" applyFont="1" applyFill="1" applyBorder="1" applyAlignment="1" applyProtection="1">
      <alignment horizontal="right"/>
      <protection locked="0"/>
    </xf>
    <xf numFmtId="0" fontId="4" fillId="0" borderId="0" xfId="53" applyFont="1" applyBorder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3" fontId="3" fillId="27" borderId="68" xfId="0" applyNumberFormat="1" applyFont="1" applyFill="1" applyBorder="1" applyAlignment="1" applyProtection="1">
      <alignment horizontal="right"/>
      <protection locked="0"/>
    </xf>
    <xf numFmtId="3" fontId="3" fillId="27" borderId="69" xfId="0" applyNumberFormat="1" applyFont="1" applyFill="1" applyBorder="1" applyAlignment="1" applyProtection="1">
      <alignment horizontal="right"/>
      <protection locked="0"/>
    </xf>
    <xf numFmtId="3" fontId="3" fillId="27" borderId="77" xfId="0" applyNumberFormat="1" applyFont="1" applyFill="1" applyBorder="1" applyAlignment="1" applyProtection="1">
      <alignment horizontal="right"/>
      <protection locked="0"/>
    </xf>
    <xf numFmtId="3" fontId="3" fillId="27" borderId="78" xfId="0" applyNumberFormat="1" applyFont="1" applyFill="1" applyBorder="1" applyAlignment="1" applyProtection="1">
      <alignment horizontal="right"/>
      <protection locked="0"/>
    </xf>
    <xf numFmtId="3" fontId="3" fillId="27" borderId="69" xfId="0" applyNumberFormat="1" applyFont="1" applyFill="1" applyBorder="1" applyAlignment="1" applyProtection="1">
      <alignment horizontal="right"/>
      <protection locked="0"/>
    </xf>
    <xf numFmtId="3" fontId="3" fillId="31" borderId="70" xfId="0" applyNumberFormat="1" applyFont="1" applyFill="1" applyBorder="1" applyAlignment="1" applyProtection="1">
      <alignment horizontal="right"/>
      <protection locked="0"/>
    </xf>
    <xf numFmtId="170" fontId="28" fillId="0" borderId="0" xfId="53" applyNumberFormat="1" applyFont="1" applyFill="1" applyBorder="1" applyAlignment="1" applyProtection="1">
      <alignment vertical="top" wrapText="1"/>
      <protection/>
    </xf>
    <xf numFmtId="3" fontId="3" fillId="34" borderId="79" xfId="0" applyNumberFormat="1" applyFont="1" applyFill="1" applyBorder="1" applyAlignment="1" applyProtection="1">
      <alignment/>
      <protection/>
    </xf>
    <xf numFmtId="3" fontId="3" fillId="34" borderId="22" xfId="0" applyNumberFormat="1" applyFont="1" applyFill="1" applyBorder="1" applyAlignment="1" applyProtection="1">
      <alignment/>
      <protection/>
    </xf>
    <xf numFmtId="3" fontId="3" fillId="34" borderId="66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3" fontId="3" fillId="0" borderId="80" xfId="0" applyNumberFormat="1" applyFont="1" applyFill="1" applyBorder="1" applyAlignment="1" applyProtection="1">
      <alignment horizontal="right"/>
      <protection locked="0"/>
    </xf>
    <xf numFmtId="3" fontId="3" fillId="34" borderId="35" xfId="0" applyNumberFormat="1" applyFont="1" applyFill="1" applyBorder="1" applyAlignment="1" applyProtection="1">
      <alignment/>
      <protection/>
    </xf>
    <xf numFmtId="0" fontId="10" fillId="0" borderId="0" xfId="53" applyFont="1" applyFill="1" applyBorder="1" applyProtection="1">
      <alignment/>
      <protection/>
    </xf>
    <xf numFmtId="3" fontId="29" fillId="0" borderId="0" xfId="53" applyNumberFormat="1" applyFont="1" applyFill="1" applyBorder="1" applyProtection="1">
      <alignment/>
      <protection/>
    </xf>
    <xf numFmtId="0" fontId="0" fillId="0" borderId="0" xfId="53" applyFont="1" applyFill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3" fontId="3" fillId="27" borderId="52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3" fontId="3" fillId="27" borderId="28" xfId="0" applyNumberFormat="1" applyFont="1" applyFill="1" applyBorder="1" applyAlignment="1" applyProtection="1">
      <alignment/>
      <protection locked="0"/>
    </xf>
    <xf numFmtId="170" fontId="28" fillId="0" borderId="0" xfId="0" applyNumberFormat="1" applyFont="1" applyFill="1" applyAlignment="1" applyProtection="1">
      <alignment/>
      <protection/>
    </xf>
    <xf numFmtId="170" fontId="28" fillId="27" borderId="0" xfId="0" applyNumberFormat="1" applyFont="1" applyFill="1" applyAlignment="1" applyProtection="1">
      <alignment/>
      <protection/>
    </xf>
    <xf numFmtId="0" fontId="28" fillId="27" borderId="0" xfId="0" applyFont="1" applyFill="1" applyBorder="1" applyAlignment="1" applyProtection="1">
      <alignment horizontal="left" vertical="top" wrapText="1"/>
      <protection/>
    </xf>
    <xf numFmtId="3" fontId="3" fillId="27" borderId="17" xfId="0" applyNumberFormat="1" applyFont="1" applyFill="1" applyBorder="1" applyAlignment="1" applyProtection="1">
      <alignment horizontal="right"/>
      <protection locked="0"/>
    </xf>
    <xf numFmtId="3" fontId="3" fillId="27" borderId="81" xfId="53" applyNumberFormat="1" applyFont="1" applyFill="1" applyBorder="1" applyAlignment="1" applyProtection="1">
      <alignment horizontal="right"/>
      <protection locked="0"/>
    </xf>
    <xf numFmtId="3" fontId="3" fillId="27" borderId="15" xfId="53" applyNumberFormat="1" applyFont="1" applyFill="1" applyBorder="1" applyAlignment="1" applyProtection="1">
      <alignment horizontal="right"/>
      <protection locked="0"/>
    </xf>
    <xf numFmtId="3" fontId="3" fillId="27" borderId="82" xfId="53" applyNumberFormat="1" applyFont="1" applyFill="1" applyBorder="1" applyAlignment="1" applyProtection="1">
      <alignment horizontal="right"/>
      <protection locked="0"/>
    </xf>
    <xf numFmtId="3" fontId="3" fillId="27" borderId="34" xfId="53" applyNumberFormat="1" applyFont="1" applyFill="1" applyBorder="1" applyAlignment="1" applyProtection="1">
      <alignment horizontal="right"/>
      <protection locked="0"/>
    </xf>
    <xf numFmtId="3" fontId="3" fillId="27" borderId="83" xfId="53" applyNumberFormat="1" applyFont="1" applyFill="1" applyBorder="1" applyAlignment="1" applyProtection="1">
      <alignment horizontal="right"/>
      <protection locked="0"/>
    </xf>
    <xf numFmtId="0" fontId="30" fillId="0" borderId="0" xfId="53" applyFont="1" applyProtection="1">
      <alignment/>
      <protection/>
    </xf>
    <xf numFmtId="0" fontId="45" fillId="27" borderId="0" xfId="53" applyFont="1" applyFill="1" applyProtection="1">
      <alignment/>
      <protection/>
    </xf>
    <xf numFmtId="3" fontId="28" fillId="0" borderId="63" xfId="53" applyNumberFormat="1" applyFont="1" applyFill="1" applyBorder="1" applyAlignment="1" applyProtection="1" quotePrefix="1">
      <alignment horizontal="left"/>
      <protection/>
    </xf>
    <xf numFmtId="0" fontId="28" fillId="0" borderId="0" xfId="53" applyNumberFormat="1" applyFont="1" applyProtection="1" quotePrefix="1">
      <alignment/>
      <protection/>
    </xf>
    <xf numFmtId="3" fontId="0" fillId="0" borderId="0" xfId="0" applyNumberFormat="1" applyAlignment="1">
      <alignment/>
    </xf>
    <xf numFmtId="3" fontId="86" fillId="27" borderId="0" xfId="0" applyNumberFormat="1" applyFont="1" applyFill="1" applyBorder="1" applyAlignment="1" applyProtection="1">
      <alignment horizontal="left"/>
      <protection/>
    </xf>
    <xf numFmtId="3" fontId="3" fillId="33" borderId="14" xfId="53" applyNumberFormat="1" applyFont="1" applyFill="1" applyBorder="1" applyAlignment="1" applyProtection="1">
      <alignment/>
      <protection/>
    </xf>
    <xf numFmtId="3" fontId="3" fillId="33" borderId="21" xfId="53" applyNumberFormat="1" applyFont="1" applyFill="1" applyBorder="1" applyAlignment="1" applyProtection="1">
      <alignment/>
      <protection/>
    </xf>
    <xf numFmtId="3" fontId="3" fillId="33" borderId="14" xfId="0" applyNumberFormat="1" applyFont="1" applyFill="1" applyBorder="1" applyAlignment="1" applyProtection="1">
      <alignment horizontal="right"/>
      <protection/>
    </xf>
    <xf numFmtId="0" fontId="29" fillId="27" borderId="0" xfId="0" applyFont="1" applyFill="1" applyAlignment="1" applyProtection="1">
      <alignment horizontal="right"/>
      <protection/>
    </xf>
    <xf numFmtId="3" fontId="3" fillId="27" borderId="12" xfId="53" applyNumberFormat="1" applyFont="1" applyFill="1" applyBorder="1" applyAlignment="1" applyProtection="1">
      <alignment horizontal="right"/>
      <protection locked="0"/>
    </xf>
    <xf numFmtId="3" fontId="28" fillId="0" borderId="84" xfId="53" applyNumberFormat="1" applyFont="1" applyFill="1" applyBorder="1" applyAlignment="1" applyProtection="1" quotePrefix="1">
      <alignment horizontal="left"/>
      <protection/>
    </xf>
    <xf numFmtId="3" fontId="28" fillId="0" borderId="85" xfId="53" applyNumberFormat="1" applyFont="1" applyFill="1" applyBorder="1" applyAlignment="1" applyProtection="1" quotePrefix="1">
      <alignment horizontal="left"/>
      <protection/>
    </xf>
    <xf numFmtId="3" fontId="28" fillId="0" borderId="86" xfId="53" applyNumberFormat="1" applyFont="1" applyFill="1" applyBorder="1" applyAlignment="1" applyProtection="1" quotePrefix="1">
      <alignment horizontal="left"/>
      <protection/>
    </xf>
    <xf numFmtId="0" fontId="30" fillId="0" borderId="87" xfId="53" applyFont="1" applyBorder="1" applyProtection="1">
      <alignment/>
      <protection/>
    </xf>
    <xf numFmtId="0" fontId="45" fillId="27" borderId="86" xfId="53" applyFont="1" applyFill="1" applyBorder="1" applyProtection="1">
      <alignment/>
      <protection/>
    </xf>
    <xf numFmtId="0" fontId="30" fillId="0" borderId="87" xfId="53" applyFont="1" applyBorder="1" applyProtection="1">
      <alignment/>
      <protection/>
    </xf>
    <xf numFmtId="3" fontId="28" fillId="0" borderId="88" xfId="53" applyNumberFormat="1" applyFont="1" applyFill="1" applyBorder="1" applyAlignment="1" applyProtection="1" quotePrefix="1">
      <alignment horizontal="left"/>
      <protection/>
    </xf>
    <xf numFmtId="3" fontId="28" fillId="0" borderId="89" xfId="53" applyNumberFormat="1" applyFont="1" applyFill="1" applyBorder="1" applyAlignment="1" applyProtection="1" quotePrefix="1">
      <alignment horizontal="left"/>
      <protection/>
    </xf>
    <xf numFmtId="0" fontId="0" fillId="0" borderId="90" xfId="53" applyBorder="1" applyProtection="1">
      <alignment/>
      <protection/>
    </xf>
    <xf numFmtId="0" fontId="0" fillId="0" borderId="59" xfId="53" applyBorder="1" applyProtection="1">
      <alignment/>
      <protection/>
    </xf>
    <xf numFmtId="0" fontId="0" fillId="0" borderId="91" xfId="53" applyBorder="1" applyProtection="1">
      <alignment/>
      <protection/>
    </xf>
    <xf numFmtId="0" fontId="28" fillId="0" borderId="0" xfId="53" applyFont="1" applyProtection="1">
      <alignment/>
      <protection/>
    </xf>
    <xf numFmtId="3" fontId="28" fillId="0" borderId="0" xfId="53" applyNumberFormat="1" applyFont="1" applyFill="1" applyBorder="1" applyAlignment="1" applyProtection="1" quotePrefix="1">
      <alignment horizontal="left"/>
      <protection/>
    </xf>
    <xf numFmtId="3" fontId="28" fillId="0" borderId="0" xfId="0" applyNumberFormat="1" applyFont="1" applyFill="1" applyBorder="1" applyAlignment="1" applyProtection="1">
      <alignment horizontal="left"/>
      <protection/>
    </xf>
    <xf numFmtId="3" fontId="3" fillId="34" borderId="92" xfId="53" applyNumberFormat="1" applyFont="1" applyFill="1" applyBorder="1" applyProtection="1">
      <alignment/>
      <protection/>
    </xf>
    <xf numFmtId="3" fontId="3" fillId="34" borderId="93" xfId="53" applyNumberFormat="1" applyFont="1" applyFill="1" applyBorder="1" applyProtection="1">
      <alignment/>
      <protection/>
    </xf>
    <xf numFmtId="3" fontId="3" fillId="34" borderId="44" xfId="0" applyNumberFormat="1" applyFont="1" applyFill="1" applyBorder="1" applyAlignment="1" applyProtection="1">
      <alignment/>
      <protection/>
    </xf>
    <xf numFmtId="3" fontId="3" fillId="34" borderId="94" xfId="0" applyNumberFormat="1" applyFont="1" applyFill="1" applyBorder="1" applyAlignment="1" applyProtection="1">
      <alignment/>
      <protection/>
    </xf>
    <xf numFmtId="3" fontId="3" fillId="34" borderId="11" xfId="0" applyNumberFormat="1" applyFont="1" applyFill="1" applyBorder="1" applyAlignment="1" applyProtection="1">
      <alignment/>
      <protection/>
    </xf>
    <xf numFmtId="3" fontId="3" fillId="34" borderId="61" xfId="0" applyNumberFormat="1" applyFont="1" applyFill="1" applyBorder="1" applyAlignment="1" applyProtection="1">
      <alignment/>
      <protection/>
    </xf>
    <xf numFmtId="3" fontId="3" fillId="37" borderId="14" xfId="0" applyNumberFormat="1" applyFont="1" applyFill="1" applyBorder="1" applyAlignment="1" applyProtection="1">
      <alignment/>
      <protection/>
    </xf>
    <xf numFmtId="3" fontId="3" fillId="28" borderId="22" xfId="0" applyNumberFormat="1" applyFont="1" applyFill="1" applyBorder="1" applyAlignment="1" applyProtection="1">
      <alignment/>
      <protection/>
    </xf>
    <xf numFmtId="3" fontId="3" fillId="28" borderId="35" xfId="0" applyNumberFormat="1" applyFont="1" applyFill="1" applyBorder="1" applyAlignment="1" applyProtection="1">
      <alignment/>
      <protection/>
    </xf>
    <xf numFmtId="3" fontId="3" fillId="28" borderId="66" xfId="0" applyNumberFormat="1" applyFont="1" applyFill="1" applyBorder="1" applyAlignment="1" applyProtection="1">
      <alignment/>
      <protection/>
    </xf>
    <xf numFmtId="3" fontId="3" fillId="28" borderId="29" xfId="0" applyNumberFormat="1" applyFont="1" applyFill="1" applyBorder="1" applyAlignment="1" applyProtection="1">
      <alignment/>
      <protection/>
    </xf>
    <xf numFmtId="3" fontId="3" fillId="28" borderId="95" xfId="0" applyNumberFormat="1" applyFont="1" applyFill="1" applyBorder="1" applyAlignment="1" applyProtection="1">
      <alignment/>
      <protection/>
    </xf>
    <xf numFmtId="3" fontId="3" fillId="28" borderId="61" xfId="0" applyNumberFormat="1" applyFont="1" applyFill="1" applyBorder="1" applyAlignment="1" applyProtection="1">
      <alignment/>
      <protection/>
    </xf>
    <xf numFmtId="3" fontId="3" fillId="28" borderId="63" xfId="0" applyNumberFormat="1" applyFont="1" applyFill="1" applyBorder="1" applyAlignment="1" applyProtection="1">
      <alignment/>
      <protection/>
    </xf>
    <xf numFmtId="3" fontId="3" fillId="28" borderId="80" xfId="0" applyNumberFormat="1" applyFont="1" applyFill="1" applyBorder="1" applyAlignment="1" applyProtection="1">
      <alignment/>
      <protection/>
    </xf>
    <xf numFmtId="3" fontId="3" fillId="28" borderId="34" xfId="0" applyNumberFormat="1" applyFont="1" applyFill="1" applyBorder="1" applyAlignment="1" applyProtection="1">
      <alignment/>
      <protection/>
    </xf>
    <xf numFmtId="3" fontId="3" fillId="28" borderId="28" xfId="0" applyNumberFormat="1" applyFont="1" applyFill="1" applyBorder="1" applyAlignment="1" applyProtection="1">
      <alignment/>
      <protection/>
    </xf>
    <xf numFmtId="3" fontId="3" fillId="28" borderId="70" xfId="0" applyNumberFormat="1" applyFont="1" applyFill="1" applyBorder="1" applyAlignment="1" applyProtection="1">
      <alignment/>
      <protection/>
    </xf>
    <xf numFmtId="3" fontId="3" fillId="28" borderId="96" xfId="0" applyNumberFormat="1" applyFont="1" applyFill="1" applyBorder="1" applyAlignment="1" applyProtection="1">
      <alignment/>
      <protection/>
    </xf>
    <xf numFmtId="3" fontId="3" fillId="28" borderId="14" xfId="0" applyNumberFormat="1" applyFont="1" applyFill="1" applyBorder="1" applyAlignment="1" applyProtection="1">
      <alignment/>
      <protection/>
    </xf>
    <xf numFmtId="3" fontId="3" fillId="28" borderId="75" xfId="0" applyNumberFormat="1" applyFont="1" applyFill="1" applyBorder="1" applyAlignment="1" applyProtection="1">
      <alignment/>
      <protection/>
    </xf>
    <xf numFmtId="3" fontId="3" fillId="28" borderId="97" xfId="0" applyNumberFormat="1" applyFont="1" applyFill="1" applyBorder="1" applyAlignment="1" applyProtection="1">
      <alignment/>
      <protection/>
    </xf>
    <xf numFmtId="3" fontId="3" fillId="28" borderId="91" xfId="0" applyNumberFormat="1" applyFont="1" applyFill="1" applyBorder="1" applyAlignment="1" applyProtection="1">
      <alignment/>
      <protection/>
    </xf>
    <xf numFmtId="3" fontId="3" fillId="28" borderId="66" xfId="0" applyNumberFormat="1" applyFont="1" applyFill="1" applyBorder="1" applyAlignment="1" applyProtection="1">
      <alignment/>
      <protection/>
    </xf>
    <xf numFmtId="3" fontId="3" fillId="28" borderId="98" xfId="0" applyNumberFormat="1" applyFont="1" applyFill="1" applyBorder="1" applyAlignment="1" applyProtection="1">
      <alignment/>
      <protection/>
    </xf>
    <xf numFmtId="3" fontId="3" fillId="28" borderId="99" xfId="0" applyNumberFormat="1" applyFont="1" applyFill="1" applyBorder="1" applyAlignment="1" applyProtection="1">
      <alignment/>
      <protection/>
    </xf>
    <xf numFmtId="3" fontId="3" fillId="28" borderId="75" xfId="0" applyNumberFormat="1" applyFont="1" applyFill="1" applyBorder="1" applyAlignment="1" applyProtection="1">
      <alignment/>
      <protection/>
    </xf>
    <xf numFmtId="3" fontId="3" fillId="28" borderId="35" xfId="0" applyNumberFormat="1" applyFont="1" applyFill="1" applyBorder="1" applyAlignment="1" applyProtection="1">
      <alignment/>
      <protection/>
    </xf>
    <xf numFmtId="3" fontId="3" fillId="28" borderId="29" xfId="0" applyNumberFormat="1" applyFont="1" applyFill="1" applyBorder="1" applyAlignment="1" applyProtection="1">
      <alignment/>
      <protection/>
    </xf>
    <xf numFmtId="3" fontId="3" fillId="28" borderId="27" xfId="0" applyNumberFormat="1" applyFont="1" applyFill="1" applyBorder="1" applyAlignment="1" applyProtection="1">
      <alignment/>
      <protection/>
    </xf>
    <xf numFmtId="3" fontId="3" fillId="28" borderId="28" xfId="0" applyNumberFormat="1" applyFont="1" applyFill="1" applyBorder="1" applyAlignment="1" applyProtection="1">
      <alignment/>
      <protection/>
    </xf>
    <xf numFmtId="3" fontId="3" fillId="28" borderId="14" xfId="0" applyNumberFormat="1" applyFont="1" applyFill="1" applyBorder="1" applyAlignment="1" applyProtection="1">
      <alignment horizontal="right"/>
      <protection/>
    </xf>
    <xf numFmtId="3" fontId="3" fillId="38" borderId="16" xfId="0" applyNumberFormat="1" applyFont="1" applyFill="1" applyBorder="1" applyAlignment="1" applyProtection="1">
      <alignment horizontal="right"/>
      <protection/>
    </xf>
    <xf numFmtId="3" fontId="3" fillId="28" borderId="71" xfId="0" applyNumberFormat="1" applyFont="1" applyFill="1" applyBorder="1" applyAlignment="1" applyProtection="1">
      <alignment horizontal="right"/>
      <protection/>
    </xf>
    <xf numFmtId="3" fontId="3" fillId="28" borderId="82" xfId="0" applyNumberFormat="1" applyFont="1" applyFill="1" applyBorder="1" applyAlignment="1" applyProtection="1">
      <alignment horizontal="right"/>
      <protection/>
    </xf>
    <xf numFmtId="3" fontId="3" fillId="28" borderId="100" xfId="0" applyNumberFormat="1" applyFont="1" applyFill="1" applyBorder="1" applyAlignment="1" applyProtection="1">
      <alignment horizontal="right"/>
      <protection/>
    </xf>
    <xf numFmtId="3" fontId="3" fillId="28" borderId="95" xfId="0" applyNumberFormat="1" applyFont="1" applyFill="1" applyBorder="1" applyAlignment="1" applyProtection="1">
      <alignment horizontal="right"/>
      <protection/>
    </xf>
    <xf numFmtId="3" fontId="3" fillId="28" borderId="72" xfId="0" applyNumberFormat="1" applyFont="1" applyFill="1" applyBorder="1" applyAlignment="1" applyProtection="1">
      <alignment horizontal="right"/>
      <protection/>
    </xf>
    <xf numFmtId="3" fontId="3" fillId="28" borderId="73" xfId="0" applyNumberFormat="1" applyFont="1" applyFill="1" applyBorder="1" applyAlignment="1" applyProtection="1">
      <alignment horizontal="right"/>
      <protection/>
    </xf>
    <xf numFmtId="3" fontId="3" fillId="28" borderId="101" xfId="0" applyNumberFormat="1" applyFont="1" applyFill="1" applyBorder="1" applyAlignment="1" applyProtection="1">
      <alignment horizontal="right"/>
      <protection/>
    </xf>
    <xf numFmtId="3" fontId="3" fillId="28" borderId="102" xfId="0" applyNumberFormat="1" applyFont="1" applyFill="1" applyBorder="1" applyAlignment="1" applyProtection="1">
      <alignment horizontal="right"/>
      <protection/>
    </xf>
    <xf numFmtId="3" fontId="3" fillId="28" borderId="103" xfId="0" applyNumberFormat="1" applyFont="1" applyFill="1" applyBorder="1" applyAlignment="1" applyProtection="1">
      <alignment horizontal="right"/>
      <protection/>
    </xf>
    <xf numFmtId="3" fontId="3" fillId="28" borderId="22" xfId="0" applyNumberFormat="1" applyFont="1" applyFill="1" applyBorder="1" applyAlignment="1" applyProtection="1">
      <alignment horizontal="right"/>
      <protection/>
    </xf>
    <xf numFmtId="3" fontId="3" fillId="28" borderId="104" xfId="0" applyNumberFormat="1" applyFont="1" applyFill="1" applyBorder="1" applyAlignment="1" applyProtection="1">
      <alignment horizontal="right"/>
      <protection/>
    </xf>
    <xf numFmtId="3" fontId="3" fillId="28" borderId="79" xfId="0" applyNumberFormat="1" applyFont="1" applyFill="1" applyBorder="1" applyAlignment="1" applyProtection="1">
      <alignment horizontal="right"/>
      <protection/>
    </xf>
    <xf numFmtId="3" fontId="3" fillId="28" borderId="70" xfId="0" applyNumberFormat="1" applyFont="1" applyFill="1" applyBorder="1" applyAlignment="1" applyProtection="1">
      <alignment horizontal="right"/>
      <protection/>
    </xf>
    <xf numFmtId="3" fontId="3" fillId="28" borderId="27" xfId="0" applyNumberFormat="1" applyFont="1" applyFill="1" applyBorder="1" applyAlignment="1" applyProtection="1">
      <alignment horizontal="right"/>
      <protection/>
    </xf>
    <xf numFmtId="3" fontId="3" fillId="28" borderId="12" xfId="0" applyNumberFormat="1" applyFont="1" applyFill="1" applyBorder="1" applyAlignment="1" applyProtection="1">
      <alignment horizontal="right"/>
      <protection/>
    </xf>
    <xf numFmtId="3" fontId="3" fillId="28" borderId="31" xfId="0" applyNumberFormat="1" applyFont="1" applyFill="1" applyBorder="1" applyAlignment="1" applyProtection="1">
      <alignment horizontal="right"/>
      <protection/>
    </xf>
    <xf numFmtId="3" fontId="3" fillId="28" borderId="16" xfId="0" applyNumberFormat="1" applyFont="1" applyFill="1" applyBorder="1" applyAlignment="1" applyProtection="1">
      <alignment horizontal="right"/>
      <protection/>
    </xf>
    <xf numFmtId="3" fontId="3" fillId="28" borderId="105" xfId="0" applyNumberFormat="1" applyFont="1" applyFill="1" applyBorder="1" applyAlignment="1" applyProtection="1">
      <alignment horizontal="right"/>
      <protection/>
    </xf>
    <xf numFmtId="3" fontId="3" fillId="28" borderId="106" xfId="0" applyNumberFormat="1" applyFont="1" applyFill="1" applyBorder="1" applyAlignment="1" applyProtection="1">
      <alignment horizontal="right"/>
      <protection/>
    </xf>
    <xf numFmtId="3" fontId="3" fillId="28" borderId="107" xfId="0" applyNumberFormat="1" applyFont="1" applyFill="1" applyBorder="1" applyAlignment="1" applyProtection="1">
      <alignment horizontal="right"/>
      <protection/>
    </xf>
    <xf numFmtId="3" fontId="3" fillId="28" borderId="34" xfId="0" applyNumberFormat="1" applyFont="1" applyFill="1" applyBorder="1" applyAlignment="1" applyProtection="1">
      <alignment horizontal="right"/>
      <protection/>
    </xf>
    <xf numFmtId="3" fontId="3" fillId="28" borderId="83" xfId="0" applyNumberFormat="1" applyFont="1" applyFill="1" applyBorder="1" applyAlignment="1" applyProtection="1">
      <alignment horizontal="right"/>
      <protection/>
    </xf>
    <xf numFmtId="3" fontId="3" fillId="28" borderId="35" xfId="0" applyNumberFormat="1" applyFont="1" applyFill="1" applyBorder="1" applyAlignment="1" applyProtection="1">
      <alignment horizontal="right"/>
      <protection/>
    </xf>
    <xf numFmtId="3" fontId="3" fillId="28" borderId="33" xfId="0" applyNumberFormat="1" applyFont="1" applyFill="1" applyBorder="1" applyAlignment="1" applyProtection="1">
      <alignment horizontal="right"/>
      <protection/>
    </xf>
    <xf numFmtId="3" fontId="3" fillId="28" borderId="78" xfId="0" applyNumberFormat="1" applyFont="1" applyFill="1" applyBorder="1" applyAlignment="1" applyProtection="1">
      <alignment horizontal="right"/>
      <protection/>
    </xf>
    <xf numFmtId="3" fontId="3" fillId="28" borderId="33" xfId="0" applyNumberFormat="1" applyFont="1" applyFill="1" applyBorder="1" applyAlignment="1" applyProtection="1">
      <alignment/>
      <protection/>
    </xf>
    <xf numFmtId="3" fontId="3" fillId="28" borderId="34" xfId="0" applyNumberFormat="1" applyFont="1" applyFill="1" applyBorder="1" applyAlignment="1" applyProtection="1">
      <alignment/>
      <protection/>
    </xf>
    <xf numFmtId="3" fontId="3" fillId="28" borderId="83" xfId="0" applyNumberFormat="1" applyFont="1" applyFill="1" applyBorder="1" applyAlignment="1" applyProtection="1">
      <alignment/>
      <protection/>
    </xf>
    <xf numFmtId="3" fontId="3" fillId="28" borderId="35" xfId="0" applyNumberFormat="1" applyFont="1" applyFill="1" applyBorder="1" applyAlignment="1" applyProtection="1">
      <alignment/>
      <protection/>
    </xf>
    <xf numFmtId="3" fontId="3" fillId="28" borderId="108" xfId="0" applyNumberFormat="1" applyFont="1" applyFill="1" applyBorder="1" applyAlignment="1" applyProtection="1">
      <alignment horizontal="right"/>
      <protection/>
    </xf>
    <xf numFmtId="3" fontId="3" fillId="35" borderId="109" xfId="0" applyNumberFormat="1" applyFont="1" applyFill="1" applyBorder="1" applyAlignment="1" applyProtection="1">
      <alignment horizontal="right"/>
      <protection/>
    </xf>
    <xf numFmtId="3" fontId="3" fillId="35" borderId="110" xfId="0" applyNumberFormat="1" applyFont="1" applyFill="1" applyBorder="1" applyAlignment="1" applyProtection="1">
      <alignment horizontal="right"/>
      <protection/>
    </xf>
    <xf numFmtId="3" fontId="3" fillId="35" borderId="97" xfId="0" applyNumberFormat="1" applyFont="1" applyFill="1" applyBorder="1" applyAlignment="1" applyProtection="1">
      <alignment horizontal="right"/>
      <protection/>
    </xf>
    <xf numFmtId="3" fontId="3" fillId="35" borderId="111" xfId="0" applyNumberFormat="1" applyFont="1" applyFill="1" applyBorder="1" applyAlignment="1" applyProtection="1">
      <alignment horizontal="right"/>
      <protection/>
    </xf>
    <xf numFmtId="3" fontId="3" fillId="28" borderId="60" xfId="0" applyNumberFormat="1" applyFont="1" applyFill="1" applyBorder="1" applyAlignment="1" applyProtection="1">
      <alignment horizontal="right"/>
      <protection/>
    </xf>
    <xf numFmtId="3" fontId="3" fillId="28" borderId="112" xfId="0" applyNumberFormat="1" applyFont="1" applyFill="1" applyBorder="1" applyAlignment="1" applyProtection="1">
      <alignment horizontal="right"/>
      <protection/>
    </xf>
    <xf numFmtId="3" fontId="3" fillId="28" borderId="96" xfId="0" applyNumberFormat="1" applyFont="1" applyFill="1" applyBorder="1" applyAlignment="1" applyProtection="1">
      <alignment horizontal="right"/>
      <protection/>
    </xf>
    <xf numFmtId="3" fontId="3" fillId="28" borderId="104" xfId="0" applyNumberFormat="1" applyFont="1" applyFill="1" applyBorder="1" applyAlignment="1" applyProtection="1">
      <alignment horizontal="right"/>
      <protection/>
    </xf>
    <xf numFmtId="3" fontId="3" fillId="28" borderId="70" xfId="0" applyNumberFormat="1" applyFont="1" applyFill="1" applyBorder="1" applyAlignment="1" applyProtection="1">
      <alignment horizontal="right"/>
      <protection/>
    </xf>
    <xf numFmtId="3" fontId="3" fillId="28" borderId="113" xfId="0" applyNumberFormat="1" applyFont="1" applyFill="1" applyBorder="1" applyAlignment="1" applyProtection="1">
      <alignment horizontal="right"/>
      <protection/>
    </xf>
    <xf numFmtId="3" fontId="3" fillId="28" borderId="114" xfId="0" applyNumberFormat="1" applyFont="1" applyFill="1" applyBorder="1" applyAlignment="1" applyProtection="1">
      <alignment horizontal="right"/>
      <protection/>
    </xf>
    <xf numFmtId="3" fontId="3" fillId="28" borderId="99" xfId="0" applyNumberFormat="1" applyFont="1" applyFill="1" applyBorder="1" applyAlignment="1" applyProtection="1">
      <alignment horizontal="right"/>
      <protection/>
    </xf>
    <xf numFmtId="3" fontId="3" fillId="28" borderId="115" xfId="0" applyNumberFormat="1" applyFont="1" applyFill="1" applyBorder="1" applyAlignment="1" applyProtection="1">
      <alignment/>
      <protection/>
    </xf>
    <xf numFmtId="3" fontId="3" fillId="28" borderId="40" xfId="0" applyNumberFormat="1" applyFont="1" applyFill="1" applyBorder="1" applyAlignment="1" applyProtection="1">
      <alignment/>
      <protection/>
    </xf>
    <xf numFmtId="3" fontId="3" fillId="28" borderId="116" xfId="0" applyNumberFormat="1" applyFont="1" applyFill="1" applyBorder="1" applyAlignment="1" applyProtection="1">
      <alignment/>
      <protection/>
    </xf>
    <xf numFmtId="3" fontId="3" fillId="28" borderId="40" xfId="0" applyNumberFormat="1" applyFont="1" applyFill="1" applyBorder="1" applyAlignment="1" applyProtection="1">
      <alignment/>
      <protection/>
    </xf>
    <xf numFmtId="3" fontId="3" fillId="28" borderId="41" xfId="0" applyNumberFormat="1" applyFont="1" applyFill="1" applyBorder="1" applyAlignment="1" applyProtection="1">
      <alignment/>
      <protection/>
    </xf>
    <xf numFmtId="3" fontId="3" fillId="28" borderId="91" xfId="0" applyNumberFormat="1" applyFont="1" applyFill="1" applyBorder="1" applyAlignment="1" applyProtection="1">
      <alignment/>
      <protection/>
    </xf>
    <xf numFmtId="3" fontId="3" fillId="28" borderId="117" xfId="0" applyNumberFormat="1" applyFont="1" applyFill="1" applyBorder="1" applyAlignment="1" applyProtection="1">
      <alignment/>
      <protection/>
    </xf>
    <xf numFmtId="3" fontId="3" fillId="28" borderId="116" xfId="0" applyNumberFormat="1" applyFont="1" applyFill="1" applyBorder="1" applyAlignment="1" applyProtection="1">
      <alignment horizontal="right"/>
      <protection/>
    </xf>
    <xf numFmtId="3" fontId="3" fillId="28" borderId="42" xfId="0" applyNumberFormat="1" applyFont="1" applyFill="1" applyBorder="1" applyAlignment="1" applyProtection="1">
      <alignment horizontal="right"/>
      <protection/>
    </xf>
    <xf numFmtId="3" fontId="3" fillId="28" borderId="53" xfId="0" applyNumberFormat="1" applyFont="1" applyFill="1" applyBorder="1" applyAlignment="1" applyProtection="1">
      <alignment horizontal="right"/>
      <protection/>
    </xf>
    <xf numFmtId="3" fontId="3" fillId="28" borderId="42" xfId="0" applyNumberFormat="1" applyFont="1" applyFill="1" applyBorder="1" applyAlignment="1" applyProtection="1">
      <alignment/>
      <protection/>
    </xf>
    <xf numFmtId="3" fontId="3" fillId="28" borderId="53" xfId="0" applyNumberFormat="1" applyFont="1" applyFill="1" applyBorder="1" applyAlignment="1" applyProtection="1">
      <alignment/>
      <protection/>
    </xf>
    <xf numFmtId="3" fontId="3" fillId="28" borderId="118" xfId="0" applyNumberFormat="1" applyFont="1" applyFill="1" applyBorder="1" applyAlignment="1" applyProtection="1">
      <alignment horizontal="right"/>
      <protection/>
    </xf>
    <xf numFmtId="3" fontId="3" fillId="28" borderId="119" xfId="0" applyNumberFormat="1" applyFont="1" applyFill="1" applyBorder="1" applyAlignment="1" applyProtection="1">
      <alignment horizontal="right"/>
      <protection/>
    </xf>
    <xf numFmtId="3" fontId="3" fillId="28" borderId="120" xfId="0" applyNumberFormat="1" applyFont="1" applyFill="1" applyBorder="1" applyAlignment="1" applyProtection="1">
      <alignment horizontal="right"/>
      <protection/>
    </xf>
    <xf numFmtId="3" fontId="29" fillId="28" borderId="121" xfId="0" applyNumberFormat="1" applyFont="1" applyFill="1" applyBorder="1" applyAlignment="1" applyProtection="1">
      <alignment horizontal="right"/>
      <protection/>
    </xf>
    <xf numFmtId="3" fontId="29" fillId="28" borderId="34" xfId="0" applyNumberFormat="1" applyFont="1" applyFill="1" applyBorder="1" applyAlignment="1" applyProtection="1">
      <alignment horizontal="right"/>
      <protection/>
    </xf>
    <xf numFmtId="3" fontId="29" fillId="28" borderId="35" xfId="0" applyNumberFormat="1" applyFont="1" applyFill="1" applyBorder="1" applyAlignment="1" applyProtection="1">
      <alignment horizontal="right"/>
      <protection/>
    </xf>
    <xf numFmtId="0" fontId="2" fillId="32" borderId="0" xfId="0" applyFont="1" applyFill="1" applyAlignment="1" applyProtection="1">
      <alignment/>
      <protection/>
    </xf>
    <xf numFmtId="3" fontId="2" fillId="27" borderId="0" xfId="0" applyNumberFormat="1" applyFont="1" applyFill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69" fillId="35" borderId="0" xfId="0" applyFont="1" applyFill="1" applyBorder="1" applyAlignment="1">
      <alignment horizontal="right" wrapText="1"/>
    </xf>
    <xf numFmtId="49" fontId="69" fillId="35" borderId="0" xfId="0" applyNumberFormat="1" applyFont="1" applyFill="1" applyBorder="1" applyAlignment="1">
      <alignment horizontal="right" wrapText="1"/>
    </xf>
    <xf numFmtId="0" fontId="58" fillId="35" borderId="36" xfId="0" applyFont="1" applyFill="1" applyBorder="1" applyAlignment="1">
      <alignment horizontal="right" wrapText="1"/>
    </xf>
    <xf numFmtId="0" fontId="0" fillId="35" borderId="0" xfId="0" applyFill="1" applyBorder="1" applyAlignment="1">
      <alignment/>
    </xf>
    <xf numFmtId="3" fontId="12" fillId="35" borderId="0" xfId="0" applyNumberFormat="1" applyFont="1" applyFill="1" applyBorder="1" applyAlignment="1" applyProtection="1">
      <alignment horizontal="right"/>
      <protection/>
    </xf>
    <xf numFmtId="49" fontId="5" fillId="35" borderId="36" xfId="0" applyNumberFormat="1" applyFont="1" applyFill="1" applyBorder="1" applyAlignment="1" applyProtection="1">
      <alignment horizontal="right"/>
      <protection/>
    </xf>
    <xf numFmtId="2" fontId="67" fillId="35" borderId="36" xfId="48" applyNumberFormat="1" applyFill="1" applyBorder="1" applyAlignment="1" applyProtection="1">
      <alignment horizontal="left"/>
      <protection/>
    </xf>
    <xf numFmtId="0" fontId="0" fillId="35" borderId="36" xfId="0" applyFill="1" applyBorder="1" applyAlignment="1">
      <alignment/>
    </xf>
    <xf numFmtId="0" fontId="0" fillId="35" borderId="122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23" xfId="0" applyBorder="1" applyAlignment="1">
      <alignment/>
    </xf>
    <xf numFmtId="49" fontId="3" fillId="35" borderId="20" xfId="0" applyNumberFormat="1" applyFont="1" applyFill="1" applyBorder="1" applyAlignment="1" applyProtection="1">
      <alignment/>
      <protection/>
    </xf>
    <xf numFmtId="49" fontId="3" fillId="35" borderId="87" xfId="0" applyNumberFormat="1" applyFont="1" applyFill="1" applyBorder="1" applyAlignment="1" applyProtection="1">
      <alignment/>
      <protection/>
    </xf>
    <xf numFmtId="49" fontId="3" fillId="35" borderId="49" xfId="0" applyNumberFormat="1" applyFont="1" applyFill="1" applyBorder="1" applyAlignment="1" applyProtection="1">
      <alignment/>
      <protection/>
    </xf>
    <xf numFmtId="49" fontId="3" fillId="35" borderId="89" xfId="0" applyNumberFormat="1" applyFont="1" applyFill="1" applyBorder="1" applyAlignment="1" applyProtection="1">
      <alignment/>
      <protection/>
    </xf>
    <xf numFmtId="49" fontId="3" fillId="35" borderId="45" xfId="0" applyNumberFormat="1" applyFont="1" applyFill="1" applyBorder="1" applyAlignment="1" applyProtection="1">
      <alignment/>
      <protection/>
    </xf>
    <xf numFmtId="0" fontId="32" fillId="0" borderId="0" xfId="53" applyFont="1" applyProtection="1">
      <alignment/>
      <protection/>
    </xf>
    <xf numFmtId="3" fontId="3" fillId="34" borderId="124" xfId="53" applyNumberFormat="1" applyFont="1" applyFill="1" applyBorder="1" applyProtection="1">
      <alignment/>
      <protection/>
    </xf>
    <xf numFmtId="3" fontId="3" fillId="34" borderId="16" xfId="53" applyNumberFormat="1" applyFont="1" applyFill="1" applyBorder="1" applyProtection="1">
      <alignment/>
      <protection/>
    </xf>
    <xf numFmtId="3" fontId="3" fillId="34" borderId="120" xfId="53" applyNumberFormat="1" applyFont="1" applyFill="1" applyBorder="1" applyProtection="1">
      <alignment/>
      <protection/>
    </xf>
    <xf numFmtId="3" fontId="3" fillId="34" borderId="105" xfId="53" applyNumberFormat="1" applyFont="1" applyFill="1" applyBorder="1" applyProtection="1">
      <alignment/>
      <protection/>
    </xf>
    <xf numFmtId="3" fontId="3" fillId="34" borderId="125" xfId="53" applyNumberFormat="1" applyFont="1" applyFill="1" applyBorder="1" applyProtection="1">
      <alignment/>
      <protection/>
    </xf>
    <xf numFmtId="0" fontId="32" fillId="0" borderId="0" xfId="53" applyFont="1" applyProtection="1">
      <alignment/>
      <protection/>
    </xf>
    <xf numFmtId="3" fontId="3" fillId="28" borderId="27" xfId="0" applyNumberFormat="1" applyFont="1" applyFill="1" applyBorder="1" applyAlignment="1" applyProtection="1">
      <alignment horizontal="right"/>
      <protection/>
    </xf>
    <xf numFmtId="3" fontId="3" fillId="34" borderId="31" xfId="0" applyNumberFormat="1" applyFont="1" applyFill="1" applyBorder="1" applyAlignment="1" applyProtection="1">
      <alignment horizontal="right"/>
      <protection/>
    </xf>
    <xf numFmtId="3" fontId="3" fillId="28" borderId="126" xfId="0" applyNumberFormat="1" applyFont="1" applyFill="1" applyBorder="1" applyAlignment="1" applyProtection="1">
      <alignment horizontal="right"/>
      <protection/>
    </xf>
    <xf numFmtId="3" fontId="3" fillId="27" borderId="30" xfId="0" applyNumberFormat="1" applyFont="1" applyFill="1" applyBorder="1" applyAlignment="1" applyProtection="1">
      <alignment horizontal="right"/>
      <protection locked="0"/>
    </xf>
    <xf numFmtId="3" fontId="3" fillId="27" borderId="31" xfId="0" applyNumberFormat="1" applyFont="1" applyFill="1" applyBorder="1" applyAlignment="1" applyProtection="1">
      <alignment horizontal="right"/>
      <protection locked="0"/>
    </xf>
    <xf numFmtId="3" fontId="3" fillId="28" borderId="127" xfId="0" applyNumberFormat="1" applyFont="1" applyFill="1" applyBorder="1" applyAlignment="1" applyProtection="1">
      <alignment horizontal="right"/>
      <protection/>
    </xf>
    <xf numFmtId="3" fontId="3" fillId="39" borderId="27" xfId="0" applyNumberFormat="1" applyFont="1" applyFill="1" applyBorder="1" applyAlignment="1" applyProtection="1">
      <alignment horizontal="right"/>
      <protection locked="0"/>
    </xf>
    <xf numFmtId="0" fontId="0" fillId="27" borderId="0" xfId="0" applyFill="1" applyAlignment="1" applyProtection="1">
      <alignment/>
      <protection/>
    </xf>
    <xf numFmtId="3" fontId="3" fillId="28" borderId="128" xfId="0" applyNumberFormat="1" applyFont="1" applyFill="1" applyBorder="1" applyAlignment="1" applyProtection="1">
      <alignment horizontal="right"/>
      <protection/>
    </xf>
    <xf numFmtId="3" fontId="3" fillId="35" borderId="39" xfId="0" applyNumberFormat="1" applyFont="1" applyFill="1" applyBorder="1" applyAlignment="1" applyProtection="1">
      <alignment horizontal="right"/>
      <protection/>
    </xf>
    <xf numFmtId="3" fontId="3" fillId="35" borderId="40" xfId="0" applyNumberFormat="1" applyFont="1" applyFill="1" applyBorder="1" applyAlignment="1" applyProtection="1">
      <alignment horizontal="right"/>
      <protection/>
    </xf>
    <xf numFmtId="3" fontId="3" fillId="35" borderId="32" xfId="0" applyNumberFormat="1" applyFont="1" applyFill="1" applyBorder="1" applyAlignment="1" applyProtection="1">
      <alignment horizontal="right"/>
      <protection/>
    </xf>
    <xf numFmtId="3" fontId="3" fillId="35" borderId="18" xfId="0" applyNumberFormat="1" applyFont="1" applyFill="1" applyBorder="1" applyAlignment="1" applyProtection="1">
      <alignment horizontal="right"/>
      <protection/>
    </xf>
    <xf numFmtId="3" fontId="3" fillId="35" borderId="29" xfId="0" applyNumberFormat="1" applyFont="1" applyFill="1" applyBorder="1" applyAlignment="1" applyProtection="1">
      <alignment horizontal="right"/>
      <protection/>
    </xf>
    <xf numFmtId="3" fontId="3" fillId="35" borderId="19" xfId="0" applyNumberFormat="1" applyFont="1" applyFill="1" applyBorder="1" applyAlignment="1" applyProtection="1">
      <alignment horizontal="right"/>
      <protection/>
    </xf>
    <xf numFmtId="3" fontId="3" fillId="35" borderId="23" xfId="0" applyNumberFormat="1" applyFont="1" applyFill="1" applyBorder="1" applyAlignment="1" applyProtection="1">
      <alignment horizontal="right"/>
      <protection/>
    </xf>
    <xf numFmtId="3" fontId="3" fillId="27" borderId="62" xfId="0" applyNumberFormat="1" applyFont="1" applyFill="1" applyBorder="1" applyAlignment="1" applyProtection="1">
      <alignment horizontal="right"/>
      <protection locked="0"/>
    </xf>
    <xf numFmtId="3" fontId="3" fillId="27" borderId="61" xfId="0" applyNumberFormat="1" applyFont="1" applyFill="1" applyBorder="1" applyAlignment="1" applyProtection="1">
      <alignment horizontal="right"/>
      <protection locked="0"/>
    </xf>
    <xf numFmtId="3" fontId="3" fillId="27" borderId="78" xfId="0" applyNumberFormat="1" applyFont="1" applyFill="1" applyBorder="1" applyAlignment="1" applyProtection="1">
      <alignment horizontal="right"/>
      <protection locked="0"/>
    </xf>
    <xf numFmtId="3" fontId="3" fillId="35" borderId="114" xfId="0" applyNumberFormat="1" applyFont="1" applyFill="1" applyBorder="1" applyAlignment="1" applyProtection="1">
      <alignment horizontal="right"/>
      <protection/>
    </xf>
    <xf numFmtId="3" fontId="3" fillId="35" borderId="129" xfId="0" applyNumberFormat="1" applyFont="1" applyFill="1" applyBorder="1" applyAlignment="1" applyProtection="1">
      <alignment horizontal="right"/>
      <protection/>
    </xf>
    <xf numFmtId="3" fontId="3" fillId="35" borderId="130" xfId="0" applyNumberFormat="1" applyFont="1" applyFill="1" applyBorder="1" applyAlignment="1" applyProtection="1">
      <alignment horizontal="right"/>
      <protection/>
    </xf>
    <xf numFmtId="3" fontId="3" fillId="35" borderId="99" xfId="0" applyNumberFormat="1" applyFont="1" applyFill="1" applyBorder="1" applyAlignment="1" applyProtection="1">
      <alignment horizontal="right"/>
      <protection/>
    </xf>
    <xf numFmtId="3" fontId="3" fillId="35" borderId="13" xfId="0" applyNumberFormat="1" applyFont="1" applyFill="1" applyBorder="1" applyAlignment="1" applyProtection="1">
      <alignment horizontal="right"/>
      <protection/>
    </xf>
    <xf numFmtId="3" fontId="3" fillId="35" borderId="12" xfId="0" applyNumberFormat="1" applyFont="1" applyFill="1" applyBorder="1" applyAlignment="1" applyProtection="1">
      <alignment horizontal="right"/>
      <protection/>
    </xf>
    <xf numFmtId="3" fontId="3" fillId="35" borderId="11" xfId="0" applyNumberFormat="1" applyFont="1" applyFill="1" applyBorder="1" applyAlignment="1" applyProtection="1">
      <alignment horizontal="right"/>
      <protection/>
    </xf>
    <xf numFmtId="3" fontId="3" fillId="35" borderId="27" xfId="0" applyNumberFormat="1" applyFont="1" applyFill="1" applyBorder="1" applyAlignment="1" applyProtection="1">
      <alignment horizontal="right"/>
      <protection/>
    </xf>
    <xf numFmtId="3" fontId="3" fillId="35" borderId="112" xfId="0" applyNumberFormat="1" applyFont="1" applyFill="1" applyBorder="1" applyAlignment="1" applyProtection="1">
      <alignment horizontal="right"/>
      <protection/>
    </xf>
    <xf numFmtId="3" fontId="3" fillId="35" borderId="30" xfId="0" applyNumberFormat="1" applyFont="1" applyFill="1" applyBorder="1" applyAlignment="1" applyProtection="1">
      <alignment horizontal="right"/>
      <protection/>
    </xf>
    <xf numFmtId="3" fontId="3" fillId="35" borderId="55" xfId="0" applyNumberFormat="1" applyFont="1" applyFill="1" applyBorder="1" applyAlignment="1" applyProtection="1">
      <alignment horizontal="right"/>
      <protection/>
    </xf>
    <xf numFmtId="3" fontId="3" fillId="35" borderId="131" xfId="0" applyNumberFormat="1" applyFont="1" applyFill="1" applyBorder="1" applyAlignment="1" applyProtection="1">
      <alignment horizontal="right"/>
      <protection/>
    </xf>
    <xf numFmtId="3" fontId="3" fillId="35" borderId="37" xfId="0" applyNumberFormat="1" applyFont="1" applyFill="1" applyBorder="1" applyAlignment="1" applyProtection="1">
      <alignment horizontal="right"/>
      <protection/>
    </xf>
    <xf numFmtId="3" fontId="3" fillId="35" borderId="116" xfId="0" applyNumberFormat="1" applyFont="1" applyFill="1" applyBorder="1" applyAlignment="1" applyProtection="1">
      <alignment horizontal="right"/>
      <protection/>
    </xf>
    <xf numFmtId="3" fontId="3" fillId="35" borderId="38" xfId="0" applyNumberFormat="1" applyFont="1" applyFill="1" applyBorder="1" applyAlignment="1" applyProtection="1">
      <alignment horizontal="right"/>
      <protection/>
    </xf>
    <xf numFmtId="3" fontId="3" fillId="35" borderId="41" xfId="0" applyNumberFormat="1" applyFont="1" applyFill="1" applyBorder="1" applyAlignment="1" applyProtection="1">
      <alignment horizontal="right"/>
      <protection/>
    </xf>
    <xf numFmtId="3" fontId="3" fillId="35" borderId="31" xfId="0" applyNumberFormat="1" applyFont="1" applyFill="1" applyBorder="1" applyAlignment="1" applyProtection="1">
      <alignment horizontal="right"/>
      <protection/>
    </xf>
    <xf numFmtId="3" fontId="3" fillId="35" borderId="14" xfId="0" applyNumberFormat="1" applyFont="1" applyFill="1" applyBorder="1" applyAlignment="1" applyProtection="1">
      <alignment horizontal="right"/>
      <protection/>
    </xf>
    <xf numFmtId="3" fontId="3" fillId="35" borderId="28" xfId="0" applyNumberFormat="1" applyFont="1" applyFill="1" applyBorder="1" applyAlignment="1" applyProtection="1">
      <alignment horizontal="right"/>
      <protection/>
    </xf>
    <xf numFmtId="3" fontId="3" fillId="35" borderId="15" xfId="0" applyNumberFormat="1" applyFont="1" applyFill="1" applyBorder="1" applyAlignment="1" applyProtection="1">
      <alignment horizontal="right"/>
      <protection/>
    </xf>
    <xf numFmtId="3" fontId="3" fillId="35" borderId="16" xfId="0" applyNumberFormat="1" applyFont="1" applyFill="1" applyBorder="1" applyAlignment="1" applyProtection="1">
      <alignment horizontal="right"/>
      <protection/>
    </xf>
    <xf numFmtId="0" fontId="9" fillId="35" borderId="110" xfId="0" applyFont="1" applyFill="1" applyBorder="1" applyAlignment="1" applyProtection="1">
      <alignment/>
      <protection/>
    </xf>
    <xf numFmtId="0" fontId="9" fillId="35" borderId="132" xfId="0" applyFont="1" applyFill="1" applyBorder="1" applyAlignment="1" applyProtection="1">
      <alignment/>
      <protection/>
    </xf>
    <xf numFmtId="0" fontId="9" fillId="35" borderId="133" xfId="0" applyFont="1" applyFill="1" applyBorder="1" applyAlignment="1" applyProtection="1">
      <alignment/>
      <protection/>
    </xf>
    <xf numFmtId="0" fontId="9" fillId="35" borderId="78" xfId="0" applyFont="1" applyFill="1" applyBorder="1" applyAlignment="1" applyProtection="1">
      <alignment/>
      <protection/>
    </xf>
    <xf numFmtId="0" fontId="9" fillId="35" borderId="93" xfId="0" applyFont="1" applyFill="1" applyBorder="1" applyAlignment="1" applyProtection="1">
      <alignment/>
      <protection/>
    </xf>
    <xf numFmtId="0" fontId="9" fillId="35" borderId="60" xfId="0" applyFont="1" applyFill="1" applyBorder="1" applyAlignment="1" applyProtection="1">
      <alignment/>
      <protection/>
    </xf>
    <xf numFmtId="0" fontId="9" fillId="35" borderId="112" xfId="0" applyFont="1" applyFill="1" applyBorder="1" applyAlignment="1" applyProtection="1">
      <alignment/>
      <protection/>
    </xf>
    <xf numFmtId="0" fontId="9" fillId="35" borderId="130" xfId="0" applyFont="1" applyFill="1" applyBorder="1" applyAlignment="1" applyProtection="1">
      <alignment/>
      <protection/>
    </xf>
    <xf numFmtId="0" fontId="9" fillId="35" borderId="30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/>
    </xf>
    <xf numFmtId="0" fontId="9" fillId="35" borderId="55" xfId="0" applyFont="1" applyFill="1" applyBorder="1" applyAlignment="1" applyProtection="1">
      <alignment/>
      <protection/>
    </xf>
    <xf numFmtId="0" fontId="9" fillId="35" borderId="131" xfId="0" applyFont="1" applyFill="1" applyBorder="1" applyAlignment="1" applyProtection="1">
      <alignment/>
      <protection/>
    </xf>
    <xf numFmtId="0" fontId="9" fillId="35" borderId="37" xfId="0" applyFont="1" applyFill="1" applyBorder="1" applyAlignment="1" applyProtection="1">
      <alignment/>
      <protection/>
    </xf>
    <xf numFmtId="0" fontId="9" fillId="35" borderId="116" xfId="0" applyFont="1" applyFill="1" applyBorder="1" applyAlignment="1" applyProtection="1">
      <alignment/>
      <protection/>
    </xf>
    <xf numFmtId="3" fontId="3" fillId="35" borderId="134" xfId="0" applyNumberFormat="1" applyFont="1" applyFill="1" applyBorder="1" applyAlignment="1" applyProtection="1">
      <alignment horizontal="right"/>
      <protection/>
    </xf>
    <xf numFmtId="3" fontId="3" fillId="27" borderId="93" xfId="0" applyNumberFormat="1" applyFont="1" applyFill="1" applyBorder="1" applyAlignment="1" applyProtection="1">
      <alignment horizontal="right"/>
      <protection locked="0"/>
    </xf>
    <xf numFmtId="0" fontId="9" fillId="35" borderId="16" xfId="0" applyFont="1" applyFill="1" applyBorder="1" applyAlignment="1" applyProtection="1">
      <alignment/>
      <protection/>
    </xf>
    <xf numFmtId="0" fontId="9" fillId="35" borderId="15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3" fontId="3" fillId="40" borderId="14" xfId="0" applyNumberFormat="1" applyFont="1" applyFill="1" applyBorder="1" applyAlignment="1" applyProtection="1">
      <alignment horizontal="right"/>
      <protection/>
    </xf>
    <xf numFmtId="3" fontId="3" fillId="40" borderId="15" xfId="0" applyNumberFormat="1" applyFont="1" applyFill="1" applyBorder="1" applyAlignment="1" applyProtection="1">
      <alignment horizontal="right"/>
      <protection/>
    </xf>
    <xf numFmtId="0" fontId="9" fillId="35" borderId="28" xfId="0" applyFont="1" applyFill="1" applyBorder="1" applyAlignment="1" applyProtection="1">
      <alignment/>
      <protection/>
    </xf>
    <xf numFmtId="0" fontId="9" fillId="35" borderId="31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9" fillId="35" borderId="41" xfId="0" applyFont="1" applyFill="1" applyBorder="1" applyAlignment="1" applyProtection="1">
      <alignment/>
      <protection/>
    </xf>
    <xf numFmtId="3" fontId="3" fillId="27" borderId="135" xfId="0" applyNumberFormat="1" applyFont="1" applyFill="1" applyBorder="1" applyAlignment="1" applyProtection="1">
      <alignment horizontal="right"/>
      <protection/>
    </xf>
    <xf numFmtId="3" fontId="3" fillId="35" borderId="23" xfId="0" applyNumberFormat="1" applyFont="1" applyFill="1" applyBorder="1" applyAlignment="1" applyProtection="1">
      <alignment horizontal="left"/>
      <protection/>
    </xf>
    <xf numFmtId="3" fontId="3" fillId="35" borderId="19" xfId="0" applyNumberFormat="1" applyFont="1" applyFill="1" applyBorder="1" applyAlignment="1" applyProtection="1">
      <alignment horizontal="left"/>
      <protection/>
    </xf>
    <xf numFmtId="3" fontId="3" fillId="35" borderId="18" xfId="0" applyNumberFormat="1" applyFont="1" applyFill="1" applyBorder="1" applyAlignment="1" applyProtection="1">
      <alignment horizontal="left"/>
      <protection/>
    </xf>
    <xf numFmtId="3" fontId="3" fillId="35" borderId="29" xfId="0" applyNumberFormat="1" applyFont="1" applyFill="1" applyBorder="1" applyAlignment="1" applyProtection="1">
      <alignment horizontal="left"/>
      <protection/>
    </xf>
    <xf numFmtId="3" fontId="3" fillId="35" borderId="32" xfId="0" applyNumberFormat="1" applyFont="1" applyFill="1" applyBorder="1" applyAlignment="1" applyProtection="1">
      <alignment horizontal="left"/>
      <protection/>
    </xf>
    <xf numFmtId="3" fontId="3" fillId="41" borderId="29" xfId="0" applyNumberFormat="1" applyFont="1" applyFill="1" applyBorder="1" applyAlignment="1" applyProtection="1">
      <alignment horizontal="left"/>
      <protection/>
    </xf>
    <xf numFmtId="3" fontId="3" fillId="35" borderId="39" xfId="0" applyNumberFormat="1" applyFont="1" applyFill="1" applyBorder="1" applyAlignment="1" applyProtection="1">
      <alignment horizontal="left"/>
      <protection/>
    </xf>
    <xf numFmtId="3" fontId="3" fillId="35" borderId="40" xfId="0" applyNumberFormat="1" applyFont="1" applyFill="1" applyBorder="1" applyAlignment="1" applyProtection="1">
      <alignment horizontal="left"/>
      <protection/>
    </xf>
    <xf numFmtId="0" fontId="45" fillId="27" borderId="136" xfId="53" applyFont="1" applyFill="1" applyBorder="1" applyProtection="1">
      <alignment/>
      <protection/>
    </xf>
    <xf numFmtId="0" fontId="30" fillId="0" borderId="20" xfId="53" applyFont="1" applyBorder="1" applyProtection="1">
      <alignment/>
      <protection/>
    </xf>
    <xf numFmtId="0" fontId="0" fillId="0" borderId="98" xfId="53" applyBorder="1" applyProtection="1">
      <alignment/>
      <protection/>
    </xf>
    <xf numFmtId="0" fontId="30" fillId="0" borderId="85" xfId="53" applyFont="1" applyBorder="1" applyProtection="1">
      <alignment/>
      <protection/>
    </xf>
    <xf numFmtId="49" fontId="89" fillId="32" borderId="0" xfId="0" applyNumberFormat="1" applyFont="1" applyFill="1" applyAlignment="1" applyProtection="1">
      <alignment/>
      <protection/>
    </xf>
    <xf numFmtId="0" fontId="89" fillId="32" borderId="0" xfId="0" applyFont="1" applyFill="1" applyAlignment="1" applyProtection="1">
      <alignment/>
      <protection/>
    </xf>
    <xf numFmtId="49" fontId="89" fillId="32" borderId="0" xfId="0" applyNumberFormat="1" applyFont="1" applyFill="1" applyAlignment="1" applyProtection="1">
      <alignment/>
      <protection/>
    </xf>
    <xf numFmtId="0" fontId="89" fillId="32" borderId="0" xfId="0" applyFont="1" applyFill="1" applyAlignment="1" applyProtection="1">
      <alignment/>
      <protection/>
    </xf>
    <xf numFmtId="0" fontId="0" fillId="32" borderId="0" xfId="0" applyFill="1" applyAlignment="1" applyProtection="1">
      <alignment horizontal="right"/>
      <protection/>
    </xf>
    <xf numFmtId="0" fontId="91" fillId="32" borderId="0" xfId="0" applyFont="1" applyFill="1" applyBorder="1" applyAlignment="1" applyProtection="1" quotePrefix="1">
      <alignment horizontal="left"/>
      <protection/>
    </xf>
    <xf numFmtId="0" fontId="92" fillId="32" borderId="0" xfId="0" applyFont="1" applyFill="1" applyAlignment="1" applyProtection="1">
      <alignment/>
      <protection/>
    </xf>
    <xf numFmtId="49" fontId="89" fillId="32" borderId="0" xfId="0" applyNumberFormat="1" applyFont="1" applyFill="1" applyAlignment="1" applyProtection="1">
      <alignment horizontal="right"/>
      <protection/>
    </xf>
    <xf numFmtId="49" fontId="90" fillId="32" borderId="0" xfId="0" applyNumberFormat="1" applyFont="1" applyFill="1" applyAlignment="1" applyProtection="1">
      <alignment horizontal="right"/>
      <protection/>
    </xf>
    <xf numFmtId="0" fontId="90" fillId="32" borderId="0" xfId="0" applyFont="1" applyFill="1" applyAlignment="1" applyProtection="1">
      <alignment horizontal="left"/>
      <protection/>
    </xf>
    <xf numFmtId="49" fontId="89" fillId="32" borderId="0" xfId="53" applyNumberFormat="1" applyFont="1" applyFill="1" applyBorder="1" applyAlignment="1" applyProtection="1">
      <alignment horizontal="left"/>
      <protection/>
    </xf>
    <xf numFmtId="0" fontId="89" fillId="32" borderId="0" xfId="53" applyFont="1" applyFill="1" applyProtection="1">
      <alignment/>
      <protection/>
    </xf>
    <xf numFmtId="3" fontId="3" fillId="0" borderId="27" xfId="0" applyNumberFormat="1" applyFont="1" applyFill="1" applyBorder="1" applyAlignment="1" applyProtection="1">
      <alignment horizontal="right"/>
      <protection locked="0"/>
    </xf>
    <xf numFmtId="3" fontId="45" fillId="0" borderId="49" xfId="0" applyNumberFormat="1" applyFont="1" applyFill="1" applyBorder="1" applyAlignment="1" applyProtection="1">
      <alignment/>
      <protection/>
    </xf>
    <xf numFmtId="3" fontId="8" fillId="0" borderId="49" xfId="0" applyNumberFormat="1" applyFont="1" applyFill="1" applyBorder="1" applyAlignment="1" applyProtection="1">
      <alignment/>
      <protection/>
    </xf>
    <xf numFmtId="3" fontId="4" fillId="0" borderId="123" xfId="0" applyNumberFormat="1" applyFont="1" applyFill="1" applyBorder="1" applyAlignment="1" applyProtection="1">
      <alignment horizontal="right"/>
      <protection/>
    </xf>
    <xf numFmtId="3" fontId="28" fillId="0" borderId="49" xfId="0" applyNumberFormat="1" applyFont="1" applyFill="1" applyBorder="1" applyAlignment="1" applyProtection="1">
      <alignment horizontal="right"/>
      <protection/>
    </xf>
    <xf numFmtId="0" fontId="8" fillId="0" borderId="76" xfId="0" applyFont="1" applyFill="1" applyBorder="1" applyAlignment="1" applyProtection="1">
      <alignment/>
      <protection/>
    </xf>
    <xf numFmtId="0" fontId="74" fillId="27" borderId="123" xfId="57" applyFont="1" applyFill="1" applyBorder="1" applyProtection="1">
      <alignment/>
      <protection/>
    </xf>
    <xf numFmtId="3" fontId="3" fillId="28" borderId="17" xfId="0" applyNumberFormat="1" applyFont="1" applyFill="1" applyBorder="1" applyAlignment="1" applyProtection="1">
      <alignment horizontal="right"/>
      <protection/>
    </xf>
    <xf numFmtId="3" fontId="3" fillId="27" borderId="59" xfId="0" applyNumberFormat="1" applyFont="1" applyFill="1" applyBorder="1" applyAlignment="1" applyProtection="1">
      <alignment horizontal="right"/>
      <protection locked="0"/>
    </xf>
    <xf numFmtId="3" fontId="28" fillId="0" borderId="0" xfId="53" applyNumberFormat="1" applyFont="1" applyFill="1" applyBorder="1" applyAlignment="1" applyProtection="1" quotePrefix="1">
      <alignment/>
      <protection/>
    </xf>
    <xf numFmtId="3" fontId="28" fillId="0" borderId="0" xfId="53" applyNumberFormat="1" applyFont="1" applyFill="1" applyBorder="1" applyAlignment="1" applyProtection="1" quotePrefix="1">
      <alignment/>
      <protection/>
    </xf>
    <xf numFmtId="3" fontId="28" fillId="27" borderId="49" xfId="0" applyNumberFormat="1" applyFont="1" applyFill="1" applyBorder="1" applyAlignment="1" applyProtection="1">
      <alignment horizontal="left"/>
      <protection/>
    </xf>
    <xf numFmtId="3" fontId="98" fillId="27" borderId="0" xfId="0" applyNumberFormat="1" applyFont="1" applyFill="1" applyBorder="1" applyAlignment="1" applyProtection="1">
      <alignment horizontal="right"/>
      <protection/>
    </xf>
    <xf numFmtId="3" fontId="98" fillId="30" borderId="0" xfId="0" applyNumberFormat="1" applyFont="1" applyFill="1" applyBorder="1" applyAlignment="1" applyProtection="1">
      <alignment horizontal="right"/>
      <protection/>
    </xf>
    <xf numFmtId="3" fontId="98" fillId="29" borderId="0" xfId="0" applyNumberFormat="1" applyFont="1" applyFill="1" applyBorder="1" applyAlignment="1" applyProtection="1">
      <alignment horizontal="right"/>
      <protection/>
    </xf>
    <xf numFmtId="3" fontId="98" fillId="31" borderId="0" xfId="0" applyNumberFormat="1" applyFont="1" applyFill="1" applyBorder="1" applyAlignment="1" applyProtection="1">
      <alignment horizontal="right"/>
      <protection/>
    </xf>
    <xf numFmtId="0" fontId="99" fillId="0" borderId="0" xfId="0" applyFont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49" fontId="4" fillId="17" borderId="137" xfId="0" applyNumberFormat="1" applyFont="1" applyFill="1" applyBorder="1" applyAlignment="1" applyProtection="1">
      <alignment horizontal="center"/>
      <protection/>
    </xf>
    <xf numFmtId="49" fontId="4" fillId="17" borderId="22" xfId="0" applyNumberFormat="1" applyFont="1" applyFill="1" applyBorder="1" applyAlignment="1" applyProtection="1">
      <alignment horizontal="center"/>
      <protection/>
    </xf>
    <xf numFmtId="0" fontId="6" fillId="17" borderId="22" xfId="0" applyFont="1" applyFill="1" applyBorder="1" applyAlignment="1" applyProtection="1">
      <alignment/>
      <protection/>
    </xf>
    <xf numFmtId="49" fontId="0" fillId="17" borderId="138" xfId="0" applyNumberFormat="1" applyFill="1" applyBorder="1" applyAlignment="1" applyProtection="1">
      <alignment/>
      <protection/>
    </xf>
    <xf numFmtId="49" fontId="4" fillId="17" borderId="123" xfId="0" applyNumberFormat="1" applyFont="1" applyFill="1" applyBorder="1" applyAlignment="1" applyProtection="1">
      <alignment horizontal="left"/>
      <protection/>
    </xf>
    <xf numFmtId="0" fontId="0" fillId="17" borderId="139" xfId="0" applyFill="1" applyBorder="1" applyAlignment="1" applyProtection="1">
      <alignment/>
      <protection/>
    </xf>
    <xf numFmtId="49" fontId="4" fillId="17" borderId="140" xfId="0" applyNumberFormat="1" applyFont="1" applyFill="1" applyBorder="1" applyAlignment="1" applyProtection="1">
      <alignment/>
      <protection/>
    </xf>
    <xf numFmtId="49" fontId="4" fillId="17" borderId="10" xfId="0" applyNumberFormat="1" applyFont="1" applyFill="1" applyBorder="1" applyAlignment="1" applyProtection="1">
      <alignment horizontal="left"/>
      <protection/>
    </xf>
    <xf numFmtId="49" fontId="4" fillId="17" borderId="69" xfId="0" applyNumberFormat="1" applyFont="1" applyFill="1" applyBorder="1" applyAlignment="1" applyProtection="1">
      <alignment horizontal="center"/>
      <protection/>
    </xf>
    <xf numFmtId="0" fontId="4" fillId="17" borderId="18" xfId="0" applyFont="1" applyFill="1" applyBorder="1" applyAlignment="1" applyProtection="1">
      <alignment horizontal="center" wrapText="1"/>
      <protection/>
    </xf>
    <xf numFmtId="0" fontId="4" fillId="17" borderId="18" xfId="0" applyFont="1" applyFill="1" applyBorder="1" applyAlignment="1" applyProtection="1">
      <alignment horizontal="center" wrapText="1"/>
      <protection/>
    </xf>
    <xf numFmtId="0" fontId="4" fillId="17" borderId="14" xfId="0" applyFont="1" applyFill="1" applyBorder="1" applyAlignment="1" applyProtection="1">
      <alignment horizontal="center"/>
      <protection/>
    </xf>
    <xf numFmtId="0" fontId="4" fillId="17" borderId="141" xfId="0" applyFont="1" applyFill="1" applyBorder="1" applyAlignment="1" applyProtection="1">
      <alignment horizontal="center"/>
      <protection/>
    </xf>
    <xf numFmtId="3" fontId="4" fillId="17" borderId="142" xfId="0" applyNumberFormat="1" applyFont="1" applyFill="1" applyBorder="1" applyAlignment="1" applyProtection="1">
      <alignment/>
      <protection/>
    </xf>
    <xf numFmtId="0" fontId="4" fillId="17" borderId="32" xfId="0" applyFont="1" applyFill="1" applyBorder="1" applyAlignment="1" applyProtection="1">
      <alignment horizontal="center"/>
      <protection/>
    </xf>
    <xf numFmtId="0" fontId="4" fillId="17" borderId="18" xfId="0" applyFont="1" applyFill="1" applyBorder="1" applyAlignment="1" applyProtection="1">
      <alignment horizontal="center"/>
      <protection/>
    </xf>
    <xf numFmtId="0" fontId="6" fillId="17" borderId="18" xfId="0" applyFont="1" applyFill="1" applyBorder="1" applyAlignment="1" applyProtection="1">
      <alignment horizontal="left"/>
      <protection/>
    </xf>
    <xf numFmtId="0" fontId="4" fillId="17" borderId="143" xfId="0" applyFont="1" applyFill="1" applyBorder="1" applyAlignment="1" applyProtection="1">
      <alignment horizontal="center"/>
      <protection/>
    </xf>
    <xf numFmtId="0" fontId="4" fillId="17" borderId="22" xfId="0" applyFont="1" applyFill="1" applyBorder="1" applyAlignment="1" applyProtection="1">
      <alignment horizontal="center"/>
      <protection/>
    </xf>
    <xf numFmtId="0" fontId="6" fillId="17" borderId="22" xfId="0" applyFont="1" applyFill="1" applyBorder="1" applyAlignment="1" applyProtection="1">
      <alignment horizontal="left"/>
      <protection/>
    </xf>
    <xf numFmtId="0" fontId="4" fillId="17" borderId="31" xfId="0" applyFont="1" applyFill="1" applyBorder="1" applyAlignment="1" applyProtection="1">
      <alignment horizontal="center"/>
      <protection/>
    </xf>
    <xf numFmtId="0" fontId="4" fillId="17" borderId="17" xfId="0" applyFont="1" applyFill="1" applyBorder="1" applyAlignment="1" applyProtection="1">
      <alignment horizontal="center" wrapText="1"/>
      <protection/>
    </xf>
    <xf numFmtId="0" fontId="4" fillId="17" borderId="14" xfId="0" applyFont="1" applyFill="1" applyBorder="1" applyAlignment="1" applyProtection="1">
      <alignment wrapText="1"/>
      <protection/>
    </xf>
    <xf numFmtId="0" fontId="4" fillId="17" borderId="30" xfId="0" applyFont="1" applyFill="1" applyBorder="1" applyAlignment="1" applyProtection="1">
      <alignment horizontal="center"/>
      <protection/>
    </xf>
    <xf numFmtId="0" fontId="4" fillId="17" borderId="62" xfId="0" applyFont="1" applyFill="1" applyBorder="1" applyAlignment="1" applyProtection="1">
      <alignment horizontal="center"/>
      <protection/>
    </xf>
    <xf numFmtId="0" fontId="4" fillId="17" borderId="11" xfId="0" applyFont="1" applyFill="1" applyBorder="1" applyAlignment="1" applyProtection="1">
      <alignment/>
      <protection/>
    </xf>
    <xf numFmtId="0" fontId="4" fillId="17" borderId="144" xfId="0" applyFont="1" applyFill="1" applyBorder="1" applyAlignment="1" applyProtection="1">
      <alignment horizontal="center"/>
      <protection/>
    </xf>
    <xf numFmtId="1" fontId="4" fillId="17" borderId="24" xfId="0" applyNumberFormat="1" applyFont="1" applyFill="1" applyBorder="1" applyAlignment="1" applyProtection="1">
      <alignment horizontal="center"/>
      <protection/>
    </xf>
    <xf numFmtId="0" fontId="4" fillId="17" borderId="24" xfId="0" applyFont="1" applyFill="1" applyBorder="1" applyAlignment="1" applyProtection="1">
      <alignment/>
      <protection/>
    </xf>
    <xf numFmtId="1" fontId="4" fillId="17" borderId="14" xfId="0" applyNumberFormat="1" applyFont="1" applyFill="1" applyBorder="1" applyAlignment="1" applyProtection="1">
      <alignment horizontal="center"/>
      <protection/>
    </xf>
    <xf numFmtId="0" fontId="4" fillId="17" borderId="14" xfId="0" applyFont="1" applyFill="1" applyBorder="1" applyAlignment="1" applyProtection="1">
      <alignment/>
      <protection/>
    </xf>
    <xf numFmtId="0" fontId="4" fillId="17" borderId="58" xfId="0" applyFont="1" applyFill="1" applyBorder="1" applyAlignment="1" applyProtection="1">
      <alignment horizontal="center"/>
      <protection/>
    </xf>
    <xf numFmtId="1" fontId="4" fillId="17" borderId="11" xfId="0" applyNumberFormat="1" applyFont="1" applyFill="1" applyBorder="1" applyAlignment="1" applyProtection="1">
      <alignment horizontal="center"/>
      <protection/>
    </xf>
    <xf numFmtId="0" fontId="4" fillId="17" borderId="33" xfId="0" applyFont="1" applyFill="1" applyBorder="1" applyAlignment="1" applyProtection="1">
      <alignment horizontal="center"/>
      <protection/>
    </xf>
    <xf numFmtId="1" fontId="6" fillId="17" borderId="22" xfId="0" applyNumberFormat="1" applyFont="1" applyFill="1" applyBorder="1" applyAlignment="1" applyProtection="1">
      <alignment horizontal="center"/>
      <protection/>
    </xf>
    <xf numFmtId="0" fontId="4" fillId="17" borderId="145" xfId="0" applyFont="1" applyFill="1" applyBorder="1" applyAlignment="1" applyProtection="1">
      <alignment horizontal="center"/>
      <protection/>
    </xf>
    <xf numFmtId="1" fontId="4" fillId="17" borderId="11" xfId="0" applyNumberFormat="1" applyFont="1" applyFill="1" applyBorder="1" applyAlignment="1" applyProtection="1">
      <alignment horizontal="center"/>
      <protection/>
    </xf>
    <xf numFmtId="0" fontId="4" fillId="17" borderId="11" xfId="0" applyFont="1" applyFill="1" applyBorder="1" applyAlignment="1" applyProtection="1">
      <alignment/>
      <protection/>
    </xf>
    <xf numFmtId="1" fontId="6" fillId="17" borderId="22" xfId="0" applyNumberFormat="1" applyFont="1" applyFill="1" applyBorder="1" applyAlignment="1" applyProtection="1">
      <alignment horizontal="center"/>
      <protection/>
    </xf>
    <xf numFmtId="0" fontId="6" fillId="17" borderId="22" xfId="0" applyFont="1" applyFill="1" applyBorder="1" applyAlignment="1" applyProtection="1">
      <alignment/>
      <protection/>
    </xf>
    <xf numFmtId="0" fontId="4" fillId="17" borderId="48" xfId="0" applyFont="1" applyFill="1" applyBorder="1" applyAlignment="1" applyProtection="1">
      <alignment horizontal="center"/>
      <protection/>
    </xf>
    <xf numFmtId="1" fontId="6" fillId="17" borderId="34" xfId="0" applyNumberFormat="1" applyFont="1" applyFill="1" applyBorder="1" applyAlignment="1" applyProtection="1">
      <alignment horizontal="center"/>
      <protection/>
    </xf>
    <xf numFmtId="0" fontId="6" fillId="17" borderId="34" xfId="0" applyFont="1" applyFill="1" applyBorder="1" applyAlignment="1" applyProtection="1">
      <alignment/>
      <protection/>
    </xf>
    <xf numFmtId="0" fontId="4" fillId="17" borderId="145" xfId="0" applyFont="1" applyFill="1" applyBorder="1" applyAlignment="1" applyProtection="1">
      <alignment horizontal="center"/>
      <protection/>
    </xf>
    <xf numFmtId="0" fontId="4" fillId="17" borderId="34" xfId="0" applyFont="1" applyFill="1" applyBorder="1" applyAlignment="1" applyProtection="1">
      <alignment horizontal="center"/>
      <protection/>
    </xf>
    <xf numFmtId="0" fontId="4" fillId="17" borderId="34" xfId="0" applyFont="1" applyFill="1" applyBorder="1" applyAlignment="1" applyProtection="1">
      <alignment/>
      <protection/>
    </xf>
    <xf numFmtId="0" fontId="6" fillId="17" borderId="11" xfId="0" applyFont="1" applyFill="1" applyBorder="1" applyAlignment="1" applyProtection="1">
      <alignment/>
      <protection/>
    </xf>
    <xf numFmtId="49" fontId="4" fillId="17" borderId="143" xfId="0" applyNumberFormat="1" applyFont="1" applyFill="1" applyBorder="1" applyAlignment="1" applyProtection="1">
      <alignment horizontal="center"/>
      <protection/>
    </xf>
    <xf numFmtId="0" fontId="4" fillId="17" borderId="120" xfId="0" applyFont="1" applyFill="1" applyBorder="1" applyAlignment="1" applyProtection="1">
      <alignment horizontal="center"/>
      <protection/>
    </xf>
    <xf numFmtId="1" fontId="4" fillId="17" borderId="71" xfId="0" applyNumberFormat="1" applyFont="1" applyFill="1" applyBorder="1" applyAlignment="1" applyProtection="1">
      <alignment horizontal="left"/>
      <protection/>
    </xf>
    <xf numFmtId="0" fontId="4" fillId="17" borderId="102" xfId="0" applyFont="1" applyFill="1" applyBorder="1" applyAlignment="1" applyProtection="1">
      <alignment horizontal="center"/>
      <protection/>
    </xf>
    <xf numFmtId="1" fontId="4" fillId="17" borderId="146" xfId="0" applyNumberFormat="1" applyFont="1" applyFill="1" applyBorder="1" applyAlignment="1" applyProtection="1">
      <alignment horizontal="left"/>
      <protection/>
    </xf>
    <xf numFmtId="49" fontId="4" fillId="17" borderId="147" xfId="0" applyNumberFormat="1" applyFont="1" applyFill="1" applyBorder="1" applyAlignment="1" applyProtection="1">
      <alignment horizontal="center"/>
      <protection/>
    </xf>
    <xf numFmtId="0" fontId="60" fillId="17" borderId="92" xfId="0" applyFont="1" applyFill="1" applyBorder="1" applyAlignment="1" applyProtection="1">
      <alignment horizontal="center"/>
      <protection/>
    </xf>
    <xf numFmtId="49" fontId="4" fillId="17" borderId="30" xfId="0" applyNumberFormat="1" applyFont="1" applyFill="1" applyBorder="1" applyAlignment="1" applyProtection="1">
      <alignment horizontal="center"/>
      <protection/>
    </xf>
    <xf numFmtId="49" fontId="13" fillId="17" borderId="17" xfId="0" applyNumberFormat="1" applyFont="1" applyFill="1" applyBorder="1" applyAlignment="1" applyProtection="1">
      <alignment horizontal="left"/>
      <protection/>
    </xf>
    <xf numFmtId="49" fontId="4" fillId="17" borderId="31" xfId="0" applyNumberFormat="1" applyFont="1" applyFill="1" applyBorder="1" applyAlignment="1" applyProtection="1">
      <alignment horizontal="center"/>
      <protection/>
    </xf>
    <xf numFmtId="49" fontId="4" fillId="17" borderId="144" xfId="0" applyNumberFormat="1" applyFont="1" applyFill="1" applyBorder="1" applyAlignment="1" applyProtection="1">
      <alignment horizontal="center"/>
      <protection/>
    </xf>
    <xf numFmtId="49" fontId="4" fillId="17" borderId="33" xfId="0" applyNumberFormat="1" applyFont="1" applyFill="1" applyBorder="1" applyAlignment="1" applyProtection="1">
      <alignment horizontal="center"/>
      <protection/>
    </xf>
    <xf numFmtId="49" fontId="60" fillId="17" borderId="79" xfId="0" applyNumberFormat="1" applyFont="1" applyFill="1" applyBorder="1" applyAlignment="1" applyProtection="1">
      <alignment horizontal="center"/>
      <protection/>
    </xf>
    <xf numFmtId="49" fontId="4" fillId="17" borderId="148" xfId="0" applyNumberFormat="1" applyFont="1" applyFill="1" applyBorder="1" applyAlignment="1" applyProtection="1">
      <alignment horizontal="center"/>
      <protection/>
    </xf>
    <xf numFmtId="0" fontId="6" fillId="17" borderId="94" xfId="0" applyFont="1" applyFill="1" applyBorder="1" applyAlignment="1" applyProtection="1">
      <alignment wrapText="1"/>
      <protection/>
    </xf>
    <xf numFmtId="0" fontId="4" fillId="17" borderId="11" xfId="0" applyFont="1" applyFill="1" applyBorder="1" applyAlignment="1" applyProtection="1">
      <alignment wrapText="1"/>
      <protection/>
    </xf>
    <xf numFmtId="49" fontId="4" fillId="17" borderId="145" xfId="0" applyNumberFormat="1" applyFont="1" applyFill="1" applyBorder="1" applyAlignment="1" applyProtection="1">
      <alignment horizontal="center"/>
      <protection/>
    </xf>
    <xf numFmtId="0" fontId="6" fillId="17" borderId="71" xfId="0" applyFont="1" applyFill="1" applyBorder="1" applyAlignment="1" applyProtection="1">
      <alignment/>
      <protection/>
    </xf>
    <xf numFmtId="49" fontId="4" fillId="17" borderId="149" xfId="0" applyNumberFormat="1" applyFont="1" applyFill="1" applyBorder="1" applyAlignment="1" applyProtection="1">
      <alignment horizontal="center"/>
      <protection/>
    </xf>
    <xf numFmtId="0" fontId="6" fillId="17" borderId="71" xfId="0" applyFont="1" applyFill="1" applyBorder="1" applyAlignment="1" applyProtection="1">
      <alignment/>
      <protection/>
    </xf>
    <xf numFmtId="0" fontId="6" fillId="17" borderId="11" xfId="0" applyFont="1" applyFill="1" applyBorder="1" applyAlignment="1" applyProtection="1">
      <alignment wrapText="1"/>
      <protection/>
    </xf>
    <xf numFmtId="49" fontId="4" fillId="17" borderId="31" xfId="0" applyNumberFormat="1" applyFont="1" applyFill="1" applyBorder="1" applyAlignment="1" applyProtection="1">
      <alignment horizontal="center"/>
      <protection/>
    </xf>
    <xf numFmtId="0" fontId="4" fillId="17" borderId="14" xfId="0" applyFont="1" applyFill="1" applyBorder="1" applyAlignment="1" applyProtection="1">
      <alignment wrapText="1"/>
      <protection/>
    </xf>
    <xf numFmtId="0" fontId="6" fillId="17" borderId="132" xfId="0" applyFont="1" applyFill="1" applyBorder="1" applyAlignment="1" applyProtection="1">
      <alignment horizontal="right"/>
      <protection/>
    </xf>
    <xf numFmtId="0" fontId="4" fillId="17" borderId="112" xfId="0" applyFont="1" applyFill="1" applyBorder="1" applyAlignment="1" applyProtection="1">
      <alignment horizontal="left"/>
      <protection/>
    </xf>
    <xf numFmtId="0" fontId="6" fillId="17" borderId="130" xfId="0" applyFont="1" applyFill="1" applyBorder="1" applyAlignment="1" applyProtection="1">
      <alignment horizontal="right"/>
      <protection/>
    </xf>
    <xf numFmtId="0" fontId="4" fillId="17" borderId="137" xfId="0" applyFont="1" applyFill="1" applyBorder="1" applyAlignment="1" applyProtection="1">
      <alignment horizontal="left"/>
      <protection/>
    </xf>
    <xf numFmtId="0" fontId="6" fillId="17" borderId="24" xfId="0" applyFont="1" applyFill="1" applyBorder="1" applyAlignment="1" applyProtection="1">
      <alignment horizontal="right"/>
      <protection/>
    </xf>
    <xf numFmtId="0" fontId="6" fillId="17" borderId="11" xfId="0" applyFont="1" applyFill="1" applyBorder="1" applyAlignment="1" applyProtection="1">
      <alignment horizontal="left"/>
      <protection/>
    </xf>
    <xf numFmtId="0" fontId="4" fillId="17" borderId="11" xfId="0" applyFont="1" applyFill="1" applyBorder="1" applyAlignment="1" applyProtection="1">
      <alignment horizontal="left"/>
      <protection/>
    </xf>
    <xf numFmtId="0" fontId="6" fillId="17" borderId="22" xfId="0" applyFont="1" applyFill="1" applyBorder="1" applyAlignment="1" applyProtection="1">
      <alignment horizontal="left"/>
      <protection/>
    </xf>
    <xf numFmtId="49" fontId="4" fillId="17" borderId="32" xfId="0" applyNumberFormat="1" applyFont="1" applyFill="1" applyBorder="1" applyAlignment="1" applyProtection="1">
      <alignment horizontal="center"/>
      <protection/>
    </xf>
    <xf numFmtId="0" fontId="4" fillId="17" borderId="18" xfId="0" applyFont="1" applyFill="1" applyBorder="1" applyAlignment="1" applyProtection="1">
      <alignment horizontal="left"/>
      <protection/>
    </xf>
    <xf numFmtId="0" fontId="4" fillId="17" borderId="11" xfId="0" applyFont="1" applyFill="1" applyBorder="1" applyAlignment="1" applyProtection="1">
      <alignment horizontal="left" vertical="top" wrapText="1"/>
      <protection/>
    </xf>
    <xf numFmtId="0" fontId="4" fillId="17" borderId="14" xfId="0" applyFont="1" applyFill="1" applyBorder="1" applyAlignment="1" applyProtection="1">
      <alignment horizontal="left"/>
      <protection/>
    </xf>
    <xf numFmtId="0" fontId="6" fillId="17" borderId="24" xfId="0" applyFont="1" applyFill="1" applyBorder="1" applyAlignment="1" applyProtection="1">
      <alignment horizontal="left"/>
      <protection/>
    </xf>
    <xf numFmtId="0" fontId="6" fillId="17" borderId="133" xfId="0" applyFont="1" applyFill="1" applyBorder="1" applyAlignment="1" applyProtection="1">
      <alignment horizontal="left"/>
      <protection/>
    </xf>
    <xf numFmtId="0" fontId="4" fillId="17" borderId="24" xfId="0" applyFont="1" applyFill="1" applyBorder="1" applyAlignment="1" applyProtection="1">
      <alignment horizontal="left"/>
      <protection/>
    </xf>
    <xf numFmtId="0" fontId="4" fillId="17" borderId="64" xfId="0" applyFont="1" applyFill="1" applyBorder="1" applyAlignment="1" applyProtection="1">
      <alignment horizontal="left"/>
      <protection/>
    </xf>
    <xf numFmtId="0" fontId="6" fillId="17" borderId="64" xfId="0" applyFont="1" applyFill="1" applyBorder="1" applyAlignment="1" applyProtection="1">
      <alignment horizontal="right"/>
      <protection/>
    </xf>
    <xf numFmtId="0" fontId="4" fillId="17" borderId="61" xfId="0" applyFont="1" applyFill="1" applyBorder="1" applyAlignment="1" applyProtection="1">
      <alignment horizontal="left"/>
      <protection/>
    </xf>
    <xf numFmtId="0" fontId="6" fillId="17" borderId="137" xfId="0" applyFont="1" applyFill="1" applyBorder="1" applyAlignment="1" applyProtection="1">
      <alignment horizontal="left" vertical="top"/>
      <protection/>
    </xf>
    <xf numFmtId="0" fontId="6" fillId="17" borderId="64" xfId="0" applyFont="1" applyFill="1" applyBorder="1" applyAlignment="1" applyProtection="1">
      <alignment horizontal="left" vertical="top"/>
      <protection/>
    </xf>
    <xf numFmtId="0" fontId="6" fillId="17" borderId="30" xfId="0" applyFont="1" applyFill="1" applyBorder="1" applyAlignment="1" applyProtection="1">
      <alignment horizontal="right"/>
      <protection/>
    </xf>
    <xf numFmtId="0" fontId="6" fillId="17" borderId="60" xfId="0" applyFont="1" applyFill="1" applyBorder="1" applyAlignment="1" applyProtection="1">
      <alignment horizontal="right"/>
      <protection/>
    </xf>
    <xf numFmtId="3" fontId="39" fillId="42" borderId="31" xfId="0" applyNumberFormat="1" applyFont="1" applyFill="1" applyBorder="1" applyAlignment="1" applyProtection="1">
      <alignment/>
      <protection/>
    </xf>
    <xf numFmtId="3" fontId="39" fillId="42" borderId="28" xfId="0" applyNumberFormat="1" applyFont="1" applyFill="1" applyBorder="1" applyAlignment="1" applyProtection="1">
      <alignment/>
      <protection/>
    </xf>
    <xf numFmtId="3" fontId="39" fillId="42" borderId="31" xfId="0" applyNumberFormat="1" applyFont="1" applyFill="1" applyBorder="1" applyAlignment="1" applyProtection="1">
      <alignment horizontal="right"/>
      <protection/>
    </xf>
    <xf numFmtId="3" fontId="39" fillId="42" borderId="33" xfId="0" applyNumberFormat="1" applyFont="1" applyFill="1" applyBorder="1" applyAlignment="1" applyProtection="1">
      <alignment/>
      <protection/>
    </xf>
    <xf numFmtId="3" fontId="39" fillId="42" borderId="32" xfId="0" applyNumberFormat="1" applyFont="1" applyFill="1" applyBorder="1" applyAlignment="1" applyProtection="1">
      <alignment/>
      <protection/>
    </xf>
    <xf numFmtId="3" fontId="39" fillId="42" borderId="51" xfId="0" applyNumberFormat="1" applyFont="1" applyFill="1" applyBorder="1" applyAlignment="1" applyProtection="1">
      <alignment/>
      <protection/>
    </xf>
    <xf numFmtId="3" fontId="39" fillId="42" borderId="60" xfId="0" applyNumberFormat="1" applyFont="1" applyFill="1" applyBorder="1" applyAlignment="1" applyProtection="1">
      <alignment/>
      <protection/>
    </xf>
    <xf numFmtId="3" fontId="39" fillId="42" borderId="59" xfId="0" applyNumberFormat="1" applyFont="1" applyFill="1" applyBorder="1" applyAlignment="1" applyProtection="1">
      <alignment/>
      <protection/>
    </xf>
    <xf numFmtId="3" fontId="39" fillId="43" borderId="59" xfId="0" applyNumberFormat="1" applyFont="1" applyFill="1" applyBorder="1" applyAlignment="1" applyProtection="1">
      <alignment/>
      <protection/>
    </xf>
    <xf numFmtId="3" fontId="39" fillId="42" borderId="91" xfId="0" applyNumberFormat="1" applyFont="1" applyFill="1" applyBorder="1" applyAlignment="1" applyProtection="1">
      <alignment/>
      <protection/>
    </xf>
    <xf numFmtId="3" fontId="39" fillId="43" borderId="150" xfId="0" applyNumberFormat="1" applyFont="1" applyFill="1" applyBorder="1" applyAlignment="1" applyProtection="1">
      <alignment/>
      <protection/>
    </xf>
    <xf numFmtId="3" fontId="39" fillId="43" borderId="135" xfId="0" applyNumberFormat="1" applyFont="1" applyFill="1" applyBorder="1" applyAlignment="1" applyProtection="1">
      <alignment/>
      <protection/>
    </xf>
    <xf numFmtId="3" fontId="39" fillId="42" borderId="151" xfId="0" applyNumberFormat="1" applyFont="1" applyFill="1" applyBorder="1" applyAlignment="1" applyProtection="1">
      <alignment/>
      <protection/>
    </xf>
    <xf numFmtId="0" fontId="6" fillId="17" borderId="45" xfId="0" applyFont="1" applyFill="1" applyBorder="1" applyAlignment="1" applyProtection="1">
      <alignment/>
      <protection/>
    </xf>
    <xf numFmtId="165" fontId="5" fillId="17" borderId="133" xfId="0" applyNumberFormat="1" applyFont="1" applyFill="1" applyBorder="1" applyAlignment="1" applyProtection="1">
      <alignment/>
      <protection/>
    </xf>
    <xf numFmtId="0" fontId="6" fillId="17" borderId="152" xfId="0" applyFont="1" applyFill="1" applyBorder="1" applyAlignment="1" applyProtection="1">
      <alignment/>
      <protection/>
    </xf>
    <xf numFmtId="165" fontId="7" fillId="17" borderId="153" xfId="0" applyNumberFormat="1" applyFont="1" applyFill="1" applyBorder="1" applyAlignment="1" applyProtection="1">
      <alignment/>
      <protection/>
    </xf>
    <xf numFmtId="0" fontId="6" fillId="17" borderId="30" xfId="0" applyFont="1" applyFill="1" applyBorder="1" applyAlignment="1" applyProtection="1">
      <alignment horizontal="left" vertical="top"/>
      <protection/>
    </xf>
    <xf numFmtId="0" fontId="6" fillId="17" borderId="60" xfId="0" applyFont="1" applyFill="1" applyBorder="1" applyAlignment="1" applyProtection="1">
      <alignment horizontal="left" vertical="top"/>
      <protection/>
    </xf>
    <xf numFmtId="3" fontId="39" fillId="42" borderId="28" xfId="0" applyNumberFormat="1" applyFont="1" applyFill="1" applyBorder="1" applyAlignment="1" applyProtection="1">
      <alignment horizontal="right"/>
      <protection/>
    </xf>
    <xf numFmtId="0" fontId="4" fillId="17" borderId="145" xfId="0" applyFont="1" applyFill="1" applyBorder="1" applyAlignment="1" applyProtection="1">
      <alignment/>
      <protection/>
    </xf>
    <xf numFmtId="165" fontId="7" fillId="17" borderId="60" xfId="0" applyNumberFormat="1" applyFont="1" applyFill="1" applyBorder="1" applyAlignment="1" applyProtection="1">
      <alignment/>
      <protection/>
    </xf>
    <xf numFmtId="0" fontId="4" fillId="17" borderId="58" xfId="0" applyFont="1" applyFill="1" applyBorder="1" applyAlignment="1" applyProtection="1">
      <alignment/>
      <protection/>
    </xf>
    <xf numFmtId="165" fontId="39" fillId="17" borderId="59" xfId="0" applyNumberFormat="1" applyFont="1" applyFill="1" applyBorder="1" applyAlignment="1" applyProtection="1">
      <alignment/>
      <protection/>
    </xf>
    <xf numFmtId="165" fontId="7" fillId="17" borderId="59" xfId="0" applyNumberFormat="1" applyFont="1" applyFill="1" applyBorder="1" applyAlignment="1" applyProtection="1">
      <alignment/>
      <protection/>
    </xf>
    <xf numFmtId="3" fontId="39" fillId="43" borderId="80" xfId="0" applyNumberFormat="1" applyFont="1" applyFill="1" applyBorder="1" applyAlignment="1" applyProtection="1">
      <alignment/>
      <protection/>
    </xf>
    <xf numFmtId="3" fontId="39" fillId="43" borderId="67" xfId="0" applyNumberFormat="1" applyFont="1" applyFill="1" applyBorder="1" applyAlignment="1" applyProtection="1">
      <alignment/>
      <protection/>
    </xf>
    <xf numFmtId="0" fontId="4" fillId="17" borderId="154" xfId="0" applyFont="1" applyFill="1" applyBorder="1" applyAlignment="1" applyProtection="1">
      <alignment/>
      <protection/>
    </xf>
    <xf numFmtId="165" fontId="39" fillId="17" borderId="66" xfId="0" applyNumberFormat="1" applyFont="1" applyFill="1" applyBorder="1" applyAlignment="1" applyProtection="1">
      <alignment/>
      <protection/>
    </xf>
    <xf numFmtId="3" fontId="39" fillId="42" borderId="33" xfId="0" applyNumberFormat="1" applyFont="1" applyFill="1" applyBorder="1" applyAlignment="1" applyProtection="1">
      <alignment horizontal="right"/>
      <protection/>
    </xf>
    <xf numFmtId="3" fontId="39" fillId="43" borderId="75" xfId="0" applyNumberFormat="1" applyFont="1" applyFill="1" applyBorder="1" applyAlignment="1" applyProtection="1">
      <alignment/>
      <protection/>
    </xf>
    <xf numFmtId="49" fontId="4" fillId="17" borderId="45" xfId="0" applyNumberFormat="1" applyFont="1" applyFill="1" applyBorder="1" applyAlignment="1" applyProtection="1">
      <alignment horizontal="left"/>
      <protection/>
    </xf>
    <xf numFmtId="49" fontId="4" fillId="17" borderId="65" xfId="0" applyNumberFormat="1" applyFont="1" applyFill="1" applyBorder="1" applyAlignment="1" applyProtection="1">
      <alignment horizontal="left"/>
      <protection/>
    </xf>
    <xf numFmtId="0" fontId="20" fillId="17" borderId="24" xfId="0" applyFont="1" applyFill="1" applyBorder="1" applyAlignment="1" applyProtection="1">
      <alignment/>
      <protection/>
    </xf>
    <xf numFmtId="49" fontId="4" fillId="17" borderId="152" xfId="0" applyNumberFormat="1" applyFont="1" applyFill="1" applyBorder="1" applyAlignment="1" applyProtection="1">
      <alignment horizontal="left"/>
      <protection/>
    </xf>
    <xf numFmtId="0" fontId="20" fillId="17" borderId="71" xfId="0" applyFont="1" applyFill="1" applyBorder="1" applyAlignment="1" applyProtection="1">
      <alignment/>
      <protection/>
    </xf>
    <xf numFmtId="49" fontId="4" fillId="17" borderId="137" xfId="0" applyNumberFormat="1" applyFont="1" applyFill="1" applyBorder="1" applyAlignment="1" applyProtection="1">
      <alignment/>
      <protection/>
    </xf>
    <xf numFmtId="164" fontId="4" fillId="17" borderId="24" xfId="0" applyNumberFormat="1" applyFont="1" applyFill="1" applyBorder="1" applyAlignment="1" applyProtection="1">
      <alignment/>
      <protection/>
    </xf>
    <xf numFmtId="0" fontId="19" fillId="17" borderId="155" xfId="0" applyFont="1" applyFill="1" applyBorder="1" applyAlignment="1" applyProtection="1">
      <alignment/>
      <protection/>
    </xf>
    <xf numFmtId="0" fontId="19" fillId="17" borderId="24" xfId="0" applyFont="1" applyFill="1" applyBorder="1" applyAlignment="1" applyProtection="1">
      <alignment/>
      <protection/>
    </xf>
    <xf numFmtId="0" fontId="6" fillId="17" borderId="11" xfId="0" applyNumberFormat="1" applyFont="1" applyFill="1" applyBorder="1" applyAlignment="1" applyProtection="1">
      <alignment horizontal="center"/>
      <protection/>
    </xf>
    <xf numFmtId="0" fontId="6" fillId="17" borderId="11" xfId="0" applyFont="1" applyFill="1" applyBorder="1" applyAlignment="1" applyProtection="1">
      <alignment/>
      <protection/>
    </xf>
    <xf numFmtId="49" fontId="4" fillId="17" borderId="11" xfId="0" applyNumberFormat="1" applyFont="1" applyFill="1" applyBorder="1" applyAlignment="1" applyProtection="1">
      <alignment horizontal="center"/>
      <protection/>
    </xf>
    <xf numFmtId="49" fontId="6" fillId="17" borderId="24" xfId="0" applyNumberFormat="1" applyFont="1" applyFill="1" applyBorder="1" applyAlignment="1" applyProtection="1">
      <alignment horizontal="center"/>
      <protection/>
    </xf>
    <xf numFmtId="0" fontId="6" fillId="17" borderId="24" xfId="0" applyFont="1" applyFill="1" applyBorder="1" applyAlignment="1" applyProtection="1">
      <alignment/>
      <protection/>
    </xf>
    <xf numFmtId="0" fontId="4" fillId="17" borderId="14" xfId="0" applyFont="1" applyFill="1" applyBorder="1" applyAlignment="1" applyProtection="1">
      <alignment horizontal="center"/>
      <protection/>
    </xf>
    <xf numFmtId="49" fontId="4" fillId="17" borderId="11" xfId="0" applyNumberFormat="1" applyFont="1" applyFill="1" applyBorder="1" applyAlignment="1" applyProtection="1">
      <alignment horizontal="center"/>
      <protection/>
    </xf>
    <xf numFmtId="49" fontId="6" fillId="17" borderId="11" xfId="0" applyNumberFormat="1" applyFont="1" applyFill="1" applyBorder="1" applyAlignment="1" applyProtection="1">
      <alignment horizontal="center"/>
      <protection/>
    </xf>
    <xf numFmtId="49" fontId="6" fillId="17" borderId="22" xfId="0" applyNumberFormat="1" applyFont="1" applyFill="1" applyBorder="1" applyAlignment="1" applyProtection="1">
      <alignment horizontal="center"/>
      <protection/>
    </xf>
    <xf numFmtId="49" fontId="4" fillId="17" borderId="112" xfId="0" applyNumberFormat="1" applyFont="1" applyFill="1" applyBorder="1" applyAlignment="1" applyProtection="1">
      <alignment horizontal="center"/>
      <protection/>
    </xf>
    <xf numFmtId="49" fontId="4" fillId="17" borderId="130" xfId="0" applyNumberFormat="1" applyFont="1" applyFill="1" applyBorder="1" applyAlignment="1" applyProtection="1">
      <alignment horizontal="center"/>
      <protection/>
    </xf>
    <xf numFmtId="0" fontId="19" fillId="17" borderId="130" xfId="0" applyFont="1" applyFill="1" applyBorder="1" applyAlignment="1" applyProtection="1">
      <alignment/>
      <protection/>
    </xf>
    <xf numFmtId="49" fontId="6" fillId="17" borderId="11" xfId="0" applyNumberFormat="1" applyFont="1" applyFill="1" applyBorder="1" applyAlignment="1" applyProtection="1">
      <alignment horizontal="center"/>
      <protection/>
    </xf>
    <xf numFmtId="49" fontId="6" fillId="17" borderId="22" xfId="0" applyNumberFormat="1" applyFont="1" applyFill="1" applyBorder="1" applyAlignment="1" applyProtection="1">
      <alignment horizontal="center"/>
      <protection/>
    </xf>
    <xf numFmtId="49" fontId="4" fillId="17" borderId="156" xfId="0" applyNumberFormat="1" applyFont="1" applyFill="1" applyBorder="1" applyAlignment="1" applyProtection="1">
      <alignment horizontal="center"/>
      <protection/>
    </xf>
    <xf numFmtId="49" fontId="6" fillId="17" borderId="96" xfId="0" applyNumberFormat="1" applyFont="1" applyFill="1" applyBorder="1" applyAlignment="1" applyProtection="1">
      <alignment horizontal="center"/>
      <protection/>
    </xf>
    <xf numFmtId="0" fontId="6" fillId="17" borderId="96" xfId="0" applyFont="1" applyFill="1" applyBorder="1" applyAlignment="1" applyProtection="1">
      <alignment/>
      <protection/>
    </xf>
    <xf numFmtId="3" fontId="6" fillId="17" borderId="109" xfId="0" applyNumberFormat="1" applyFont="1" applyFill="1" applyBorder="1" applyAlignment="1" applyProtection="1">
      <alignment/>
      <protection/>
    </xf>
    <xf numFmtId="3" fontId="6" fillId="17" borderId="99" xfId="0" applyNumberFormat="1" applyFont="1" applyFill="1" applyBorder="1" applyAlignment="1" applyProtection="1">
      <alignment/>
      <protection/>
    </xf>
    <xf numFmtId="165" fontId="21" fillId="17" borderId="63" xfId="0" applyNumberFormat="1" applyFont="1" applyFill="1" applyBorder="1" applyAlignment="1" applyProtection="1">
      <alignment horizontal="center"/>
      <protection/>
    </xf>
    <xf numFmtId="165" fontId="21" fillId="17" borderId="67" xfId="0" applyNumberFormat="1" applyFont="1" applyFill="1" applyBorder="1" applyAlignment="1" applyProtection="1">
      <alignment horizontal="center"/>
      <protection/>
    </xf>
    <xf numFmtId="165" fontId="22" fillId="17" borderId="157" xfId="0" applyNumberFormat="1" applyFont="1" applyFill="1" applyBorder="1" applyAlignment="1" applyProtection="1">
      <alignment/>
      <protection/>
    </xf>
    <xf numFmtId="165" fontId="22" fillId="17" borderId="73" xfId="0" applyNumberFormat="1" applyFont="1" applyFill="1" applyBorder="1" applyAlignment="1" applyProtection="1">
      <alignment/>
      <protection/>
    </xf>
    <xf numFmtId="165" fontId="7" fillId="17" borderId="158" xfId="0" applyNumberFormat="1" applyFont="1" applyFill="1" applyBorder="1" applyAlignment="1" applyProtection="1">
      <alignment/>
      <protection/>
    </xf>
    <xf numFmtId="165" fontId="7" fillId="17" borderId="159" xfId="0" applyNumberFormat="1" applyFont="1" applyFill="1" applyBorder="1" applyAlignment="1" applyProtection="1">
      <alignment/>
      <protection/>
    </xf>
    <xf numFmtId="165" fontId="7" fillId="17" borderId="61" xfId="0" applyNumberFormat="1" applyFont="1" applyFill="1" applyBorder="1" applyAlignment="1" applyProtection="1">
      <alignment/>
      <protection/>
    </xf>
    <xf numFmtId="165" fontId="7" fillId="17" borderId="27" xfId="0" applyNumberFormat="1" applyFont="1" applyFill="1" applyBorder="1" applyAlignment="1" applyProtection="1">
      <alignment/>
      <protection/>
    </xf>
    <xf numFmtId="0" fontId="8" fillId="17" borderId="28" xfId="0" applyFont="1" applyFill="1" applyBorder="1" applyAlignment="1" applyProtection="1">
      <alignment/>
      <protection/>
    </xf>
    <xf numFmtId="0" fontId="6" fillId="17" borderId="65" xfId="0" applyFont="1" applyFill="1" applyBorder="1" applyAlignment="1" applyProtection="1">
      <alignment horizontal="center"/>
      <protection/>
    </xf>
    <xf numFmtId="0" fontId="6" fillId="17" borderId="64" xfId="0" applyFont="1" applyFill="1" applyBorder="1" applyAlignment="1" applyProtection="1">
      <alignment/>
      <protection/>
    </xf>
    <xf numFmtId="0" fontId="6" fillId="17" borderId="152" xfId="0" applyFont="1" applyFill="1" applyBorder="1" applyAlignment="1" applyProtection="1">
      <alignment horizontal="right"/>
      <protection/>
    </xf>
    <xf numFmtId="0" fontId="6" fillId="17" borderId="153" xfId="0" applyFont="1" applyFill="1" applyBorder="1" applyAlignment="1" applyProtection="1">
      <alignment horizontal="right"/>
      <protection/>
    </xf>
    <xf numFmtId="3" fontId="3" fillId="43" borderId="65" xfId="0" applyNumberFormat="1" applyFont="1" applyFill="1" applyBorder="1" applyAlignment="1" applyProtection="1">
      <alignment horizontal="right"/>
      <protection/>
    </xf>
    <xf numFmtId="3" fontId="3" fillId="43" borderId="64" xfId="0" applyNumberFormat="1" applyFont="1" applyFill="1" applyBorder="1" applyAlignment="1" applyProtection="1">
      <alignment horizontal="right"/>
      <protection/>
    </xf>
    <xf numFmtId="3" fontId="3" fillId="43" borderId="65" xfId="0" applyNumberFormat="1" applyFont="1" applyFill="1" applyBorder="1" applyAlignment="1" applyProtection="1">
      <alignment/>
      <protection/>
    </xf>
    <xf numFmtId="3" fontId="3" fillId="43" borderId="64" xfId="0" applyNumberFormat="1" applyFont="1" applyFill="1" applyBorder="1" applyAlignment="1" applyProtection="1">
      <alignment/>
      <protection/>
    </xf>
    <xf numFmtId="3" fontId="3" fillId="42" borderId="65" xfId="0" applyNumberFormat="1" applyFont="1" applyFill="1" applyBorder="1" applyAlignment="1" applyProtection="1">
      <alignment/>
      <protection/>
    </xf>
    <xf numFmtId="3" fontId="3" fillId="42" borderId="64" xfId="0" applyNumberFormat="1" applyFont="1" applyFill="1" applyBorder="1" applyAlignment="1" applyProtection="1">
      <alignment/>
      <protection/>
    </xf>
    <xf numFmtId="3" fontId="39" fillId="43" borderId="65" xfId="0" applyNumberFormat="1" applyFont="1" applyFill="1" applyBorder="1" applyAlignment="1" applyProtection="1">
      <alignment/>
      <protection/>
    </xf>
    <xf numFmtId="3" fontId="39" fillId="43" borderId="64" xfId="0" applyNumberFormat="1" applyFont="1" applyFill="1" applyBorder="1" applyAlignment="1" applyProtection="1">
      <alignment/>
      <protection/>
    </xf>
    <xf numFmtId="3" fontId="39" fillId="42" borderId="65" xfId="0" applyNumberFormat="1" applyFont="1" applyFill="1" applyBorder="1" applyAlignment="1" applyProtection="1">
      <alignment/>
      <protection/>
    </xf>
    <xf numFmtId="3" fontId="39" fillId="42" borderId="64" xfId="0" applyNumberFormat="1" applyFont="1" applyFill="1" applyBorder="1" applyAlignment="1" applyProtection="1">
      <alignment/>
      <protection/>
    </xf>
    <xf numFmtId="0" fontId="38" fillId="17" borderId="65" xfId="0" applyFont="1" applyFill="1" applyBorder="1" applyAlignment="1" applyProtection="1">
      <alignment/>
      <protection/>
    </xf>
    <xf numFmtId="0" fontId="38" fillId="17" borderId="64" xfId="0" applyFont="1" applyFill="1" applyBorder="1" applyAlignment="1" applyProtection="1">
      <alignment/>
      <protection/>
    </xf>
    <xf numFmtId="49" fontId="4" fillId="17" borderId="102" xfId="0" applyNumberFormat="1" applyFont="1" applyFill="1" applyBorder="1" applyAlignment="1" applyProtection="1">
      <alignment horizontal="center"/>
      <protection/>
    </xf>
    <xf numFmtId="49" fontId="4" fillId="17" borderId="146" xfId="0" applyNumberFormat="1" applyFont="1" applyFill="1" applyBorder="1" applyAlignment="1" applyProtection="1">
      <alignment horizontal="center"/>
      <protection/>
    </xf>
    <xf numFmtId="49" fontId="4" fillId="17" borderId="146" xfId="0" applyNumberFormat="1" applyFont="1" applyFill="1" applyBorder="1" applyAlignment="1" applyProtection="1">
      <alignment horizontal="left"/>
      <protection/>
    </xf>
    <xf numFmtId="49" fontId="4" fillId="17" borderId="43" xfId="0" applyNumberFormat="1" applyFont="1" applyFill="1" applyBorder="1" applyAlignment="1" applyProtection="1">
      <alignment horizontal="center"/>
      <protection/>
    </xf>
    <xf numFmtId="49" fontId="4" fillId="17" borderId="44" xfId="0" applyNumberFormat="1" applyFont="1" applyFill="1" applyBorder="1" applyAlignment="1" applyProtection="1">
      <alignment horizontal="center"/>
      <protection/>
    </xf>
    <xf numFmtId="49" fontId="4" fillId="17" borderId="44" xfId="0" applyNumberFormat="1" applyFont="1" applyFill="1" applyBorder="1" applyAlignment="1" applyProtection="1">
      <alignment horizontal="left"/>
      <protection/>
    </xf>
    <xf numFmtId="49" fontId="4" fillId="17" borderId="16" xfId="0" applyNumberFormat="1" applyFont="1" applyFill="1" applyBorder="1" applyAlignment="1" applyProtection="1">
      <alignment horizontal="center"/>
      <protection/>
    </xf>
    <xf numFmtId="49" fontId="4" fillId="17" borderId="14" xfId="0" applyNumberFormat="1" applyFont="1" applyFill="1" applyBorder="1" applyAlignment="1" applyProtection="1">
      <alignment horizontal="center"/>
      <protection/>
    </xf>
    <xf numFmtId="49" fontId="4" fillId="17" borderId="14" xfId="0" applyNumberFormat="1" applyFont="1" applyFill="1" applyBorder="1" applyAlignment="1" applyProtection="1">
      <alignment horizontal="left"/>
      <protection/>
    </xf>
    <xf numFmtId="49" fontId="4" fillId="17" borderId="140" xfId="0" applyNumberFormat="1" applyFont="1" applyFill="1" applyBorder="1" applyAlignment="1" applyProtection="1">
      <alignment horizontal="center"/>
      <protection/>
    </xf>
    <xf numFmtId="49" fontId="4" fillId="17" borderId="71" xfId="0" applyNumberFormat="1" applyFont="1" applyFill="1" applyBorder="1" applyAlignment="1" applyProtection="1">
      <alignment horizontal="center"/>
      <protection/>
    </xf>
    <xf numFmtId="49" fontId="4" fillId="17" borderId="71" xfId="0" applyNumberFormat="1" applyFont="1" applyFill="1" applyBorder="1" applyAlignment="1" applyProtection="1">
      <alignment horizontal="left"/>
      <protection/>
    </xf>
    <xf numFmtId="165" fontId="7" fillId="17" borderId="18" xfId="0" applyNumberFormat="1" applyFont="1" applyFill="1" applyBorder="1" applyAlignment="1" applyProtection="1">
      <alignment/>
      <protection/>
    </xf>
    <xf numFmtId="3" fontId="9" fillId="44" borderId="29" xfId="0" applyNumberFormat="1" applyFont="1" applyFill="1" applyBorder="1" applyAlignment="1" applyProtection="1">
      <alignment/>
      <protection/>
    </xf>
    <xf numFmtId="0" fontId="6" fillId="17" borderId="76" xfId="0" applyFont="1" applyFill="1" applyBorder="1" applyAlignment="1" applyProtection="1">
      <alignment horizontal="left"/>
      <protection/>
    </xf>
    <xf numFmtId="1" fontId="6" fillId="17" borderId="71" xfId="0" applyNumberFormat="1" applyFont="1" applyFill="1" applyBorder="1" applyAlignment="1" applyProtection="1">
      <alignment horizontal="left"/>
      <protection/>
    </xf>
    <xf numFmtId="0" fontId="6" fillId="17" borderId="10" xfId="0" applyFont="1" applyFill="1" applyBorder="1" applyAlignment="1" applyProtection="1">
      <alignment/>
      <protection/>
    </xf>
    <xf numFmtId="3" fontId="12" fillId="17" borderId="157" xfId="0" applyNumberFormat="1" applyFont="1" applyFill="1" applyBorder="1" applyAlignment="1" applyProtection="1">
      <alignment/>
      <protection/>
    </xf>
    <xf numFmtId="3" fontId="12" fillId="17" borderId="73" xfId="0" applyNumberFormat="1" applyFont="1" applyFill="1" applyBorder="1" applyAlignment="1" applyProtection="1">
      <alignment/>
      <protection/>
    </xf>
    <xf numFmtId="3" fontId="3" fillId="17" borderId="27" xfId="0" applyNumberFormat="1" applyFont="1" applyFill="1" applyBorder="1" applyAlignment="1" applyProtection="1">
      <alignment/>
      <protection/>
    </xf>
    <xf numFmtId="49" fontId="4" fillId="17" borderId="160" xfId="0" applyNumberFormat="1" applyFont="1" applyFill="1" applyBorder="1" applyAlignment="1" applyProtection="1">
      <alignment horizontal="center"/>
      <protection/>
    </xf>
    <xf numFmtId="0" fontId="4" fillId="17" borderId="160" xfId="0" applyFont="1" applyFill="1" applyBorder="1" applyAlignment="1" applyProtection="1">
      <alignment/>
      <protection/>
    </xf>
    <xf numFmtId="49" fontId="4" fillId="17" borderId="14" xfId="0" applyNumberFormat="1" applyFont="1" applyFill="1" applyBorder="1" applyAlignment="1" applyProtection="1">
      <alignment horizontal="center"/>
      <protection/>
    </xf>
    <xf numFmtId="165" fontId="4" fillId="17" borderId="11" xfId="0" applyNumberFormat="1" applyFont="1" applyFill="1" applyBorder="1" applyAlignment="1" applyProtection="1">
      <alignment horizontal="left"/>
      <protection/>
    </xf>
    <xf numFmtId="49" fontId="6" fillId="17" borderId="34" xfId="0" applyNumberFormat="1" applyFont="1" applyFill="1" applyBorder="1" applyAlignment="1" applyProtection="1">
      <alignment horizontal="center"/>
      <protection/>
    </xf>
    <xf numFmtId="0" fontId="4" fillId="17" borderId="11" xfId="0" applyFont="1" applyFill="1" applyBorder="1" applyAlignment="1" applyProtection="1">
      <alignment horizontal="center"/>
      <protection/>
    </xf>
    <xf numFmtId="49" fontId="6" fillId="17" borderId="14" xfId="0" applyNumberFormat="1" applyFont="1" applyFill="1" applyBorder="1" applyAlignment="1" applyProtection="1">
      <alignment horizontal="center"/>
      <protection/>
    </xf>
    <xf numFmtId="0" fontId="6" fillId="17" borderId="14" xfId="0" applyFont="1" applyFill="1" applyBorder="1" applyAlignment="1" applyProtection="1">
      <alignment/>
      <protection/>
    </xf>
    <xf numFmtId="3" fontId="4" fillId="17" borderId="156" xfId="0" applyNumberFormat="1" applyFont="1" applyFill="1" applyBorder="1" applyAlignment="1" applyProtection="1">
      <alignment horizontal="center"/>
      <protection/>
    </xf>
    <xf numFmtId="3" fontId="6" fillId="17" borderId="161" xfId="0" applyNumberFormat="1" applyFont="1" applyFill="1" applyBorder="1" applyAlignment="1" applyProtection="1">
      <alignment horizontal="center"/>
      <protection/>
    </xf>
    <xf numFmtId="3" fontId="6" fillId="17" borderId="161" xfId="0" applyNumberFormat="1" applyFont="1" applyFill="1" applyBorder="1" applyAlignment="1" applyProtection="1">
      <alignment/>
      <protection/>
    </xf>
    <xf numFmtId="3" fontId="3" fillId="42" borderId="27" xfId="0" applyNumberFormat="1" applyFont="1" applyFill="1" applyBorder="1" applyAlignment="1" applyProtection="1">
      <alignment/>
      <protection/>
    </xf>
    <xf numFmtId="3" fontId="3" fillId="42" borderId="67" xfId="0" applyNumberFormat="1" applyFont="1" applyFill="1" applyBorder="1" applyAlignment="1" applyProtection="1">
      <alignment/>
      <protection/>
    </xf>
    <xf numFmtId="3" fontId="3" fillId="42" borderId="28" xfId="0" applyNumberFormat="1" applyFont="1" applyFill="1" applyBorder="1" applyAlignment="1" applyProtection="1">
      <alignment/>
      <protection/>
    </xf>
    <xf numFmtId="3" fontId="6" fillId="17" borderId="152" xfId="0" applyNumberFormat="1" applyFont="1" applyFill="1" applyBorder="1" applyAlignment="1" applyProtection="1">
      <alignment/>
      <protection/>
    </xf>
    <xf numFmtId="3" fontId="6" fillId="17" borderId="153" xfId="0" applyNumberFormat="1" applyFont="1" applyFill="1" applyBorder="1" applyAlignment="1" applyProtection="1">
      <alignment/>
      <protection/>
    </xf>
    <xf numFmtId="3" fontId="3" fillId="17" borderId="65" xfId="0" applyNumberFormat="1" applyFont="1" applyFill="1" applyBorder="1" applyAlignment="1" applyProtection="1">
      <alignment/>
      <protection/>
    </xf>
    <xf numFmtId="3" fontId="3" fillId="17" borderId="64" xfId="0" applyNumberFormat="1" applyFont="1" applyFill="1" applyBorder="1" applyAlignment="1" applyProtection="1">
      <alignment/>
      <protection/>
    </xf>
    <xf numFmtId="3" fontId="39" fillId="42" borderId="58" xfId="0" applyNumberFormat="1" applyFont="1" applyFill="1" applyBorder="1" applyAlignment="1" applyProtection="1">
      <alignment/>
      <protection/>
    </xf>
    <xf numFmtId="3" fontId="39" fillId="17" borderId="65" xfId="0" applyNumberFormat="1" applyFont="1" applyFill="1" applyBorder="1" applyAlignment="1" applyProtection="1">
      <alignment/>
      <protection/>
    </xf>
    <xf numFmtId="3" fontId="39" fillId="17" borderId="64" xfId="0" applyNumberFormat="1" applyFont="1" applyFill="1" applyBorder="1" applyAlignment="1" applyProtection="1">
      <alignment/>
      <protection/>
    </xf>
    <xf numFmtId="3" fontId="39" fillId="17" borderId="67" xfId="0" applyNumberFormat="1" applyFont="1" applyFill="1" applyBorder="1" applyAlignment="1" applyProtection="1">
      <alignment/>
      <protection/>
    </xf>
    <xf numFmtId="3" fontId="39" fillId="17" borderId="145" xfId="0" applyNumberFormat="1" applyFont="1" applyFill="1" applyBorder="1" applyAlignment="1" applyProtection="1">
      <alignment/>
      <protection/>
    </xf>
    <xf numFmtId="3" fontId="39" fillId="42" borderId="48" xfId="0" applyNumberFormat="1" applyFont="1" applyFill="1" applyBorder="1" applyAlignment="1" applyProtection="1">
      <alignment/>
      <protection/>
    </xf>
    <xf numFmtId="3" fontId="39" fillId="42" borderId="35" xfId="0" applyNumberFormat="1" applyFont="1" applyFill="1" applyBorder="1" applyAlignment="1" applyProtection="1">
      <alignment/>
      <protection/>
    </xf>
    <xf numFmtId="3" fontId="3" fillId="42" borderId="99" xfId="0" applyNumberFormat="1" applyFont="1" applyFill="1" applyBorder="1" applyAlignment="1" applyProtection="1">
      <alignment/>
      <protection/>
    </xf>
    <xf numFmtId="3" fontId="39" fillId="42" borderId="144" xfId="0" applyNumberFormat="1" applyFont="1" applyFill="1" applyBorder="1" applyAlignment="1" applyProtection="1">
      <alignment/>
      <protection/>
    </xf>
    <xf numFmtId="0" fontId="4" fillId="17" borderId="84" xfId="0" applyFont="1" applyFill="1" applyBorder="1" applyAlignment="1" applyProtection="1">
      <alignment/>
      <protection/>
    </xf>
    <xf numFmtId="0" fontId="0" fillId="17" borderId="85" xfId="0" applyFill="1" applyBorder="1" applyAlignment="1" applyProtection="1">
      <alignment/>
      <protection/>
    </xf>
    <xf numFmtId="0" fontId="0" fillId="17" borderId="77" xfId="0" applyFill="1" applyBorder="1" applyAlignment="1" applyProtection="1">
      <alignment/>
      <protection/>
    </xf>
    <xf numFmtId="0" fontId="4" fillId="17" borderId="86" xfId="0" applyFont="1" applyFill="1" applyBorder="1" applyAlignment="1" applyProtection="1">
      <alignment/>
      <protection/>
    </xf>
    <xf numFmtId="0" fontId="0" fillId="17" borderId="87" xfId="0" applyFill="1" applyBorder="1" applyAlignment="1" applyProtection="1">
      <alignment/>
      <protection/>
    </xf>
    <xf numFmtId="0" fontId="0" fillId="17" borderId="106" xfId="0" applyFill="1" applyBorder="1" applyAlignment="1" applyProtection="1">
      <alignment/>
      <protection/>
    </xf>
    <xf numFmtId="0" fontId="4" fillId="17" borderId="86" xfId="0" applyFont="1" applyFill="1" applyBorder="1" applyAlignment="1" applyProtection="1">
      <alignment horizontal="left"/>
      <protection/>
    </xf>
    <xf numFmtId="0" fontId="0" fillId="17" borderId="87" xfId="0" applyFill="1" applyBorder="1" applyAlignment="1" applyProtection="1">
      <alignment horizontal="left"/>
      <protection/>
    </xf>
    <xf numFmtId="3" fontId="3" fillId="17" borderId="106" xfId="0" applyNumberFormat="1" applyFont="1" applyFill="1" applyBorder="1" applyAlignment="1" applyProtection="1">
      <alignment horizontal="right"/>
      <protection/>
    </xf>
    <xf numFmtId="3" fontId="6" fillId="17" borderId="162" xfId="0" applyNumberFormat="1" applyFont="1" applyFill="1" applyBorder="1" applyAlignment="1" applyProtection="1">
      <alignment horizontal="center" vertical="center" wrapText="1"/>
      <protection/>
    </xf>
    <xf numFmtId="3" fontId="12" fillId="17" borderId="163" xfId="0" applyNumberFormat="1" applyFont="1" applyFill="1" applyBorder="1" applyAlignment="1" applyProtection="1">
      <alignment horizontal="center" vertical="center" wrapText="1"/>
      <protection/>
    </xf>
    <xf numFmtId="3" fontId="6" fillId="17" borderId="163" xfId="0" applyNumberFormat="1" applyFont="1" applyFill="1" applyBorder="1" applyAlignment="1" applyProtection="1">
      <alignment horizontal="center" vertical="center" wrapText="1"/>
      <protection/>
    </xf>
    <xf numFmtId="9" fontId="39" fillId="17" borderId="150" xfId="0" applyNumberFormat="1" applyFont="1" applyFill="1" applyBorder="1" applyAlignment="1" applyProtection="1">
      <alignment/>
      <protection/>
    </xf>
    <xf numFmtId="3" fontId="39" fillId="42" borderId="150" xfId="0" applyNumberFormat="1" applyFont="1" applyFill="1" applyBorder="1" applyAlignment="1" applyProtection="1">
      <alignment/>
      <protection/>
    </xf>
    <xf numFmtId="9" fontId="39" fillId="17" borderId="164" xfId="0" applyNumberFormat="1" applyFont="1" applyFill="1" applyBorder="1" applyAlignment="1" applyProtection="1">
      <alignment/>
      <protection/>
    </xf>
    <xf numFmtId="9" fontId="39" fillId="17" borderId="165" xfId="0" applyNumberFormat="1" applyFont="1" applyFill="1" applyBorder="1" applyAlignment="1" applyProtection="1">
      <alignment/>
      <protection/>
    </xf>
    <xf numFmtId="49" fontId="4" fillId="17" borderId="112" xfId="0" applyNumberFormat="1" applyFont="1" applyFill="1" applyBorder="1" applyAlignment="1" applyProtection="1">
      <alignment horizontal="left"/>
      <protection/>
    </xf>
    <xf numFmtId="49" fontId="4" fillId="17" borderId="76" xfId="0" applyNumberFormat="1" applyFont="1" applyFill="1" applyBorder="1" applyAlignment="1" applyProtection="1">
      <alignment horizontal="left"/>
      <protection/>
    </xf>
    <xf numFmtId="0" fontId="6" fillId="17" borderId="76" xfId="0" applyFont="1" applyFill="1" applyBorder="1" applyAlignment="1" applyProtection="1">
      <alignment/>
      <protection/>
    </xf>
    <xf numFmtId="49" fontId="4" fillId="17" borderId="127" xfId="0" applyNumberFormat="1" applyFont="1" applyFill="1" applyBorder="1" applyAlignment="1" applyProtection="1">
      <alignment horizontal="left"/>
      <protection/>
    </xf>
    <xf numFmtId="3" fontId="6" fillId="17" borderId="157" xfId="0" applyNumberFormat="1" applyFont="1" applyFill="1" applyBorder="1" applyAlignment="1" applyProtection="1">
      <alignment horizontal="center"/>
      <protection/>
    </xf>
    <xf numFmtId="49" fontId="4" fillId="17" borderId="44" xfId="0" applyNumberFormat="1" applyFont="1" applyFill="1" applyBorder="1" applyAlignment="1" applyProtection="1">
      <alignment horizontal="left"/>
      <protection/>
    </xf>
    <xf numFmtId="0" fontId="4" fillId="17" borderId="44" xfId="0" applyFont="1" applyFill="1" applyBorder="1" applyAlignment="1" applyProtection="1">
      <alignment/>
      <protection/>
    </xf>
    <xf numFmtId="3" fontId="3" fillId="17" borderId="44" xfId="0" applyNumberFormat="1" applyFont="1" applyFill="1" applyBorder="1" applyAlignment="1" applyProtection="1">
      <alignment/>
      <protection/>
    </xf>
    <xf numFmtId="49" fontId="4" fillId="17" borderId="11" xfId="0" applyNumberFormat="1" applyFont="1" applyFill="1" applyBorder="1" applyAlignment="1" applyProtection="1">
      <alignment horizontal="left"/>
      <protection/>
    </xf>
    <xf numFmtId="3" fontId="3" fillId="17" borderId="14" xfId="0" applyNumberFormat="1" applyFont="1" applyFill="1" applyBorder="1" applyAlignment="1" applyProtection="1">
      <alignment/>
      <protection/>
    </xf>
    <xf numFmtId="49" fontId="6" fillId="17" borderId="34" xfId="0" applyNumberFormat="1" applyFont="1" applyFill="1" applyBorder="1" applyAlignment="1" applyProtection="1">
      <alignment horizontal="left"/>
      <protection/>
    </xf>
    <xf numFmtId="0" fontId="4" fillId="17" borderId="34" xfId="0" applyFont="1" applyFill="1" applyBorder="1" applyAlignment="1" applyProtection="1">
      <alignment/>
      <protection/>
    </xf>
    <xf numFmtId="3" fontId="3" fillId="17" borderId="34" xfId="0" applyNumberFormat="1" applyFont="1" applyFill="1" applyBorder="1" applyAlignment="1" applyProtection="1">
      <alignment/>
      <protection/>
    </xf>
    <xf numFmtId="3" fontId="6" fillId="17" borderId="73" xfId="0" applyNumberFormat="1" applyFont="1" applyFill="1" applyBorder="1" applyAlignment="1" applyProtection="1">
      <alignment horizontal="center"/>
      <protection/>
    </xf>
    <xf numFmtId="49" fontId="4" fillId="17" borderId="109" xfId="0" applyNumberFormat="1" applyFont="1" applyFill="1" applyBorder="1" applyAlignment="1" applyProtection="1">
      <alignment horizontal="left"/>
      <protection/>
    </xf>
    <xf numFmtId="49" fontId="4" fillId="17" borderId="132" xfId="0" applyNumberFormat="1" applyFont="1" applyFill="1" applyBorder="1" applyAlignment="1" applyProtection="1">
      <alignment horizontal="left"/>
      <protection/>
    </xf>
    <xf numFmtId="49" fontId="4" fillId="17" borderId="21" xfId="0" applyNumberFormat="1" applyFont="1" applyFill="1" applyBorder="1" applyAlignment="1" applyProtection="1">
      <alignment horizontal="left"/>
      <protection/>
    </xf>
    <xf numFmtId="49" fontId="4" fillId="17" borderId="87" xfId="0" applyNumberFormat="1" applyFont="1" applyFill="1" applyBorder="1" applyAlignment="1" applyProtection="1">
      <alignment horizontal="left"/>
      <protection/>
    </xf>
    <xf numFmtId="49" fontId="4" fillId="17" borderId="17" xfId="0" applyNumberFormat="1" applyFont="1" applyFill="1" applyBorder="1" applyAlignment="1" applyProtection="1">
      <alignment horizontal="left"/>
      <protection/>
    </xf>
    <xf numFmtId="0" fontId="4" fillId="17" borderId="97" xfId="0" applyFont="1" applyFill="1" applyBorder="1" applyAlignment="1" applyProtection="1">
      <alignment/>
      <protection/>
    </xf>
    <xf numFmtId="0" fontId="2" fillId="17" borderId="79" xfId="0" applyFont="1" applyFill="1" applyBorder="1" applyAlignment="1" applyProtection="1">
      <alignment/>
      <protection/>
    </xf>
    <xf numFmtId="0" fontId="4" fillId="17" borderId="137" xfId="0" applyFont="1" applyFill="1" applyBorder="1" applyAlignment="1" applyProtection="1">
      <alignment horizontal="left" vertical="top"/>
      <protection/>
    </xf>
    <xf numFmtId="0" fontId="4" fillId="17" borderId="24" xfId="0" applyFont="1" applyFill="1" applyBorder="1" applyAlignment="1" applyProtection="1">
      <alignment horizontal="right"/>
      <protection/>
    </xf>
    <xf numFmtId="0" fontId="6" fillId="17" borderId="166" xfId="0" applyFont="1" applyFill="1" applyBorder="1" applyAlignment="1" applyProtection="1">
      <alignment horizontal="right"/>
      <protection/>
    </xf>
    <xf numFmtId="0" fontId="6" fillId="17" borderId="127" xfId="0" applyFont="1" applyFill="1" applyBorder="1" applyAlignment="1" applyProtection="1">
      <alignment horizontal="left"/>
      <protection/>
    </xf>
    <xf numFmtId="0" fontId="6" fillId="17" borderId="100" xfId="0" applyFont="1" applyFill="1" applyBorder="1" applyAlignment="1" applyProtection="1">
      <alignment horizontal="right"/>
      <protection/>
    </xf>
    <xf numFmtId="0" fontId="4" fillId="17" borderId="22" xfId="0" applyFont="1" applyFill="1" applyBorder="1" applyAlignment="1" applyProtection="1">
      <alignment horizontal="center"/>
      <protection/>
    </xf>
    <xf numFmtId="0" fontId="4" fillId="17" borderId="30" xfId="0" applyFont="1" applyFill="1" applyBorder="1" applyAlignment="1" applyProtection="1">
      <alignment horizontal="center"/>
      <protection/>
    </xf>
    <xf numFmtId="0" fontId="4" fillId="17" borderId="18" xfId="0" applyFont="1" applyFill="1" applyBorder="1" applyAlignment="1" applyProtection="1">
      <alignment horizontal="center"/>
      <protection/>
    </xf>
    <xf numFmtId="0" fontId="4" fillId="17" borderId="93" xfId="0" applyFont="1" applyFill="1" applyBorder="1" applyAlignment="1" applyProtection="1">
      <alignment horizontal="left"/>
      <protection/>
    </xf>
    <xf numFmtId="0" fontId="4" fillId="17" borderId="31" xfId="0" applyFont="1" applyFill="1" applyBorder="1" applyAlignment="1" applyProtection="1">
      <alignment horizontal="center"/>
      <protection/>
    </xf>
    <xf numFmtId="0" fontId="4" fillId="17" borderId="33" xfId="0" applyFont="1" applyFill="1" applyBorder="1" applyAlignment="1" applyProtection="1">
      <alignment horizontal="center"/>
      <protection/>
    </xf>
    <xf numFmtId="0" fontId="6" fillId="17" borderId="79" xfId="0" applyFont="1" applyFill="1" applyBorder="1" applyAlignment="1" applyProtection="1">
      <alignment horizontal="left"/>
      <protection/>
    </xf>
    <xf numFmtId="0" fontId="4" fillId="17" borderId="93" xfId="0" applyFont="1" applyFill="1" applyBorder="1" applyAlignment="1" applyProtection="1">
      <alignment horizontal="left"/>
      <protection/>
    </xf>
    <xf numFmtId="0" fontId="6" fillId="17" borderId="167" xfId="0" applyFont="1" applyFill="1" applyBorder="1" applyAlignment="1" applyProtection="1">
      <alignment horizontal="left"/>
      <protection/>
    </xf>
    <xf numFmtId="0" fontId="6" fillId="17" borderId="167" xfId="0" applyFont="1" applyFill="1" applyBorder="1" applyAlignment="1" applyProtection="1">
      <alignment horizontal="left"/>
      <protection/>
    </xf>
    <xf numFmtId="0" fontId="6" fillId="17" borderId="64" xfId="0" applyFont="1" applyFill="1" applyBorder="1" applyAlignment="1" applyProtection="1">
      <alignment horizontal="center"/>
      <protection/>
    </xf>
    <xf numFmtId="0" fontId="6" fillId="17" borderId="130" xfId="0" applyFont="1" applyFill="1" applyBorder="1" applyAlignment="1" applyProtection="1">
      <alignment horizontal="center"/>
      <protection/>
    </xf>
    <xf numFmtId="0" fontId="6" fillId="17" borderId="99" xfId="0" applyFont="1" applyFill="1" applyBorder="1" applyAlignment="1" applyProtection="1">
      <alignment horizontal="center"/>
      <protection/>
    </xf>
    <xf numFmtId="0" fontId="6" fillId="17" borderId="24" xfId="0" applyFont="1" applyFill="1" applyBorder="1" applyAlignment="1" applyProtection="1">
      <alignment horizontal="center"/>
      <protection/>
    </xf>
    <xf numFmtId="0" fontId="6" fillId="17" borderId="67" xfId="0" applyFont="1" applyFill="1" applyBorder="1" applyAlignment="1" applyProtection="1">
      <alignment horizontal="center"/>
      <protection/>
    </xf>
    <xf numFmtId="0" fontId="6" fillId="17" borderId="71" xfId="0" applyFont="1" applyFill="1" applyBorder="1" applyAlignment="1" applyProtection="1">
      <alignment horizontal="right"/>
      <protection/>
    </xf>
    <xf numFmtId="0" fontId="6" fillId="17" borderId="73" xfId="0" applyFont="1" applyFill="1" applyBorder="1" applyAlignment="1" applyProtection="1">
      <alignment horizontal="center"/>
      <protection/>
    </xf>
    <xf numFmtId="0" fontId="4" fillId="17" borderId="11" xfId="0" applyFont="1" applyFill="1" applyBorder="1" applyAlignment="1" applyProtection="1">
      <alignment horizontal="right"/>
      <protection/>
    </xf>
    <xf numFmtId="0" fontId="4" fillId="17" borderId="156" xfId="0" applyFont="1" applyFill="1" applyBorder="1" applyAlignment="1" applyProtection="1">
      <alignment horizontal="center"/>
      <protection/>
    </xf>
    <xf numFmtId="0" fontId="6" fillId="17" borderId="130" xfId="0" applyFont="1" applyFill="1" applyBorder="1" applyAlignment="1" applyProtection="1">
      <alignment/>
      <protection/>
    </xf>
    <xf numFmtId="0" fontId="4" fillId="17" borderId="137" xfId="0" applyFont="1" applyFill="1" applyBorder="1" applyAlignment="1" applyProtection="1">
      <alignment vertical="top"/>
      <protection/>
    </xf>
    <xf numFmtId="1" fontId="4" fillId="17" borderId="24" xfId="0" applyNumberFormat="1" applyFont="1" applyFill="1" applyBorder="1" applyAlignment="1" applyProtection="1">
      <alignment horizontal="left"/>
      <protection/>
    </xf>
    <xf numFmtId="0" fontId="6" fillId="17" borderId="24" xfId="0" applyFont="1" applyFill="1" applyBorder="1" applyAlignment="1" applyProtection="1">
      <alignment/>
      <protection/>
    </xf>
    <xf numFmtId="0" fontId="8" fillId="17" borderId="143" xfId="0" applyFont="1" applyFill="1" applyBorder="1" applyAlignment="1" applyProtection="1">
      <alignment/>
      <protection/>
    </xf>
    <xf numFmtId="0" fontId="4" fillId="17" borderId="10" xfId="0" applyFont="1" applyFill="1" applyBorder="1" applyAlignment="1" applyProtection="1">
      <alignment/>
      <protection/>
    </xf>
    <xf numFmtId="3" fontId="3" fillId="17" borderId="73" xfId="0" applyNumberFormat="1" applyFont="1" applyFill="1" applyBorder="1" applyAlignment="1" applyProtection="1">
      <alignment/>
      <protection/>
    </xf>
    <xf numFmtId="0" fontId="4" fillId="17" borderId="137" xfId="0" applyFont="1" applyFill="1" applyBorder="1" applyAlignment="1" applyProtection="1">
      <alignment horizontal="center"/>
      <protection/>
    </xf>
    <xf numFmtId="1" fontId="4" fillId="17" borderId="18" xfId="0" applyNumberFormat="1" applyFont="1" applyFill="1" applyBorder="1" applyAlignment="1" applyProtection="1">
      <alignment horizontal="center"/>
      <protection/>
    </xf>
    <xf numFmtId="0" fontId="4" fillId="17" borderId="18" xfId="0" applyFont="1" applyFill="1" applyBorder="1" applyAlignment="1" applyProtection="1">
      <alignment/>
      <protection/>
    </xf>
    <xf numFmtId="0" fontId="4" fillId="17" borderId="55" xfId="0" applyFont="1" applyFill="1" applyBorder="1" applyAlignment="1" applyProtection="1">
      <alignment horizontal="left"/>
      <protection/>
    </xf>
    <xf numFmtId="0" fontId="6" fillId="17" borderId="168" xfId="0" applyFont="1" applyFill="1" applyBorder="1" applyAlignment="1" applyProtection="1">
      <alignment horizontal="center"/>
      <protection/>
    </xf>
    <xf numFmtId="0" fontId="6" fillId="17" borderId="131" xfId="0" applyFont="1" applyFill="1" applyBorder="1" applyAlignment="1" applyProtection="1">
      <alignment horizontal="center"/>
      <protection/>
    </xf>
    <xf numFmtId="0" fontId="4" fillId="17" borderId="169" xfId="0" applyFont="1" applyFill="1" applyBorder="1" applyAlignment="1" applyProtection="1">
      <alignment horizontal="left" vertical="top"/>
      <protection/>
    </xf>
    <xf numFmtId="0" fontId="6" fillId="17" borderId="170" xfId="0" applyFont="1" applyFill="1" applyBorder="1" applyAlignment="1" applyProtection="1">
      <alignment horizontal="center"/>
      <protection/>
    </xf>
    <xf numFmtId="0" fontId="6" fillId="17" borderId="171" xfId="0" applyFont="1" applyFill="1" applyBorder="1" applyAlignment="1" applyProtection="1">
      <alignment horizontal="center"/>
      <protection/>
    </xf>
    <xf numFmtId="0" fontId="6" fillId="17" borderId="169" xfId="0" applyFont="1" applyFill="1" applyBorder="1" applyAlignment="1" applyProtection="1">
      <alignment horizontal="left"/>
      <protection/>
    </xf>
    <xf numFmtId="0" fontId="6" fillId="17" borderId="170" xfId="0" applyFont="1" applyFill="1" applyBorder="1" applyAlignment="1" applyProtection="1">
      <alignment horizontal="right"/>
      <protection/>
    </xf>
    <xf numFmtId="49" fontId="4" fillId="17" borderId="25" xfId="0" applyNumberFormat="1" applyFont="1" applyFill="1" applyBorder="1" applyAlignment="1" applyProtection="1">
      <alignment horizontal="center"/>
      <protection/>
    </xf>
    <xf numFmtId="1" fontId="4" fillId="17" borderId="24" xfId="0" applyNumberFormat="1" applyFont="1" applyFill="1" applyBorder="1" applyAlignment="1" applyProtection="1">
      <alignment horizontal="center"/>
      <protection/>
    </xf>
    <xf numFmtId="1" fontId="4" fillId="17" borderId="141" xfId="0" applyNumberFormat="1" applyFont="1" applyFill="1" applyBorder="1" applyAlignment="1" applyProtection="1">
      <alignment horizontal="left"/>
      <protection/>
    </xf>
    <xf numFmtId="49" fontId="4" fillId="17" borderId="23" xfId="0" applyNumberFormat="1" applyFont="1" applyFill="1" applyBorder="1" applyAlignment="1" applyProtection="1">
      <alignment horizontal="center"/>
      <protection/>
    </xf>
    <xf numFmtId="49" fontId="4" fillId="17" borderId="18" xfId="0" applyNumberFormat="1" applyFont="1" applyFill="1" applyBorder="1" applyAlignment="1" applyProtection="1">
      <alignment horizontal="center"/>
      <protection/>
    </xf>
    <xf numFmtId="1" fontId="4" fillId="17" borderId="146" xfId="0" applyNumberFormat="1" applyFont="1" applyFill="1" applyBorder="1" applyAlignment="1" applyProtection="1">
      <alignment horizontal="center"/>
      <protection/>
    </xf>
    <xf numFmtId="1" fontId="4" fillId="17" borderId="146" xfId="0" applyNumberFormat="1" applyFont="1" applyFill="1" applyBorder="1" applyAlignment="1" applyProtection="1">
      <alignment horizontal="left"/>
      <protection/>
    </xf>
    <xf numFmtId="49" fontId="4" fillId="17" borderId="11" xfId="0" applyNumberFormat="1" applyFont="1" applyFill="1" applyBorder="1" applyAlignment="1" applyProtection="1">
      <alignment horizontal="left"/>
      <protection/>
    </xf>
    <xf numFmtId="1" fontId="4" fillId="17" borderId="71" xfId="0" applyNumberFormat="1" applyFont="1" applyFill="1" applyBorder="1" applyAlignment="1" applyProtection="1">
      <alignment horizontal="center"/>
      <protection/>
    </xf>
    <xf numFmtId="49" fontId="4" fillId="17" borderId="11" xfId="0" applyNumberFormat="1" applyFont="1" applyFill="1" applyBorder="1" applyAlignment="1" applyProtection="1">
      <alignment horizontal="center" vertical="top" wrapText="1"/>
      <protection/>
    </xf>
    <xf numFmtId="49" fontId="4" fillId="17" borderId="172" xfId="0" applyNumberFormat="1" applyFont="1" applyFill="1" applyBorder="1" applyAlignment="1" applyProtection="1">
      <alignment horizontal="center"/>
      <protection/>
    </xf>
    <xf numFmtId="0" fontId="6" fillId="17" borderId="130" xfId="0" applyFont="1" applyFill="1" applyBorder="1" applyAlignment="1" applyProtection="1">
      <alignment horizontal="left"/>
      <protection/>
    </xf>
    <xf numFmtId="0" fontId="6" fillId="17" borderId="24" xfId="0" applyFont="1" applyFill="1" applyBorder="1" applyAlignment="1" applyProtection="1">
      <alignment horizontal="left"/>
      <protection/>
    </xf>
    <xf numFmtId="0" fontId="4" fillId="17" borderId="100" xfId="0" applyFont="1" applyFill="1" applyBorder="1" applyAlignment="1" applyProtection="1">
      <alignment horizontal="left"/>
      <protection/>
    </xf>
    <xf numFmtId="0" fontId="6" fillId="17" borderId="71" xfId="0" applyFont="1" applyFill="1" applyBorder="1" applyAlignment="1" applyProtection="1">
      <alignment horizontal="left"/>
      <protection/>
    </xf>
    <xf numFmtId="1" fontId="4" fillId="17" borderId="14" xfId="0" applyNumberFormat="1" applyFont="1" applyFill="1" applyBorder="1" applyAlignment="1" applyProtection="1">
      <alignment horizontal="center"/>
      <protection/>
    </xf>
    <xf numFmtId="0" fontId="4" fillId="17" borderId="14" xfId="0" applyFont="1" applyFill="1" applyBorder="1" applyAlignment="1" applyProtection="1">
      <alignment/>
      <protection/>
    </xf>
    <xf numFmtId="165" fontId="6" fillId="17" borderId="67" xfId="0" applyNumberFormat="1" applyFont="1" applyFill="1" applyBorder="1" applyAlignment="1" applyProtection="1">
      <alignment horizontal="left"/>
      <protection/>
    </xf>
    <xf numFmtId="165" fontId="6" fillId="17" borderId="99" xfId="0" applyNumberFormat="1" applyFont="1" applyFill="1" applyBorder="1" applyAlignment="1" applyProtection="1">
      <alignment horizontal="left"/>
      <protection/>
    </xf>
    <xf numFmtId="165" fontId="17" fillId="17" borderId="73" xfId="0" applyNumberFormat="1" applyFont="1" applyFill="1" applyBorder="1" applyAlignment="1" applyProtection="1">
      <alignment horizontal="left"/>
      <protection/>
    </xf>
    <xf numFmtId="0" fontId="6" fillId="17" borderId="127" xfId="0" applyFont="1" applyFill="1" applyBorder="1" applyAlignment="1" applyProtection="1">
      <alignment/>
      <protection/>
    </xf>
    <xf numFmtId="0" fontId="6" fillId="17" borderId="67" xfId="0" applyFont="1" applyFill="1" applyBorder="1" applyAlignment="1" applyProtection="1">
      <alignment horizontal="left"/>
      <protection/>
    </xf>
    <xf numFmtId="0" fontId="6" fillId="17" borderId="73" xfId="0" applyFont="1" applyFill="1" applyBorder="1" applyAlignment="1" applyProtection="1">
      <alignment/>
      <protection/>
    </xf>
    <xf numFmtId="165" fontId="5" fillId="17" borderId="67" xfId="0" applyNumberFormat="1" applyFont="1" applyFill="1" applyBorder="1" applyAlignment="1" applyProtection="1">
      <alignment horizontal="left"/>
      <protection/>
    </xf>
    <xf numFmtId="165" fontId="17" fillId="17" borderId="73" xfId="0" applyNumberFormat="1" applyFont="1" applyFill="1" applyBorder="1" applyAlignment="1" applyProtection="1">
      <alignment/>
      <protection/>
    </xf>
    <xf numFmtId="1" fontId="4" fillId="17" borderId="166" xfId="0" applyNumberFormat="1" applyFont="1" applyFill="1" applyBorder="1" applyAlignment="1" applyProtection="1">
      <alignment horizontal="left"/>
      <protection/>
    </xf>
    <xf numFmtId="0" fontId="11" fillId="17" borderId="127" xfId="0" applyFont="1" applyFill="1" applyBorder="1" applyAlignment="1" applyProtection="1">
      <alignment horizontal="left"/>
      <protection/>
    </xf>
    <xf numFmtId="0" fontId="6" fillId="17" borderId="10" xfId="0" applyFont="1" applyFill="1" applyBorder="1" applyAlignment="1" applyProtection="1">
      <alignment horizontal="left"/>
      <protection/>
    </xf>
    <xf numFmtId="165" fontId="6" fillId="17" borderId="73" xfId="0" applyNumberFormat="1" applyFont="1" applyFill="1" applyBorder="1" applyAlignment="1" applyProtection="1">
      <alignment horizontal="left"/>
      <protection/>
    </xf>
    <xf numFmtId="1" fontId="6" fillId="17" borderId="34" xfId="0" applyNumberFormat="1" applyFont="1" applyFill="1" applyBorder="1" applyAlignment="1" applyProtection="1">
      <alignment horizontal="center"/>
      <protection/>
    </xf>
    <xf numFmtId="1" fontId="4" fillId="17" borderId="96" xfId="0" applyNumberFormat="1" applyFont="1" applyFill="1" applyBorder="1" applyAlignment="1" applyProtection="1">
      <alignment horizontal="center"/>
      <protection/>
    </xf>
    <xf numFmtId="0" fontId="4" fillId="17" borderId="112" xfId="0" applyFont="1" applyFill="1" applyBorder="1" applyAlignment="1" applyProtection="1">
      <alignment horizontal="left" vertical="top" wrapText="1"/>
      <protection/>
    </xf>
    <xf numFmtId="0" fontId="56" fillId="17" borderId="132" xfId="0" applyFont="1" applyFill="1" applyBorder="1" applyAlignment="1" applyProtection="1">
      <alignment/>
      <protection/>
    </xf>
    <xf numFmtId="0" fontId="16" fillId="17" borderId="100" xfId="0" applyFont="1" applyFill="1" applyBorder="1" applyAlignment="1">
      <alignment/>
    </xf>
    <xf numFmtId="0" fontId="4" fillId="17" borderId="173" xfId="0" applyFont="1" applyFill="1" applyBorder="1" applyAlignment="1" applyProtection="1">
      <alignment horizontal="left" vertical="top" wrapText="1"/>
      <protection/>
    </xf>
    <xf numFmtId="1" fontId="4" fillId="17" borderId="112" xfId="0" applyNumberFormat="1" applyFont="1" applyFill="1" applyBorder="1" applyAlignment="1" applyProtection="1">
      <alignment horizontal="left"/>
      <protection/>
    </xf>
    <xf numFmtId="0" fontId="4" fillId="17" borderId="130" xfId="0" applyFont="1" applyFill="1" applyBorder="1" applyAlignment="1" applyProtection="1">
      <alignment horizontal="left"/>
      <protection/>
    </xf>
    <xf numFmtId="3" fontId="4" fillId="17" borderId="174" xfId="0" applyNumberFormat="1" applyFont="1" applyFill="1" applyBorder="1" applyAlignment="1" applyProtection="1">
      <alignment horizontal="left"/>
      <protection/>
    </xf>
    <xf numFmtId="3" fontId="4" fillId="17" borderId="175" xfId="0" applyNumberFormat="1" applyFont="1" applyFill="1" applyBorder="1" applyAlignment="1" applyProtection="1">
      <alignment/>
      <protection/>
    </xf>
    <xf numFmtId="3" fontId="4" fillId="17" borderId="115" xfId="0" applyNumberFormat="1" applyFont="1" applyFill="1" applyBorder="1" applyAlignment="1" applyProtection="1">
      <alignment/>
      <protection/>
    </xf>
    <xf numFmtId="3" fontId="4" fillId="17" borderId="176" xfId="0" applyNumberFormat="1" applyFont="1" applyFill="1" applyBorder="1" applyAlignment="1" applyProtection="1">
      <alignment horizontal="left"/>
      <protection/>
    </xf>
    <xf numFmtId="1" fontId="4" fillId="17" borderId="137" xfId="0" applyNumberFormat="1" applyFont="1" applyFill="1" applyBorder="1" applyAlignment="1" applyProtection="1">
      <alignment horizontal="left"/>
      <protection/>
    </xf>
    <xf numFmtId="3" fontId="4" fillId="17" borderId="24" xfId="0" applyNumberFormat="1" applyFont="1" applyFill="1" applyBorder="1" applyAlignment="1" applyProtection="1">
      <alignment horizontal="left"/>
      <protection/>
    </xf>
    <xf numFmtId="0" fontId="4" fillId="17" borderId="0" xfId="0" applyFont="1" applyFill="1" applyBorder="1" applyAlignment="1" applyProtection="1">
      <alignment/>
      <protection/>
    </xf>
    <xf numFmtId="3" fontId="4" fillId="17" borderId="24" xfId="0" applyNumberFormat="1" applyFont="1" applyFill="1" applyBorder="1" applyAlignment="1" applyProtection="1">
      <alignment/>
      <protection/>
    </xf>
    <xf numFmtId="0" fontId="8" fillId="17" borderId="127" xfId="0" applyFont="1" applyFill="1" applyBorder="1" applyAlignment="1" applyProtection="1">
      <alignment/>
      <protection/>
    </xf>
    <xf numFmtId="0" fontId="4" fillId="17" borderId="10" xfId="0" applyFont="1" applyFill="1" applyBorder="1" applyAlignment="1" applyProtection="1">
      <alignment/>
      <protection/>
    </xf>
    <xf numFmtId="0" fontId="4" fillId="17" borderId="71" xfId="0" applyFont="1" applyFill="1" applyBorder="1" applyAlignment="1" applyProtection="1">
      <alignment/>
      <protection/>
    </xf>
    <xf numFmtId="49" fontId="4" fillId="17" borderId="148" xfId="0" applyNumberFormat="1" applyFont="1" applyFill="1" applyBorder="1" applyAlignment="1" applyProtection="1">
      <alignment horizontal="left"/>
      <protection/>
    </xf>
    <xf numFmtId="0" fontId="4" fillId="17" borderId="94" xfId="0" applyFont="1" applyFill="1" applyBorder="1" applyAlignment="1" applyProtection="1">
      <alignment/>
      <protection/>
    </xf>
    <xf numFmtId="49" fontId="4" fillId="17" borderId="152" xfId="0" applyNumberFormat="1" applyFont="1" applyFill="1" applyBorder="1" applyAlignment="1" applyProtection="1">
      <alignment horizontal="center"/>
      <protection/>
    </xf>
    <xf numFmtId="49" fontId="4" fillId="17" borderId="147" xfId="0" applyNumberFormat="1" applyFont="1" applyFill="1" applyBorder="1" applyAlignment="1" applyProtection="1">
      <alignment horizontal="center"/>
      <protection/>
    </xf>
    <xf numFmtId="0" fontId="6" fillId="17" borderId="11" xfId="0" applyFont="1" applyFill="1" applyBorder="1" applyAlignment="1" applyProtection="1">
      <alignment wrapText="1"/>
      <protection/>
    </xf>
    <xf numFmtId="49" fontId="4" fillId="17" borderId="149" xfId="0" applyNumberFormat="1" applyFont="1" applyFill="1" applyBorder="1" applyAlignment="1" applyProtection="1">
      <alignment horizontal="center"/>
      <protection/>
    </xf>
    <xf numFmtId="0" fontId="6" fillId="17" borderId="81" xfId="0" applyFont="1" applyFill="1" applyBorder="1" applyAlignment="1" applyProtection="1">
      <alignment/>
      <protection/>
    </xf>
    <xf numFmtId="0" fontId="4" fillId="17" borderId="11" xfId="0" applyFont="1" applyFill="1" applyBorder="1" applyAlignment="1" applyProtection="1">
      <alignment wrapText="1"/>
      <protection/>
    </xf>
    <xf numFmtId="49" fontId="4" fillId="17" borderId="145" xfId="0" applyNumberFormat="1" applyFont="1" applyFill="1" applyBorder="1" applyAlignment="1" applyProtection="1">
      <alignment horizontal="center"/>
      <protection/>
    </xf>
    <xf numFmtId="0" fontId="6" fillId="17" borderId="71" xfId="0" applyFont="1" applyFill="1" applyBorder="1" applyAlignment="1" applyProtection="1">
      <alignment horizontal="left"/>
      <protection/>
    </xf>
    <xf numFmtId="0" fontId="6" fillId="17" borderId="11" xfId="0" applyFont="1" applyFill="1" applyBorder="1" applyAlignment="1" applyProtection="1">
      <alignment horizontal="left" wrapText="1"/>
      <protection/>
    </xf>
    <xf numFmtId="0" fontId="4" fillId="17" borderId="11" xfId="0" applyFont="1" applyFill="1" applyBorder="1" applyAlignment="1" applyProtection="1">
      <alignment horizontal="left"/>
      <protection/>
    </xf>
    <xf numFmtId="49" fontId="4" fillId="17" borderId="154" xfId="0" applyNumberFormat="1" applyFont="1" applyFill="1" applyBorder="1" applyAlignment="1" applyProtection="1">
      <alignment horizontal="center"/>
      <protection/>
    </xf>
    <xf numFmtId="0" fontId="4" fillId="17" borderId="22" xfId="0" applyFont="1" applyFill="1" applyBorder="1" applyAlignment="1" applyProtection="1">
      <alignment/>
      <protection/>
    </xf>
    <xf numFmtId="49" fontId="4" fillId="17" borderId="113" xfId="0" applyNumberFormat="1" applyFont="1" applyFill="1" applyBorder="1" applyAlignment="1" applyProtection="1">
      <alignment horizontal="center"/>
      <protection/>
    </xf>
    <xf numFmtId="1" fontId="4" fillId="17" borderId="32" xfId="0" applyNumberFormat="1" applyFont="1" applyFill="1" applyBorder="1" applyAlignment="1" applyProtection="1">
      <alignment horizontal="left" vertical="top" wrapText="1"/>
      <protection/>
    </xf>
    <xf numFmtId="0" fontId="4" fillId="17" borderId="177" xfId="0" applyFont="1" applyFill="1" applyBorder="1" applyAlignment="1" applyProtection="1">
      <alignment vertical="top"/>
      <protection/>
    </xf>
    <xf numFmtId="0" fontId="4" fillId="17" borderId="178" xfId="0" applyFont="1" applyFill="1" applyBorder="1" applyAlignment="1" applyProtection="1">
      <alignment/>
      <protection/>
    </xf>
    <xf numFmtId="0" fontId="8" fillId="17" borderId="137" xfId="0" applyFont="1" applyFill="1" applyBorder="1" applyAlignment="1" applyProtection="1">
      <alignment/>
      <protection/>
    </xf>
    <xf numFmtId="0" fontId="4" fillId="17" borderId="52" xfId="0" applyFont="1" applyFill="1" applyBorder="1" applyAlignment="1" applyProtection="1">
      <alignment/>
      <protection/>
    </xf>
    <xf numFmtId="0" fontId="0" fillId="17" borderId="137" xfId="0" applyFill="1" applyBorder="1" applyAlignment="1" applyProtection="1">
      <alignment/>
      <protection/>
    </xf>
    <xf numFmtId="0" fontId="11" fillId="45" borderId="127" xfId="0" applyFont="1" applyFill="1" applyBorder="1" applyAlignment="1" applyProtection="1">
      <alignment/>
      <protection/>
    </xf>
    <xf numFmtId="49" fontId="8" fillId="45" borderId="65" xfId="0" applyNumberFormat="1" applyFont="1" applyFill="1" applyBorder="1" applyAlignment="1" applyProtection="1">
      <alignment/>
      <protection/>
    </xf>
    <xf numFmtId="0" fontId="16" fillId="17" borderId="179" xfId="0" applyFont="1" applyFill="1" applyBorder="1" applyAlignment="1" applyProtection="1">
      <alignment/>
      <protection/>
    </xf>
    <xf numFmtId="49" fontId="3" fillId="17" borderId="137" xfId="0" applyNumberFormat="1" applyFont="1" applyFill="1" applyBorder="1" applyAlignment="1" applyProtection="1">
      <alignment horizontal="left"/>
      <protection/>
    </xf>
    <xf numFmtId="0" fontId="6" fillId="17" borderId="180" xfId="0" applyFont="1" applyFill="1" applyBorder="1" applyAlignment="1" applyProtection="1">
      <alignment wrapText="1"/>
      <protection/>
    </xf>
    <xf numFmtId="0" fontId="4" fillId="17" borderId="12" xfId="0" applyFont="1" applyFill="1" applyBorder="1" applyAlignment="1" applyProtection="1">
      <alignment/>
      <protection/>
    </xf>
    <xf numFmtId="0" fontId="4" fillId="17" borderId="15" xfId="0" applyFont="1" applyFill="1" applyBorder="1" applyAlignment="1" applyProtection="1">
      <alignment/>
      <protection/>
    </xf>
    <xf numFmtId="49" fontId="4" fillId="17" borderId="45" xfId="0" applyNumberFormat="1" applyFont="1" applyFill="1" applyBorder="1" applyAlignment="1" applyProtection="1">
      <alignment horizontal="center"/>
      <protection/>
    </xf>
    <xf numFmtId="0" fontId="6" fillId="17" borderId="129" xfId="0" applyFont="1" applyFill="1" applyBorder="1" applyAlignment="1" applyProtection="1">
      <alignment/>
      <protection/>
    </xf>
    <xf numFmtId="0" fontId="4" fillId="17" borderId="12" xfId="0" applyFont="1" applyFill="1" applyBorder="1" applyAlignment="1" applyProtection="1">
      <alignment/>
      <protection/>
    </xf>
    <xf numFmtId="0" fontId="6" fillId="17" borderId="110" xfId="0" applyFont="1" applyFill="1" applyBorder="1" applyAlignment="1" applyProtection="1">
      <alignment/>
      <protection/>
    </xf>
    <xf numFmtId="49" fontId="4" fillId="17" borderId="137" xfId="0" applyNumberFormat="1" applyFont="1" applyFill="1" applyBorder="1" applyAlignment="1" applyProtection="1">
      <alignment horizontal="center"/>
      <protection/>
    </xf>
    <xf numFmtId="0" fontId="6" fillId="17" borderId="52" xfId="0" applyFont="1" applyFill="1" applyBorder="1" applyAlignment="1" applyProtection="1">
      <alignment/>
      <protection/>
    </xf>
    <xf numFmtId="0" fontId="4" fillId="17" borderId="83" xfId="0" applyFont="1" applyFill="1" applyBorder="1" applyAlignment="1" applyProtection="1">
      <alignment/>
      <protection/>
    </xf>
    <xf numFmtId="0" fontId="6" fillId="17" borderId="180" xfId="0" applyFont="1" applyFill="1" applyBorder="1" applyAlignment="1" applyProtection="1">
      <alignment/>
      <protection/>
    </xf>
    <xf numFmtId="0" fontId="6" fillId="17" borderId="180" xfId="0" applyFont="1" applyFill="1" applyBorder="1" applyAlignment="1" applyProtection="1">
      <alignment wrapText="1"/>
      <protection/>
    </xf>
    <xf numFmtId="49" fontId="4" fillId="17" borderId="46" xfId="0" applyNumberFormat="1" applyFont="1" applyFill="1" applyBorder="1" applyAlignment="1" applyProtection="1">
      <alignment horizontal="center"/>
      <protection/>
    </xf>
    <xf numFmtId="0" fontId="4" fillId="17" borderId="15" xfId="0" applyFont="1" applyFill="1" applyBorder="1" applyAlignment="1" applyProtection="1">
      <alignment/>
      <protection/>
    </xf>
    <xf numFmtId="49" fontId="8" fillId="17" borderId="65" xfId="0" applyNumberFormat="1" applyFont="1" applyFill="1" applyBorder="1" applyAlignment="1" applyProtection="1">
      <alignment/>
      <protection/>
    </xf>
    <xf numFmtId="0" fontId="6" fillId="17" borderId="108" xfId="0" applyFont="1" applyFill="1" applyBorder="1" applyAlignment="1" applyProtection="1">
      <alignment/>
      <protection/>
    </xf>
    <xf numFmtId="49" fontId="4" fillId="17" borderId="12" xfId="0" applyNumberFormat="1" applyFont="1" applyFill="1" applyBorder="1" applyAlignment="1" applyProtection="1">
      <alignment horizontal="left"/>
      <protection/>
    </xf>
    <xf numFmtId="49" fontId="4" fillId="17" borderId="106" xfId="0" applyNumberFormat="1" applyFont="1" applyFill="1" applyBorder="1" applyAlignment="1" applyProtection="1">
      <alignment horizontal="left"/>
      <protection/>
    </xf>
    <xf numFmtId="49" fontId="4" fillId="17" borderId="144" xfId="0" applyNumberFormat="1" applyFont="1" applyFill="1" applyBorder="1" applyAlignment="1" applyProtection="1">
      <alignment horizontal="center"/>
      <protection/>
    </xf>
    <xf numFmtId="0" fontId="6" fillId="17" borderId="108" xfId="0" applyFont="1" applyFill="1" applyBorder="1" applyAlignment="1" applyProtection="1">
      <alignment vertical="center" wrapText="1"/>
      <protection/>
    </xf>
    <xf numFmtId="0" fontId="4" fillId="17" borderId="12" xfId="0" applyFont="1" applyFill="1" applyBorder="1" applyAlignment="1" applyProtection="1">
      <alignment wrapText="1"/>
      <protection/>
    </xf>
    <xf numFmtId="0" fontId="6" fillId="17" borderId="108" xfId="0" applyFont="1" applyFill="1" applyBorder="1" applyAlignment="1" applyProtection="1">
      <alignment/>
      <protection/>
    </xf>
    <xf numFmtId="0" fontId="4" fillId="17" borderId="12" xfId="0" applyFont="1" applyFill="1" applyBorder="1" applyAlignment="1" applyProtection="1">
      <alignment/>
      <protection/>
    </xf>
    <xf numFmtId="49" fontId="100" fillId="17" borderId="30" xfId="0" applyNumberFormat="1" applyFont="1" applyFill="1" applyBorder="1" applyAlignment="1" applyProtection="1">
      <alignment horizontal="center"/>
      <protection/>
    </xf>
    <xf numFmtId="0" fontId="4" fillId="17" borderId="19" xfId="0" applyFont="1" applyFill="1" applyBorder="1" applyAlignment="1" applyProtection="1">
      <alignment/>
      <protection/>
    </xf>
    <xf numFmtId="0" fontId="4" fillId="17" borderId="104" xfId="0" applyFont="1" applyFill="1" applyBorder="1" applyAlignment="1" applyProtection="1">
      <alignment/>
      <protection/>
    </xf>
    <xf numFmtId="3" fontId="4" fillId="17" borderId="142" xfId="0" applyNumberFormat="1" applyFont="1" applyFill="1" applyBorder="1" applyAlignment="1" applyProtection="1">
      <alignment horizontal="left" vertical="top" wrapText="1"/>
      <protection/>
    </xf>
    <xf numFmtId="3" fontId="4" fillId="17" borderId="24" xfId="0" applyNumberFormat="1" applyFont="1" applyFill="1" applyBorder="1" applyAlignment="1" applyProtection="1">
      <alignment horizontal="left" vertical="top"/>
      <protection/>
    </xf>
    <xf numFmtId="3" fontId="4" fillId="17" borderId="141" xfId="0" applyNumberFormat="1" applyFont="1" applyFill="1" applyBorder="1" applyAlignment="1" applyProtection="1">
      <alignment horizontal="left" vertical="top" wrapText="1"/>
      <protection/>
    </xf>
    <xf numFmtId="3" fontId="4" fillId="17" borderId="25" xfId="0" applyNumberFormat="1" applyFont="1" applyFill="1" applyBorder="1" applyAlignment="1" applyProtection="1">
      <alignment horizontal="left" vertical="top" wrapText="1"/>
      <protection/>
    </xf>
    <xf numFmtId="3" fontId="4" fillId="17" borderId="67" xfId="0" applyNumberFormat="1" applyFont="1" applyFill="1" applyBorder="1" applyAlignment="1" applyProtection="1">
      <alignment horizontal="left" vertical="top" wrapText="1"/>
      <protection/>
    </xf>
    <xf numFmtId="3" fontId="4" fillId="17" borderId="166" xfId="0" applyNumberFormat="1" applyFont="1" applyFill="1" applyBorder="1" applyAlignment="1" applyProtection="1">
      <alignment/>
      <protection/>
    </xf>
    <xf numFmtId="0" fontId="4" fillId="17" borderId="166" xfId="0" applyFont="1" applyFill="1" applyBorder="1" applyAlignment="1" applyProtection="1">
      <alignment horizontal="left" vertical="top" wrapText="1"/>
      <protection/>
    </xf>
    <xf numFmtId="0" fontId="4" fillId="17" borderId="166" xfId="0" applyFont="1" applyFill="1" applyBorder="1" applyAlignment="1" applyProtection="1">
      <alignment/>
      <protection/>
    </xf>
    <xf numFmtId="3" fontId="4" fillId="17" borderId="25" xfId="0" applyNumberFormat="1" applyFont="1" applyFill="1" applyBorder="1" applyAlignment="1" applyProtection="1">
      <alignment/>
      <protection/>
    </xf>
    <xf numFmtId="0" fontId="4" fillId="17" borderId="140" xfId="0" applyFont="1" applyFill="1" applyBorder="1" applyAlignment="1" applyProtection="1">
      <alignment/>
      <protection/>
    </xf>
    <xf numFmtId="49" fontId="8" fillId="17" borderId="138" xfId="0" applyNumberFormat="1" applyFont="1" applyFill="1" applyBorder="1" applyAlignment="1" applyProtection="1">
      <alignment/>
      <protection/>
    </xf>
    <xf numFmtId="49" fontId="8" fillId="17" borderId="179" xfId="0" applyNumberFormat="1" applyFont="1" applyFill="1" applyBorder="1" applyAlignment="1" applyProtection="1">
      <alignment/>
      <protection/>
    </xf>
    <xf numFmtId="49" fontId="8" fillId="17" borderId="94" xfId="0" applyNumberFormat="1" applyFont="1" applyFill="1" applyBorder="1" applyAlignment="1" applyProtection="1">
      <alignment/>
      <protection/>
    </xf>
    <xf numFmtId="49" fontId="8" fillId="17" borderId="124" xfId="0" applyNumberFormat="1" applyFont="1" applyFill="1" applyBorder="1" applyAlignment="1" applyProtection="1">
      <alignment/>
      <protection/>
    </xf>
    <xf numFmtId="49" fontId="8" fillId="17" borderId="139" xfId="0" applyNumberFormat="1" applyFont="1" applyFill="1" applyBorder="1" applyAlignment="1" applyProtection="1">
      <alignment/>
      <protection/>
    </xf>
    <xf numFmtId="49" fontId="8" fillId="17" borderId="181" xfId="0" applyNumberFormat="1" applyFont="1" applyFill="1" applyBorder="1" applyAlignment="1" applyProtection="1">
      <alignment/>
      <protection/>
    </xf>
    <xf numFmtId="49" fontId="8" fillId="17" borderId="13" xfId="0" applyNumberFormat="1" applyFont="1" applyFill="1" applyBorder="1" applyAlignment="1" applyProtection="1">
      <alignment/>
      <protection/>
    </xf>
    <xf numFmtId="49" fontId="8" fillId="17" borderId="12" xfId="0" applyNumberFormat="1" applyFont="1" applyFill="1" applyBorder="1" applyAlignment="1" applyProtection="1">
      <alignment/>
      <protection/>
    </xf>
    <xf numFmtId="49" fontId="8" fillId="17" borderId="11" xfId="0" applyNumberFormat="1" applyFont="1" applyFill="1" applyBorder="1" applyAlignment="1" applyProtection="1">
      <alignment/>
      <protection/>
    </xf>
    <xf numFmtId="49" fontId="8" fillId="17" borderId="93" xfId="0" applyNumberFormat="1" applyFont="1" applyFill="1" applyBorder="1" applyAlignment="1" applyProtection="1">
      <alignment/>
      <protection/>
    </xf>
    <xf numFmtId="49" fontId="8" fillId="17" borderId="78" xfId="0" applyNumberFormat="1" applyFont="1" applyFill="1" applyBorder="1" applyAlignment="1" applyProtection="1">
      <alignment/>
      <protection/>
    </xf>
    <xf numFmtId="49" fontId="8" fillId="17" borderId="60" xfId="0" applyNumberFormat="1" applyFont="1" applyFill="1" applyBorder="1" applyAlignment="1" applyProtection="1">
      <alignment/>
      <protection/>
    </xf>
    <xf numFmtId="3" fontId="3" fillId="17" borderId="23" xfId="0" applyNumberFormat="1" applyFont="1" applyFill="1" applyBorder="1" applyAlignment="1" applyProtection="1">
      <alignment horizontal="right"/>
      <protection/>
    </xf>
    <xf numFmtId="3" fontId="3" fillId="17" borderId="19" xfId="0" applyNumberFormat="1" applyFont="1" applyFill="1" applyBorder="1" applyAlignment="1" applyProtection="1">
      <alignment horizontal="right"/>
      <protection/>
    </xf>
    <xf numFmtId="3" fontId="3" fillId="17" borderId="18" xfId="0" applyNumberFormat="1" applyFont="1" applyFill="1" applyBorder="1" applyAlignment="1" applyProtection="1">
      <alignment horizontal="right"/>
      <protection/>
    </xf>
    <xf numFmtId="3" fontId="3" fillId="17" borderId="29" xfId="0" applyNumberFormat="1" applyFont="1" applyFill="1" applyBorder="1" applyAlignment="1" applyProtection="1">
      <alignment horizontal="right"/>
      <protection/>
    </xf>
    <xf numFmtId="3" fontId="3" fillId="17" borderId="114" xfId="0" applyNumberFormat="1" applyFont="1" applyFill="1" applyBorder="1" applyAlignment="1" applyProtection="1">
      <alignment horizontal="right"/>
      <protection/>
    </xf>
    <xf numFmtId="3" fontId="3" fillId="17" borderId="129" xfId="0" applyNumberFormat="1" applyFont="1" applyFill="1" applyBorder="1" applyAlignment="1" applyProtection="1">
      <alignment horizontal="right"/>
      <protection/>
    </xf>
    <xf numFmtId="3" fontId="3" fillId="17" borderId="76" xfId="0" applyNumberFormat="1" applyFont="1" applyFill="1" applyBorder="1" applyAlignment="1" applyProtection="1">
      <alignment horizontal="right"/>
      <protection/>
    </xf>
    <xf numFmtId="3" fontId="3" fillId="17" borderId="109" xfId="0" applyNumberFormat="1" applyFont="1" applyFill="1" applyBorder="1" applyAlignment="1" applyProtection="1">
      <alignment horizontal="right"/>
      <protection/>
    </xf>
    <xf numFmtId="3" fontId="3" fillId="17" borderId="130" xfId="0" applyNumberFormat="1" applyFont="1" applyFill="1" applyBorder="1" applyAlignment="1" applyProtection="1">
      <alignment horizontal="right"/>
      <protection/>
    </xf>
    <xf numFmtId="3" fontId="3" fillId="17" borderId="110" xfId="0" applyNumberFormat="1" applyFont="1" applyFill="1" applyBorder="1" applyAlignment="1" applyProtection="1">
      <alignment horizontal="right"/>
      <protection/>
    </xf>
    <xf numFmtId="3" fontId="3" fillId="17" borderId="99" xfId="0" applyNumberFormat="1" applyFont="1" applyFill="1" applyBorder="1" applyAlignment="1" applyProtection="1">
      <alignment horizontal="right"/>
      <protection/>
    </xf>
    <xf numFmtId="3" fontId="3" fillId="17" borderId="13" xfId="0" applyNumberFormat="1" applyFont="1" applyFill="1" applyBorder="1" applyAlignment="1" applyProtection="1">
      <alignment horizontal="right"/>
      <protection/>
    </xf>
    <xf numFmtId="3" fontId="3" fillId="17" borderId="12" xfId="0" applyNumberFormat="1" applyFont="1" applyFill="1" applyBorder="1" applyAlignment="1" applyProtection="1">
      <alignment horizontal="right"/>
      <protection/>
    </xf>
    <xf numFmtId="3" fontId="3" fillId="17" borderId="62" xfId="0" applyNumberFormat="1" applyFont="1" applyFill="1" applyBorder="1" applyAlignment="1" applyProtection="1">
      <alignment horizontal="right"/>
      <protection/>
    </xf>
    <xf numFmtId="3" fontId="3" fillId="17" borderId="61" xfId="0" applyNumberFormat="1" applyFont="1" applyFill="1" applyBorder="1" applyAlignment="1" applyProtection="1">
      <alignment horizontal="right"/>
      <protection/>
    </xf>
    <xf numFmtId="3" fontId="3" fillId="17" borderId="11" xfId="0" applyNumberFormat="1" applyFont="1" applyFill="1" applyBorder="1" applyAlignment="1" applyProtection="1">
      <alignment horizontal="right"/>
      <protection/>
    </xf>
    <xf numFmtId="3" fontId="3" fillId="17" borderId="78" xfId="0" applyNumberFormat="1" applyFont="1" applyFill="1" applyBorder="1" applyAlignment="1" applyProtection="1">
      <alignment horizontal="right"/>
      <protection/>
    </xf>
    <xf numFmtId="3" fontId="3" fillId="17" borderId="27" xfId="0" applyNumberFormat="1" applyFont="1" applyFill="1" applyBorder="1" applyAlignment="1" applyProtection="1">
      <alignment horizontal="right"/>
      <protection/>
    </xf>
    <xf numFmtId="3" fontId="3" fillId="17" borderId="16" xfId="0" applyNumberFormat="1" applyFont="1" applyFill="1" applyBorder="1" applyAlignment="1" applyProtection="1">
      <alignment horizontal="right"/>
      <protection/>
    </xf>
    <xf numFmtId="3" fontId="3" fillId="17" borderId="15" xfId="0" applyNumberFormat="1" applyFont="1" applyFill="1" applyBorder="1" applyAlignment="1" applyProtection="1">
      <alignment horizontal="right"/>
      <protection/>
    </xf>
    <xf numFmtId="3" fontId="3" fillId="17" borderId="14" xfId="0" applyNumberFormat="1" applyFont="1" applyFill="1" applyBorder="1" applyAlignment="1" applyProtection="1">
      <alignment horizontal="right"/>
      <protection/>
    </xf>
    <xf numFmtId="3" fontId="3" fillId="17" borderId="28" xfId="0" applyNumberFormat="1" applyFont="1" applyFill="1" applyBorder="1" applyAlignment="1" applyProtection="1">
      <alignment horizontal="right"/>
      <protection/>
    </xf>
    <xf numFmtId="3" fontId="6" fillId="17" borderId="131" xfId="0" applyNumberFormat="1" applyFont="1" applyFill="1" applyBorder="1" applyAlignment="1" applyProtection="1">
      <alignment horizontal="left" vertical="top" wrapText="1"/>
      <protection/>
    </xf>
    <xf numFmtId="3" fontId="4" fillId="17" borderId="137" xfId="0" applyNumberFormat="1" applyFont="1" applyFill="1" applyBorder="1" applyAlignment="1" applyProtection="1">
      <alignment horizontal="left" vertical="top" wrapText="1"/>
      <protection/>
    </xf>
    <xf numFmtId="0" fontId="4" fillId="17" borderId="172" xfId="0" applyFont="1" applyFill="1" applyBorder="1" applyAlignment="1" applyProtection="1">
      <alignment horizontal="left" vertical="top" wrapText="1"/>
      <protection/>
    </xf>
    <xf numFmtId="0" fontId="4" fillId="17" borderId="182" xfId="0" applyFont="1" applyFill="1" applyBorder="1" applyAlignment="1" applyProtection="1">
      <alignment horizontal="left" vertical="top" wrapText="1"/>
      <protection/>
    </xf>
    <xf numFmtId="3" fontId="6" fillId="17" borderId="171" xfId="0" applyNumberFormat="1" applyFont="1" applyFill="1" applyBorder="1" applyAlignment="1" applyProtection="1">
      <alignment vertical="top" wrapText="1"/>
      <protection/>
    </xf>
    <xf numFmtId="3" fontId="4" fillId="17" borderId="137" xfId="0" applyNumberFormat="1" applyFont="1" applyFill="1" applyBorder="1" applyAlignment="1" applyProtection="1">
      <alignment/>
      <protection/>
    </xf>
    <xf numFmtId="3" fontId="6" fillId="17" borderId="171" xfId="0" applyNumberFormat="1" applyFont="1" applyFill="1" applyBorder="1" applyAlignment="1" applyProtection="1">
      <alignment/>
      <protection/>
    </xf>
    <xf numFmtId="0" fontId="4" fillId="17" borderId="0" xfId="0" applyFont="1" applyFill="1" applyBorder="1" applyAlignment="1" applyProtection="1">
      <alignment/>
      <protection/>
    </xf>
    <xf numFmtId="3" fontId="4" fillId="17" borderId="171" xfId="0" applyNumberFormat="1" applyFont="1" applyFill="1" applyBorder="1" applyAlignment="1" applyProtection="1">
      <alignment/>
      <protection/>
    </xf>
    <xf numFmtId="0" fontId="4" fillId="17" borderId="137" xfId="0" applyFont="1" applyFill="1" applyBorder="1" applyAlignment="1" applyProtection="1">
      <alignment/>
      <protection/>
    </xf>
    <xf numFmtId="0" fontId="4" fillId="17" borderId="127" xfId="0" applyFont="1" applyFill="1" applyBorder="1" applyAlignment="1" applyProtection="1">
      <alignment/>
      <protection/>
    </xf>
    <xf numFmtId="0" fontId="8" fillId="17" borderId="183" xfId="0" applyFont="1" applyFill="1" applyBorder="1" applyAlignment="1" applyProtection="1">
      <alignment/>
      <protection/>
    </xf>
    <xf numFmtId="49" fontId="8" fillId="17" borderId="148" xfId="0" applyNumberFormat="1" applyFont="1" applyFill="1" applyBorder="1" applyAlignment="1" applyProtection="1">
      <alignment/>
      <protection/>
    </xf>
    <xf numFmtId="49" fontId="8" fillId="17" borderId="184" xfId="0" applyNumberFormat="1" applyFont="1" applyFill="1" applyBorder="1" applyAlignment="1" applyProtection="1">
      <alignment/>
      <protection/>
    </xf>
    <xf numFmtId="49" fontId="8" fillId="17" borderId="30" xfId="0" applyNumberFormat="1" applyFont="1" applyFill="1" applyBorder="1" applyAlignment="1" applyProtection="1">
      <alignment/>
      <protection/>
    </xf>
    <xf numFmtId="49" fontId="8" fillId="17" borderId="128" xfId="0" applyNumberFormat="1" applyFont="1" applyFill="1" applyBorder="1" applyAlignment="1" applyProtection="1">
      <alignment/>
      <protection/>
    </xf>
    <xf numFmtId="3" fontId="3" fillId="17" borderId="32" xfId="0" applyNumberFormat="1" applyFont="1" applyFill="1" applyBorder="1" applyAlignment="1" applyProtection="1">
      <alignment horizontal="right"/>
      <protection/>
    </xf>
    <xf numFmtId="3" fontId="3" fillId="17" borderId="112" xfId="0" applyNumberFormat="1" applyFont="1" applyFill="1" applyBorder="1" applyAlignment="1" applyProtection="1">
      <alignment horizontal="right"/>
      <protection/>
    </xf>
    <xf numFmtId="3" fontId="3" fillId="17" borderId="30" xfId="0" applyNumberFormat="1" applyFont="1" applyFill="1" applyBorder="1" applyAlignment="1" applyProtection="1">
      <alignment horizontal="right"/>
      <protection/>
    </xf>
    <xf numFmtId="3" fontId="3" fillId="17" borderId="31" xfId="0" applyNumberFormat="1" applyFont="1" applyFill="1" applyBorder="1" applyAlignment="1" applyProtection="1">
      <alignment horizontal="right"/>
      <protection/>
    </xf>
    <xf numFmtId="3" fontId="4" fillId="17" borderId="144" xfId="0" applyNumberFormat="1" applyFont="1" applyFill="1" applyBorder="1" applyAlignment="1" applyProtection="1">
      <alignment horizontal="left" vertical="top" wrapText="1"/>
      <protection/>
    </xf>
    <xf numFmtId="3" fontId="4" fillId="17" borderId="80" xfId="0" applyNumberFormat="1" applyFont="1" applyFill="1" applyBorder="1" applyAlignment="1" applyProtection="1">
      <alignment horizontal="left" vertical="top" wrapText="1"/>
      <protection/>
    </xf>
    <xf numFmtId="3" fontId="6" fillId="17" borderId="131" xfId="0" applyNumberFormat="1" applyFont="1" applyFill="1" applyBorder="1" applyAlignment="1" applyProtection="1">
      <alignment horizontal="left" vertical="top"/>
      <protection/>
    </xf>
    <xf numFmtId="3" fontId="6" fillId="17" borderId="171" xfId="0" applyNumberFormat="1" applyFont="1" applyFill="1" applyBorder="1" applyAlignment="1" applyProtection="1">
      <alignment horizontal="left" vertical="top" wrapText="1"/>
      <protection/>
    </xf>
    <xf numFmtId="0" fontId="4" fillId="17" borderId="171" xfId="0" applyFont="1" applyFill="1" applyBorder="1" applyAlignment="1" applyProtection="1">
      <alignment/>
      <protection/>
    </xf>
    <xf numFmtId="0" fontId="4" fillId="17" borderId="183" xfId="0" applyFont="1" applyFill="1" applyBorder="1" applyAlignment="1" applyProtection="1">
      <alignment/>
      <protection/>
    </xf>
    <xf numFmtId="49" fontId="8" fillId="17" borderId="185" xfId="0" applyNumberFormat="1" applyFont="1" applyFill="1" applyBorder="1" applyAlignment="1" applyProtection="1">
      <alignment/>
      <protection/>
    </xf>
    <xf numFmtId="49" fontId="8" fillId="17" borderId="186" xfId="0" applyNumberFormat="1" applyFont="1" applyFill="1" applyBorder="1" applyAlignment="1" applyProtection="1">
      <alignment/>
      <protection/>
    </xf>
    <xf numFmtId="49" fontId="8" fillId="17" borderId="37" xfId="0" applyNumberFormat="1" applyFont="1" applyFill="1" applyBorder="1" applyAlignment="1" applyProtection="1">
      <alignment/>
      <protection/>
    </xf>
    <xf numFmtId="49" fontId="8" fillId="17" borderId="116" xfId="0" applyNumberFormat="1" applyFont="1" applyFill="1" applyBorder="1" applyAlignment="1" applyProtection="1">
      <alignment/>
      <protection/>
    </xf>
    <xf numFmtId="3" fontId="3" fillId="17" borderId="39" xfId="0" applyNumberFormat="1" applyFont="1" applyFill="1" applyBorder="1" applyAlignment="1" applyProtection="1">
      <alignment horizontal="right"/>
      <protection/>
    </xf>
    <xf numFmtId="3" fontId="3" fillId="17" borderId="40" xfId="0" applyNumberFormat="1" applyFont="1" applyFill="1" applyBorder="1" applyAlignment="1" applyProtection="1">
      <alignment horizontal="right"/>
      <protection/>
    </xf>
    <xf numFmtId="3" fontId="3" fillId="17" borderId="55" xfId="0" applyNumberFormat="1" applyFont="1" applyFill="1" applyBorder="1" applyAlignment="1" applyProtection="1">
      <alignment horizontal="right"/>
      <protection/>
    </xf>
    <xf numFmtId="3" fontId="3" fillId="17" borderId="131" xfId="0" applyNumberFormat="1" applyFont="1" applyFill="1" applyBorder="1" applyAlignment="1" applyProtection="1">
      <alignment horizontal="right"/>
      <protection/>
    </xf>
    <xf numFmtId="3" fontId="3" fillId="17" borderId="37" xfId="0" applyNumberFormat="1" applyFont="1" applyFill="1" applyBorder="1" applyAlignment="1" applyProtection="1">
      <alignment horizontal="right"/>
      <protection/>
    </xf>
    <xf numFmtId="3" fontId="3" fillId="17" borderId="116" xfId="0" applyNumberFormat="1" applyFont="1" applyFill="1" applyBorder="1" applyAlignment="1" applyProtection="1">
      <alignment horizontal="right"/>
      <protection/>
    </xf>
    <xf numFmtId="3" fontId="3" fillId="17" borderId="38" xfId="0" applyNumberFormat="1" applyFont="1" applyFill="1" applyBorder="1" applyAlignment="1" applyProtection="1">
      <alignment horizontal="right"/>
      <protection/>
    </xf>
    <xf numFmtId="3" fontId="3" fillId="17" borderId="41" xfId="0" applyNumberFormat="1" applyFont="1" applyFill="1" applyBorder="1" applyAlignment="1" applyProtection="1">
      <alignment horizontal="right"/>
      <protection/>
    </xf>
    <xf numFmtId="0" fontId="4" fillId="17" borderId="166" xfId="0" applyFont="1" applyFill="1" applyBorder="1" applyAlignment="1" applyProtection="1">
      <alignment horizontal="left"/>
      <protection/>
    </xf>
    <xf numFmtId="0" fontId="4" fillId="17" borderId="166" xfId="0" applyFont="1" applyFill="1" applyBorder="1" applyAlignment="1" applyProtection="1">
      <alignment horizontal="left"/>
      <protection/>
    </xf>
    <xf numFmtId="0" fontId="4" fillId="17" borderId="24" xfId="0" applyFont="1" applyFill="1" applyBorder="1" applyAlignment="1" applyProtection="1">
      <alignment horizontal="left"/>
      <protection/>
    </xf>
    <xf numFmtId="0" fontId="4" fillId="17" borderId="166" xfId="0" applyFont="1" applyFill="1" applyBorder="1" applyAlignment="1" applyProtection="1">
      <alignment/>
      <protection/>
    </xf>
    <xf numFmtId="0" fontId="4" fillId="17" borderId="166" xfId="0" applyFont="1" applyFill="1" applyBorder="1" applyAlignment="1" applyProtection="1">
      <alignment horizontal="center"/>
      <protection/>
    </xf>
    <xf numFmtId="0" fontId="16" fillId="17" borderId="10" xfId="0" applyFont="1" applyFill="1" applyBorder="1" applyAlignment="1" applyProtection="1">
      <alignment/>
      <protection/>
    </xf>
    <xf numFmtId="0" fontId="16" fillId="17" borderId="71" xfId="0" applyFont="1" applyFill="1" applyBorder="1" applyAlignment="1" applyProtection="1">
      <alignment/>
      <protection/>
    </xf>
    <xf numFmtId="0" fontId="5" fillId="17" borderId="71" xfId="0" applyFont="1" applyFill="1" applyBorder="1" applyAlignment="1" applyProtection="1">
      <alignment/>
      <protection/>
    </xf>
    <xf numFmtId="0" fontId="5" fillId="17" borderId="72" xfId="0" applyFont="1" applyFill="1" applyBorder="1" applyAlignment="1" applyProtection="1">
      <alignment/>
      <protection/>
    </xf>
    <xf numFmtId="0" fontId="0" fillId="17" borderId="166" xfId="0" applyFont="1" applyFill="1" applyBorder="1" applyAlignment="1" applyProtection="1">
      <alignment/>
      <protection/>
    </xf>
    <xf numFmtId="0" fontId="2" fillId="17" borderId="166" xfId="0" applyFont="1" applyFill="1" applyBorder="1" applyAlignment="1" applyProtection="1">
      <alignment/>
      <protection/>
    </xf>
    <xf numFmtId="0" fontId="2" fillId="17" borderId="52" xfId="0" applyFont="1" applyFill="1" applyBorder="1" applyAlignment="1" applyProtection="1">
      <alignment/>
      <protection/>
    </xf>
    <xf numFmtId="3" fontId="13" fillId="17" borderId="166" xfId="0" applyNumberFormat="1" applyFont="1" applyFill="1" applyBorder="1" applyAlignment="1" applyProtection="1">
      <alignment/>
      <protection/>
    </xf>
    <xf numFmtId="3" fontId="38" fillId="17" borderId="166" xfId="0" applyNumberFormat="1" applyFont="1" applyFill="1" applyBorder="1" applyAlignment="1" applyProtection="1">
      <alignment/>
      <protection/>
    </xf>
    <xf numFmtId="3" fontId="87" fillId="17" borderId="166" xfId="0" applyNumberFormat="1" applyFont="1" applyFill="1" applyBorder="1" applyAlignment="1" applyProtection="1">
      <alignment/>
      <protection/>
    </xf>
    <xf numFmtId="3" fontId="87" fillId="17" borderId="52" xfId="0" applyNumberFormat="1" applyFont="1" applyFill="1" applyBorder="1" applyAlignment="1" applyProtection="1">
      <alignment/>
      <protection/>
    </xf>
    <xf numFmtId="3" fontId="4" fillId="17" borderId="55" xfId="0" applyNumberFormat="1" applyFont="1" applyFill="1" applyBorder="1" applyAlignment="1" applyProtection="1">
      <alignment horizontal="left" vertical="top"/>
      <protection/>
    </xf>
    <xf numFmtId="3" fontId="4" fillId="17" borderId="171" xfId="0" applyNumberFormat="1" applyFont="1" applyFill="1" applyBorder="1" applyAlignment="1" applyProtection="1">
      <alignment vertical="top" wrapText="1"/>
      <protection/>
    </xf>
    <xf numFmtId="3" fontId="4" fillId="17" borderId="171" xfId="0" applyNumberFormat="1" applyFont="1" applyFill="1" applyBorder="1" applyAlignment="1" applyProtection="1">
      <alignment horizontal="left" wrapText="1"/>
      <protection/>
    </xf>
    <xf numFmtId="167" fontId="35" fillId="17" borderId="187" xfId="0" applyNumberFormat="1" applyFont="1" applyFill="1" applyBorder="1" applyAlignment="1" applyProtection="1">
      <alignment/>
      <protection/>
    </xf>
    <xf numFmtId="0" fontId="0" fillId="17" borderId="188" xfId="0" applyFill="1" applyBorder="1" applyAlignment="1" applyProtection="1">
      <alignment/>
      <protection/>
    </xf>
    <xf numFmtId="3" fontId="2" fillId="17" borderId="183" xfId="0" applyNumberFormat="1" applyFont="1" applyFill="1" applyBorder="1" applyAlignment="1" applyProtection="1">
      <alignment wrapText="1"/>
      <protection/>
    </xf>
    <xf numFmtId="3" fontId="35" fillId="17" borderId="169" xfId="0" applyNumberFormat="1" applyFont="1" applyFill="1" applyBorder="1" applyAlignment="1" applyProtection="1">
      <alignment/>
      <protection/>
    </xf>
    <xf numFmtId="0" fontId="28" fillId="17" borderId="0" xfId="0" applyFont="1" applyFill="1" applyBorder="1" applyAlignment="1" applyProtection="1">
      <alignment/>
      <protection/>
    </xf>
    <xf numFmtId="3" fontId="39" fillId="17" borderId="171" xfId="0" applyNumberFormat="1" applyFont="1" applyFill="1" applyBorder="1" applyAlignment="1" applyProtection="1">
      <alignment/>
      <protection/>
    </xf>
    <xf numFmtId="3" fontId="36" fillId="17" borderId="169" xfId="0" applyNumberFormat="1" applyFont="1" applyFill="1" applyBorder="1" applyAlignment="1" applyProtection="1">
      <alignment/>
      <protection/>
    </xf>
    <xf numFmtId="3" fontId="28" fillId="17" borderId="52" xfId="0" applyNumberFormat="1" applyFont="1" applyFill="1" applyBorder="1" applyAlignment="1" applyProtection="1">
      <alignment horizontal="left"/>
      <protection/>
    </xf>
    <xf numFmtId="3" fontId="28" fillId="17" borderId="170" xfId="0" applyNumberFormat="1" applyFont="1" applyFill="1" applyBorder="1" applyAlignment="1" applyProtection="1">
      <alignment horizontal="left"/>
      <protection/>
    </xf>
    <xf numFmtId="3" fontId="3" fillId="17" borderId="38" xfId="0" applyNumberFormat="1" applyFont="1" applyFill="1" applyBorder="1" applyAlignment="1" applyProtection="1">
      <alignment horizontal="right"/>
      <protection/>
    </xf>
    <xf numFmtId="3" fontId="39" fillId="17" borderId="79" xfId="0" applyNumberFormat="1" applyFont="1" applyFill="1" applyBorder="1" applyAlignment="1" applyProtection="1">
      <alignment/>
      <protection/>
    </xf>
    <xf numFmtId="9" fontId="39" fillId="17" borderId="97" xfId="0" applyNumberFormat="1" applyFont="1" applyFill="1" applyBorder="1" applyAlignment="1" applyProtection="1">
      <alignment/>
      <protection/>
    </xf>
    <xf numFmtId="3" fontId="28" fillId="17" borderId="170" xfId="53" applyNumberFormat="1" applyFont="1" applyFill="1" applyBorder="1" applyAlignment="1" applyProtection="1" quotePrefix="1">
      <alignment horizontal="left"/>
      <protection/>
    </xf>
    <xf numFmtId="3" fontId="28" fillId="17" borderId="171" xfId="53" applyNumberFormat="1" applyFont="1" applyFill="1" applyBorder="1" applyAlignment="1" applyProtection="1" quotePrefix="1">
      <alignment horizontal="left"/>
      <protection/>
    </xf>
    <xf numFmtId="3" fontId="37" fillId="17" borderId="166" xfId="0" applyNumberFormat="1" applyFont="1" applyFill="1" applyBorder="1" applyAlignment="1" applyProtection="1">
      <alignment/>
      <protection/>
    </xf>
    <xf numFmtId="3" fontId="39" fillId="17" borderId="171" xfId="56" applyNumberFormat="1" applyFont="1" applyFill="1" applyBorder="1" applyAlignment="1" applyProtection="1">
      <alignment horizontal="center"/>
      <protection/>
    </xf>
    <xf numFmtId="3" fontId="41" fillId="17" borderId="166" xfId="0" applyNumberFormat="1" applyFont="1" applyFill="1" applyBorder="1" applyAlignment="1" applyProtection="1">
      <alignment/>
      <protection/>
    </xf>
    <xf numFmtId="3" fontId="28" fillId="17" borderId="0" xfId="0" applyNumberFormat="1" applyFont="1" applyFill="1" applyBorder="1" applyAlignment="1" applyProtection="1">
      <alignment horizontal="left"/>
      <protection/>
    </xf>
    <xf numFmtId="0" fontId="28" fillId="17" borderId="170" xfId="0" applyFont="1" applyFill="1" applyBorder="1" applyAlignment="1" applyProtection="1">
      <alignment/>
      <protection/>
    </xf>
    <xf numFmtId="9" fontId="39" fillId="17" borderId="74" xfId="0" applyNumberFormat="1" applyFont="1" applyFill="1" applyBorder="1" applyAlignment="1" applyProtection="1">
      <alignment/>
      <protection/>
    </xf>
    <xf numFmtId="3" fontId="39" fillId="17" borderId="116" xfId="59" applyNumberFormat="1" applyFont="1" applyFill="1" applyBorder="1" applyAlignment="1" applyProtection="1">
      <alignment horizontal="center"/>
      <protection/>
    </xf>
    <xf numFmtId="3" fontId="39" fillId="17" borderId="14" xfId="0" applyNumberFormat="1" applyFont="1" applyFill="1" applyBorder="1" applyAlignment="1" applyProtection="1">
      <alignment/>
      <protection/>
    </xf>
    <xf numFmtId="9" fontId="39" fillId="17" borderId="15" xfId="0" applyNumberFormat="1" applyFont="1" applyFill="1" applyBorder="1" applyAlignment="1" applyProtection="1">
      <alignment/>
      <protection/>
    </xf>
    <xf numFmtId="3" fontId="39" fillId="17" borderId="13" xfId="0" applyNumberFormat="1" applyFont="1" applyFill="1" applyBorder="1" applyAlignment="1" applyProtection="1">
      <alignment/>
      <protection/>
    </xf>
    <xf numFmtId="3" fontId="39" fillId="17" borderId="93" xfId="0" applyNumberFormat="1" applyFont="1" applyFill="1" applyBorder="1" applyAlignment="1" applyProtection="1">
      <alignment/>
      <protection/>
    </xf>
    <xf numFmtId="9" fontId="39" fillId="17" borderId="12" xfId="0" applyNumberFormat="1" applyFont="1" applyFill="1" applyBorder="1" applyAlignment="1" applyProtection="1">
      <alignment/>
      <protection/>
    </xf>
    <xf numFmtId="3" fontId="37" fillId="17" borderId="105" xfId="0" applyNumberFormat="1" applyFont="1" applyFill="1" applyBorder="1" applyAlignment="1" applyProtection="1">
      <alignment/>
      <protection/>
    </xf>
    <xf numFmtId="3" fontId="38" fillId="17" borderId="167" xfId="0" applyNumberFormat="1" applyFont="1" applyFill="1" applyBorder="1" applyAlignment="1" applyProtection="1">
      <alignment/>
      <protection/>
    </xf>
    <xf numFmtId="3" fontId="87" fillId="17" borderId="167" xfId="0" applyNumberFormat="1" applyFont="1" applyFill="1" applyBorder="1" applyAlignment="1" applyProtection="1">
      <alignment/>
      <protection/>
    </xf>
    <xf numFmtId="3" fontId="87" fillId="17" borderId="189" xfId="0" applyNumberFormat="1" applyFont="1" applyFill="1" applyBorder="1" applyAlignment="1" applyProtection="1">
      <alignment/>
      <protection/>
    </xf>
    <xf numFmtId="3" fontId="3" fillId="46" borderId="116" xfId="0" applyNumberFormat="1" applyFont="1" applyFill="1" applyBorder="1" applyAlignment="1" applyProtection="1">
      <alignment horizontal="right"/>
      <protection/>
    </xf>
    <xf numFmtId="0" fontId="9" fillId="17" borderId="114" xfId="0" applyFont="1" applyFill="1" applyBorder="1" applyAlignment="1" applyProtection="1">
      <alignment/>
      <protection/>
    </xf>
    <xf numFmtId="0" fontId="9" fillId="17" borderId="110" xfId="0" applyFont="1" applyFill="1" applyBorder="1" applyAlignment="1" applyProtection="1">
      <alignment/>
      <protection/>
    </xf>
    <xf numFmtId="0" fontId="9" fillId="17" borderId="132" xfId="0" applyFont="1" applyFill="1" applyBorder="1" applyAlignment="1" applyProtection="1">
      <alignment/>
      <protection/>
    </xf>
    <xf numFmtId="0" fontId="9" fillId="17" borderId="133" xfId="0" applyFont="1" applyFill="1" applyBorder="1" applyAlignment="1" applyProtection="1">
      <alignment/>
      <protection/>
    </xf>
    <xf numFmtId="0" fontId="9" fillId="17" borderId="13" xfId="0" applyFont="1" applyFill="1" applyBorder="1" applyAlignment="1" applyProtection="1">
      <alignment/>
      <protection/>
    </xf>
    <xf numFmtId="0" fontId="9" fillId="17" borderId="78" xfId="0" applyFont="1" applyFill="1" applyBorder="1" applyAlignment="1" applyProtection="1">
      <alignment/>
      <protection/>
    </xf>
    <xf numFmtId="0" fontId="9" fillId="17" borderId="93" xfId="0" applyFont="1" applyFill="1" applyBorder="1" applyAlignment="1" applyProtection="1">
      <alignment/>
      <protection/>
    </xf>
    <xf numFmtId="0" fontId="9" fillId="17" borderId="60" xfId="0" applyFont="1" applyFill="1" applyBorder="1" applyAlignment="1" applyProtection="1">
      <alignment/>
      <protection/>
    </xf>
    <xf numFmtId="3" fontId="70" fillId="17" borderId="171" xfId="56" applyNumberFormat="1" applyFont="1" applyFill="1" applyBorder="1" applyAlignment="1" applyProtection="1">
      <alignment horizontal="center"/>
      <protection/>
    </xf>
    <xf numFmtId="0" fontId="28" fillId="17" borderId="0" xfId="0" applyFont="1" applyFill="1" applyBorder="1" applyAlignment="1" applyProtection="1">
      <alignment horizontal="right"/>
      <protection/>
    </xf>
    <xf numFmtId="3" fontId="4" fillId="17" borderId="84" xfId="0" applyNumberFormat="1" applyFont="1" applyFill="1" applyBorder="1" applyAlignment="1" applyProtection="1">
      <alignment/>
      <protection/>
    </xf>
    <xf numFmtId="3" fontId="9" fillId="17" borderId="92" xfId="0" applyNumberFormat="1" applyFont="1" applyFill="1" applyBorder="1" applyAlignment="1" applyProtection="1">
      <alignment/>
      <protection/>
    </xf>
    <xf numFmtId="3" fontId="3" fillId="17" borderId="77" xfId="0" applyNumberFormat="1" applyFont="1" applyFill="1" applyBorder="1" applyAlignment="1" applyProtection="1">
      <alignment/>
      <protection/>
    </xf>
    <xf numFmtId="3" fontId="4" fillId="17" borderId="36" xfId="0" applyNumberFormat="1" applyFont="1" applyFill="1" applyBorder="1" applyAlignment="1" applyProtection="1">
      <alignment/>
      <protection/>
    </xf>
    <xf numFmtId="3" fontId="9" fillId="17" borderId="166" xfId="0" applyNumberFormat="1" applyFont="1" applyFill="1" applyBorder="1" applyAlignment="1" applyProtection="1">
      <alignment/>
      <protection/>
    </xf>
    <xf numFmtId="3" fontId="3" fillId="17" borderId="52" xfId="0" applyNumberFormat="1" applyFont="1" applyFill="1" applyBorder="1" applyAlignment="1" applyProtection="1">
      <alignment/>
      <protection/>
    </xf>
    <xf numFmtId="3" fontId="4" fillId="17" borderId="190" xfId="0" applyNumberFormat="1" applyFont="1" applyFill="1" applyBorder="1" applyAlignment="1" applyProtection="1">
      <alignment/>
      <protection/>
    </xf>
    <xf numFmtId="3" fontId="9" fillId="17" borderId="191" xfId="0" applyNumberFormat="1" applyFont="1" applyFill="1" applyBorder="1" applyAlignment="1" applyProtection="1">
      <alignment/>
      <protection/>
    </xf>
    <xf numFmtId="3" fontId="3" fillId="17" borderId="192" xfId="0" applyNumberFormat="1" applyFont="1" applyFill="1" applyBorder="1" applyAlignment="1" applyProtection="1">
      <alignment/>
      <protection/>
    </xf>
    <xf numFmtId="3" fontId="4" fillId="17" borderId="193" xfId="0" applyNumberFormat="1" applyFont="1" applyFill="1" applyBorder="1" applyAlignment="1" applyProtection="1">
      <alignment/>
      <protection/>
    </xf>
    <xf numFmtId="3" fontId="9" fillId="17" borderId="94" xfId="0" applyNumberFormat="1" applyFont="1" applyFill="1" applyBorder="1" applyAlignment="1" applyProtection="1">
      <alignment/>
      <protection/>
    </xf>
    <xf numFmtId="3" fontId="3" fillId="17" borderId="94" xfId="0" applyNumberFormat="1" applyFont="1" applyFill="1" applyBorder="1" applyAlignment="1" applyProtection="1">
      <alignment/>
      <protection/>
    </xf>
    <xf numFmtId="3" fontId="3" fillId="17" borderId="24" xfId="0" applyNumberFormat="1" applyFont="1" applyFill="1" applyBorder="1" applyAlignment="1" applyProtection="1">
      <alignment/>
      <protection/>
    </xf>
    <xf numFmtId="3" fontId="87" fillId="17" borderId="0" xfId="0" applyNumberFormat="1" applyFont="1" applyFill="1" applyBorder="1" applyAlignment="1" applyProtection="1">
      <alignment/>
      <protection/>
    </xf>
    <xf numFmtId="9" fontId="39" fillId="17" borderId="12" xfId="0" applyNumberFormat="1" applyFont="1" applyFill="1" applyBorder="1" applyAlignment="1" applyProtection="1" quotePrefix="1">
      <alignment/>
      <protection/>
    </xf>
    <xf numFmtId="3" fontId="70" fillId="17" borderId="116" xfId="59" applyNumberFormat="1" applyFont="1" applyFill="1" applyBorder="1" applyAlignment="1" applyProtection="1">
      <alignment horizontal="center"/>
      <protection/>
    </xf>
    <xf numFmtId="3" fontId="39" fillId="17" borderId="11" xfId="0" applyNumberFormat="1" applyFont="1" applyFill="1" applyBorder="1" applyAlignment="1" applyProtection="1">
      <alignment/>
      <protection/>
    </xf>
    <xf numFmtId="3" fontId="28" fillId="17" borderId="0" xfId="0" applyNumberFormat="1" applyFont="1" applyFill="1" applyBorder="1" applyAlignment="1" applyProtection="1">
      <alignment/>
      <protection/>
    </xf>
    <xf numFmtId="3" fontId="3" fillId="17" borderId="37" xfId="0" applyNumberFormat="1" applyFont="1" applyFill="1" applyBorder="1" applyAlignment="1" applyProtection="1">
      <alignment horizontal="right"/>
      <protection/>
    </xf>
    <xf numFmtId="3" fontId="39" fillId="17" borderId="166" xfId="0" applyNumberFormat="1" applyFont="1" applyFill="1" applyBorder="1" applyAlignment="1" applyProtection="1">
      <alignment/>
      <protection/>
    </xf>
    <xf numFmtId="3" fontId="39" fillId="17" borderId="52" xfId="0" applyNumberFormat="1" applyFont="1" applyFill="1" applyBorder="1" applyAlignment="1" applyProtection="1">
      <alignment/>
      <protection/>
    </xf>
    <xf numFmtId="3" fontId="93" fillId="17" borderId="13" xfId="0" applyNumberFormat="1" applyFont="1" applyFill="1" applyBorder="1" applyAlignment="1" applyProtection="1">
      <alignment/>
      <protection/>
    </xf>
    <xf numFmtId="3" fontId="93" fillId="17" borderId="14" xfId="0" applyNumberFormat="1" applyFont="1" applyFill="1" applyBorder="1" applyAlignment="1" applyProtection="1">
      <alignment/>
      <protection/>
    </xf>
    <xf numFmtId="9" fontId="93" fillId="17" borderId="15" xfId="0" applyNumberFormat="1" applyFont="1" applyFill="1" applyBorder="1" applyAlignment="1" applyProtection="1">
      <alignment/>
      <protection/>
    </xf>
    <xf numFmtId="0" fontId="28" fillId="17" borderId="170" xfId="0" applyFont="1" applyFill="1" applyBorder="1" applyAlignment="1" applyProtection="1">
      <alignment vertical="center"/>
      <protection/>
    </xf>
    <xf numFmtId="3" fontId="39" fillId="17" borderId="17" xfId="0" applyNumberFormat="1" applyFont="1" applyFill="1" applyBorder="1" applyAlignment="1" applyProtection="1">
      <alignment/>
      <protection/>
    </xf>
    <xf numFmtId="3" fontId="3" fillId="42" borderId="37" xfId="0" applyNumberFormat="1" applyFont="1" applyFill="1" applyBorder="1" applyAlignment="1" applyProtection="1">
      <alignment horizontal="right"/>
      <protection/>
    </xf>
    <xf numFmtId="3" fontId="70" fillId="17" borderId="171" xfId="56" applyNumberFormat="1" applyFont="1" applyFill="1" applyBorder="1" applyAlignment="1" applyProtection="1">
      <alignment horizontal="center"/>
      <protection/>
    </xf>
    <xf numFmtId="3" fontId="13" fillId="17" borderId="166" xfId="0" applyNumberFormat="1" applyFont="1" applyFill="1" applyBorder="1" applyAlignment="1" applyProtection="1">
      <alignment/>
      <protection/>
    </xf>
    <xf numFmtId="3" fontId="38" fillId="17" borderId="13" xfId="0" applyNumberFormat="1" applyFont="1" applyFill="1" applyBorder="1" applyAlignment="1" applyProtection="1">
      <alignment/>
      <protection/>
    </xf>
    <xf numFmtId="3" fontId="38" fillId="17" borderId="93" xfId="0" applyNumberFormat="1" applyFont="1" applyFill="1" applyBorder="1" applyAlignment="1" applyProtection="1">
      <alignment/>
      <protection/>
    </xf>
    <xf numFmtId="3" fontId="87" fillId="17" borderId="93" xfId="0" applyNumberFormat="1" applyFont="1" applyFill="1" applyBorder="1" applyAlignment="1" applyProtection="1">
      <alignment/>
      <protection/>
    </xf>
    <xf numFmtId="3" fontId="87" fillId="17" borderId="78" xfId="0" applyNumberFormat="1" applyFont="1" applyFill="1" applyBorder="1" applyAlignment="1" applyProtection="1">
      <alignment/>
      <protection/>
    </xf>
    <xf numFmtId="3" fontId="42" fillId="17" borderId="11" xfId="0" applyNumberFormat="1" applyFont="1" applyFill="1" applyBorder="1" applyAlignment="1" applyProtection="1">
      <alignment horizontal="right"/>
      <protection/>
    </xf>
    <xf numFmtId="3" fontId="3" fillId="17" borderId="53" xfId="0" applyNumberFormat="1" applyFont="1" applyFill="1" applyBorder="1" applyAlignment="1" applyProtection="1">
      <alignment horizontal="right"/>
      <protection/>
    </xf>
    <xf numFmtId="3" fontId="39" fillId="17" borderId="105" xfId="0" applyNumberFormat="1" applyFont="1" applyFill="1" applyBorder="1" applyAlignment="1" applyProtection="1">
      <alignment/>
      <protection/>
    </xf>
    <xf numFmtId="3" fontId="39" fillId="17" borderId="167" xfId="0" applyNumberFormat="1" applyFont="1" applyFill="1" applyBorder="1" applyAlignment="1" applyProtection="1">
      <alignment/>
      <protection/>
    </xf>
    <xf numFmtId="9" fontId="39" fillId="17" borderId="83" xfId="0" applyNumberFormat="1" applyFont="1" applyFill="1" applyBorder="1" applyAlignment="1" applyProtection="1">
      <alignment/>
      <protection/>
    </xf>
    <xf numFmtId="3" fontId="39" fillId="17" borderId="116" xfId="56" applyNumberFormat="1" applyFont="1" applyFill="1" applyBorder="1" applyAlignment="1" applyProtection="1">
      <alignment horizontal="center"/>
      <protection/>
    </xf>
    <xf numFmtId="3" fontId="99" fillId="17" borderId="13" xfId="0" applyNumberFormat="1" applyFont="1" applyFill="1" applyBorder="1" applyAlignment="1" applyProtection="1">
      <alignment/>
      <protection/>
    </xf>
    <xf numFmtId="3" fontId="99" fillId="17" borderId="93" xfId="0" applyNumberFormat="1" applyFont="1" applyFill="1" applyBorder="1" applyAlignment="1" applyProtection="1">
      <alignment/>
      <protection/>
    </xf>
    <xf numFmtId="3" fontId="99" fillId="17" borderId="78" xfId="0" applyNumberFormat="1" applyFont="1" applyFill="1" applyBorder="1" applyAlignment="1" applyProtection="1">
      <alignment/>
      <protection/>
    </xf>
    <xf numFmtId="0" fontId="97" fillId="17" borderId="0" xfId="0" applyFont="1" applyFill="1" applyBorder="1" applyAlignment="1" applyProtection="1">
      <alignment/>
      <protection/>
    </xf>
    <xf numFmtId="3" fontId="98" fillId="17" borderId="171" xfId="56" applyNumberFormat="1" applyFont="1" applyFill="1" applyBorder="1" applyAlignment="1" applyProtection="1">
      <alignment horizontal="center"/>
      <protection/>
    </xf>
    <xf numFmtId="3" fontId="43" fillId="17" borderId="13" xfId="0" applyNumberFormat="1" applyFont="1" applyFill="1" applyBorder="1" applyAlignment="1" applyProtection="1">
      <alignment/>
      <protection/>
    </xf>
    <xf numFmtId="3" fontId="39" fillId="17" borderId="194" xfId="56" applyNumberFormat="1" applyFont="1" applyFill="1" applyBorder="1" applyAlignment="1" applyProtection="1">
      <alignment horizontal="center"/>
      <protection/>
    </xf>
    <xf numFmtId="0" fontId="2" fillId="17" borderId="142" xfId="0" applyFont="1" applyFill="1" applyBorder="1" applyAlignment="1" applyProtection="1">
      <alignment/>
      <protection/>
    </xf>
    <xf numFmtId="0" fontId="2" fillId="17" borderId="178" xfId="0" applyFont="1" applyFill="1" applyBorder="1" applyAlignment="1" applyProtection="1">
      <alignment/>
      <protection/>
    </xf>
    <xf numFmtId="3" fontId="43" fillId="17" borderId="195" xfId="0" applyNumberFormat="1" applyFont="1" applyFill="1" applyBorder="1" applyAlignment="1" applyProtection="1">
      <alignment/>
      <protection/>
    </xf>
    <xf numFmtId="3" fontId="38" fillId="17" borderId="79" xfId="0" applyNumberFormat="1" applyFont="1" applyFill="1" applyBorder="1" applyAlignment="1" applyProtection="1">
      <alignment/>
      <protection/>
    </xf>
    <xf numFmtId="3" fontId="87" fillId="17" borderId="79" xfId="0" applyNumberFormat="1" applyFont="1" applyFill="1" applyBorder="1" applyAlignment="1" applyProtection="1">
      <alignment/>
      <protection/>
    </xf>
    <xf numFmtId="3" fontId="87" fillId="17" borderId="111" xfId="0" applyNumberFormat="1" applyFont="1" applyFill="1" applyBorder="1" applyAlignment="1" applyProtection="1">
      <alignment/>
      <protection/>
    </xf>
    <xf numFmtId="0" fontId="28" fillId="17" borderId="0" xfId="56" applyFont="1" applyFill="1" applyBorder="1" applyProtection="1">
      <alignment/>
      <protection/>
    </xf>
    <xf numFmtId="3" fontId="38" fillId="17" borderId="105" xfId="0" applyNumberFormat="1" applyFont="1" applyFill="1" applyBorder="1" applyAlignment="1" applyProtection="1">
      <alignment/>
      <protection/>
    </xf>
    <xf numFmtId="3" fontId="38" fillId="17" borderId="196" xfId="0" applyNumberFormat="1" applyFont="1" applyFill="1" applyBorder="1" applyAlignment="1" applyProtection="1">
      <alignment/>
      <protection/>
    </xf>
    <xf numFmtId="3" fontId="38" fillId="17" borderId="49" xfId="0" applyNumberFormat="1" applyFont="1" applyFill="1" applyBorder="1" applyAlignment="1" applyProtection="1">
      <alignment/>
      <protection/>
    </xf>
    <xf numFmtId="3" fontId="87" fillId="17" borderId="49" xfId="0" applyNumberFormat="1" applyFont="1" applyFill="1" applyBorder="1" applyAlignment="1" applyProtection="1">
      <alignment/>
      <protection/>
    </xf>
    <xf numFmtId="0" fontId="28" fillId="17" borderId="197" xfId="0" applyFont="1" applyFill="1" applyBorder="1" applyAlignment="1" applyProtection="1">
      <alignment/>
      <protection/>
    </xf>
    <xf numFmtId="3" fontId="39" fillId="17" borderId="198" xfId="0" applyNumberFormat="1" applyFont="1" applyFill="1" applyBorder="1" applyAlignment="1" applyProtection="1">
      <alignment/>
      <protection/>
    </xf>
    <xf numFmtId="3" fontId="4" fillId="17" borderId="39" xfId="0" applyNumberFormat="1" applyFont="1" applyFill="1" applyBorder="1" applyAlignment="1" applyProtection="1">
      <alignment horizontal="center"/>
      <protection/>
    </xf>
    <xf numFmtId="3" fontId="4" fillId="17" borderId="57" xfId="0" applyNumberFormat="1" applyFont="1" applyFill="1" applyBorder="1" applyAlignment="1" applyProtection="1">
      <alignment/>
      <protection/>
    </xf>
    <xf numFmtId="3" fontId="4" fillId="17" borderId="56" xfId="0" applyNumberFormat="1" applyFont="1" applyFill="1" applyBorder="1" applyAlignment="1" applyProtection="1">
      <alignment horizontal="left" vertical="top" wrapText="1"/>
      <protection/>
    </xf>
    <xf numFmtId="3" fontId="4" fillId="17" borderId="177" xfId="0" applyNumberFormat="1" applyFont="1" applyFill="1" applyBorder="1" applyAlignment="1" applyProtection="1">
      <alignment horizontal="left" vertical="top" wrapText="1"/>
      <protection/>
    </xf>
    <xf numFmtId="3" fontId="4" fillId="17" borderId="199" xfId="0" applyNumberFormat="1" applyFont="1" applyFill="1" applyBorder="1" applyAlignment="1" applyProtection="1">
      <alignment horizontal="center"/>
      <protection/>
    </xf>
    <xf numFmtId="3" fontId="4" fillId="17" borderId="38" xfId="0" applyNumberFormat="1" applyFont="1" applyFill="1" applyBorder="1" applyAlignment="1" applyProtection="1">
      <alignment horizontal="center"/>
      <protection/>
    </xf>
    <xf numFmtId="3" fontId="4" fillId="17" borderId="190" xfId="0" applyNumberFormat="1" applyFont="1" applyFill="1" applyBorder="1" applyAlignment="1" applyProtection="1">
      <alignment/>
      <protection/>
    </xf>
    <xf numFmtId="3" fontId="4" fillId="17" borderId="200" xfId="0" applyNumberFormat="1" applyFont="1" applyFill="1" applyBorder="1" applyAlignment="1" applyProtection="1">
      <alignment/>
      <protection/>
    </xf>
    <xf numFmtId="3" fontId="4" fillId="17" borderId="192" xfId="0" applyNumberFormat="1" applyFont="1" applyFill="1" applyBorder="1" applyAlignment="1" applyProtection="1">
      <alignment/>
      <protection/>
    </xf>
    <xf numFmtId="3" fontId="4" fillId="17" borderId="53" xfId="0" applyNumberFormat="1" applyFont="1" applyFill="1" applyBorder="1" applyAlignment="1" applyProtection="1">
      <alignment horizontal="center"/>
      <protection/>
    </xf>
    <xf numFmtId="3" fontId="6" fillId="17" borderId="88" xfId="0" applyNumberFormat="1" applyFont="1" applyFill="1" applyBorder="1" applyAlignment="1" applyProtection="1">
      <alignment/>
      <protection/>
    </xf>
    <xf numFmtId="3" fontId="4" fillId="17" borderId="89" xfId="0" applyNumberFormat="1" applyFont="1" applyFill="1" applyBorder="1" applyAlignment="1" applyProtection="1">
      <alignment/>
      <protection/>
    </xf>
    <xf numFmtId="3" fontId="4" fillId="17" borderId="189" xfId="0" applyNumberFormat="1" applyFont="1" applyFill="1" applyBorder="1" applyAlignment="1" applyProtection="1">
      <alignment/>
      <protection/>
    </xf>
    <xf numFmtId="3" fontId="4" fillId="17" borderId="201" xfId="0" applyNumberFormat="1" applyFont="1" applyFill="1" applyBorder="1" applyAlignment="1" applyProtection="1">
      <alignment vertical="center"/>
      <protection/>
    </xf>
    <xf numFmtId="3" fontId="4" fillId="17" borderId="201" xfId="0" applyNumberFormat="1" applyFont="1" applyFill="1" applyBorder="1" applyAlignment="1" applyProtection="1">
      <alignment/>
      <protection/>
    </xf>
    <xf numFmtId="3" fontId="4" fillId="17" borderId="134" xfId="0" applyNumberFormat="1" applyFont="1" applyFill="1" applyBorder="1" applyAlignment="1" applyProtection="1">
      <alignment vertical="center"/>
      <protection/>
    </xf>
    <xf numFmtId="3" fontId="4" fillId="17" borderId="86" xfId="0" applyNumberFormat="1" applyFont="1" applyFill="1" applyBorder="1" applyAlignment="1" applyProtection="1">
      <alignment/>
      <protection/>
    </xf>
    <xf numFmtId="3" fontId="4" fillId="17" borderId="106" xfId="0" applyNumberFormat="1" applyFont="1" applyFill="1" applyBorder="1" applyAlignment="1" applyProtection="1">
      <alignment/>
      <protection/>
    </xf>
    <xf numFmtId="3" fontId="4" fillId="17" borderId="202" xfId="0" applyNumberFormat="1" applyFont="1" applyFill="1" applyBorder="1" applyAlignment="1" applyProtection="1">
      <alignment/>
      <protection/>
    </xf>
    <xf numFmtId="3" fontId="4" fillId="17" borderId="62" xfId="0" applyNumberFormat="1" applyFont="1" applyFill="1" applyBorder="1" applyAlignment="1" applyProtection="1">
      <alignment/>
      <protection/>
    </xf>
    <xf numFmtId="3" fontId="4" fillId="17" borderId="52" xfId="0" applyNumberFormat="1" applyFont="1" applyFill="1" applyBorder="1" applyAlignment="1" applyProtection="1">
      <alignment/>
      <protection/>
    </xf>
    <xf numFmtId="3" fontId="4" fillId="17" borderId="134" xfId="0" applyNumberFormat="1" applyFont="1" applyFill="1" applyBorder="1" applyAlignment="1" applyProtection="1">
      <alignment/>
      <protection/>
    </xf>
    <xf numFmtId="3" fontId="4" fillId="17" borderId="134" xfId="0" applyNumberFormat="1" applyFont="1" applyFill="1" applyBorder="1" applyAlignment="1" applyProtection="1">
      <alignment/>
      <protection/>
    </xf>
    <xf numFmtId="3" fontId="4" fillId="17" borderId="89" xfId="0" applyNumberFormat="1" applyFont="1" applyFill="1" applyBorder="1" applyAlignment="1" applyProtection="1">
      <alignment/>
      <protection/>
    </xf>
    <xf numFmtId="3" fontId="4" fillId="17" borderId="189" xfId="0" applyNumberFormat="1" applyFont="1" applyFill="1" applyBorder="1" applyAlignment="1" applyProtection="1">
      <alignment/>
      <protection/>
    </xf>
    <xf numFmtId="0" fontId="4" fillId="17" borderId="76" xfId="0" applyFont="1" applyFill="1" applyBorder="1" applyAlignment="1" applyProtection="1">
      <alignment/>
      <protection/>
    </xf>
    <xf numFmtId="0" fontId="4" fillId="17" borderId="203" xfId="0" applyFont="1" applyFill="1" applyBorder="1" applyAlignment="1" applyProtection="1">
      <alignment vertical="top" wrapText="1"/>
      <protection/>
    </xf>
    <xf numFmtId="0" fontId="4" fillId="17" borderId="148" xfId="0" applyFont="1" applyFill="1" applyBorder="1" applyAlignment="1" applyProtection="1">
      <alignment horizontal="left" vertical="top" wrapText="1"/>
      <protection/>
    </xf>
    <xf numFmtId="0" fontId="4" fillId="17" borderId="124" xfId="0" applyFont="1" applyFill="1" applyBorder="1" applyAlignment="1" applyProtection="1">
      <alignment horizontal="left" vertical="top" wrapText="1"/>
      <protection/>
    </xf>
    <xf numFmtId="0" fontId="4" fillId="17" borderId="94" xfId="0" applyFont="1" applyFill="1" applyBorder="1" applyAlignment="1" applyProtection="1">
      <alignment horizontal="left" vertical="top" wrapText="1"/>
      <protection/>
    </xf>
    <xf numFmtId="0" fontId="4" fillId="17" borderId="203" xfId="0" applyFont="1" applyFill="1" applyBorder="1" applyAlignment="1" applyProtection="1">
      <alignment horizontal="left" vertical="top" wrapText="1"/>
      <protection/>
    </xf>
    <xf numFmtId="0" fontId="4" fillId="17" borderId="67" xfId="0" applyFont="1" applyFill="1" applyBorder="1" applyAlignment="1" applyProtection="1">
      <alignment/>
      <protection/>
    </xf>
    <xf numFmtId="0" fontId="8" fillId="17" borderId="73" xfId="0" applyFont="1" applyFill="1" applyBorder="1" applyAlignment="1" applyProtection="1">
      <alignment/>
      <protection/>
    </xf>
    <xf numFmtId="0" fontId="4" fillId="17" borderId="52" xfId="0" applyFont="1" applyFill="1" applyBorder="1" applyAlignment="1" applyProtection="1">
      <alignment/>
      <protection/>
    </xf>
    <xf numFmtId="0" fontId="4" fillId="17" borderId="138" xfId="0" applyFont="1" applyFill="1" applyBorder="1" applyAlignment="1" applyProtection="1">
      <alignment horizontal="left" vertical="top" wrapText="1"/>
      <protection/>
    </xf>
    <xf numFmtId="0" fontId="4" fillId="17" borderId="137" xfId="0" applyFont="1" applyFill="1" applyBorder="1" applyAlignment="1" applyProtection="1">
      <alignment/>
      <protection/>
    </xf>
    <xf numFmtId="0" fontId="6" fillId="17" borderId="137" xfId="0" applyFont="1" applyFill="1" applyBorder="1" applyAlignment="1" applyProtection="1">
      <alignment/>
      <protection/>
    </xf>
    <xf numFmtId="0" fontId="4" fillId="17" borderId="25" xfId="0" applyFont="1" applyFill="1" applyBorder="1" applyAlignment="1" applyProtection="1">
      <alignment/>
      <protection/>
    </xf>
    <xf numFmtId="0" fontId="4" fillId="17" borderId="77" xfId="0" applyFont="1" applyFill="1" applyBorder="1" applyAlignment="1" applyProtection="1">
      <alignment/>
      <protection/>
    </xf>
    <xf numFmtId="0" fontId="4" fillId="17" borderId="141" xfId="0" applyFont="1" applyFill="1" applyBorder="1" applyAlignment="1" applyProtection="1">
      <alignment/>
      <protection/>
    </xf>
    <xf numFmtId="0" fontId="4" fillId="17" borderId="157" xfId="0" applyFont="1" applyFill="1" applyBorder="1" applyAlignment="1" applyProtection="1">
      <alignment/>
      <protection/>
    </xf>
    <xf numFmtId="0" fontId="4" fillId="17" borderId="125" xfId="0" applyFont="1" applyFill="1" applyBorder="1" applyAlignment="1" applyProtection="1">
      <alignment/>
      <protection/>
    </xf>
    <xf numFmtId="0" fontId="40" fillId="17" borderId="74" xfId="0" applyFont="1" applyFill="1" applyBorder="1" applyAlignment="1" applyProtection="1">
      <alignment/>
      <protection/>
    </xf>
    <xf numFmtId="0" fontId="6" fillId="17" borderId="25" xfId="0" applyFont="1" applyFill="1" applyBorder="1" applyAlignment="1" applyProtection="1">
      <alignment/>
      <protection/>
    </xf>
    <xf numFmtId="49" fontId="8" fillId="17" borderId="137" xfId="0" applyNumberFormat="1" applyFont="1" applyFill="1" applyBorder="1" applyAlignment="1" applyProtection="1">
      <alignment horizontal="left"/>
      <protection/>
    </xf>
    <xf numFmtId="3" fontId="29" fillId="17" borderId="24" xfId="0" applyNumberFormat="1" applyFont="1" applyFill="1" applyBorder="1" applyAlignment="1" applyProtection="1">
      <alignment/>
      <protection/>
    </xf>
    <xf numFmtId="3" fontId="29" fillId="17" borderId="63" xfId="0" applyNumberFormat="1" applyFont="1" applyFill="1" applyBorder="1" applyAlignment="1" applyProtection="1">
      <alignment/>
      <protection/>
    </xf>
    <xf numFmtId="49" fontId="6" fillId="17" borderId="166" xfId="0" applyNumberFormat="1" applyFont="1" applyFill="1" applyBorder="1" applyAlignment="1" applyProtection="1">
      <alignment/>
      <protection/>
    </xf>
    <xf numFmtId="49" fontId="6" fillId="17" borderId="0" xfId="0" applyNumberFormat="1" applyFont="1" applyFill="1" applyBorder="1" applyAlignment="1" applyProtection="1">
      <alignment/>
      <protection/>
    </xf>
    <xf numFmtId="49" fontId="6" fillId="17" borderId="136" xfId="0" applyNumberFormat="1" applyFont="1" applyFill="1" applyBorder="1" applyAlignment="1" applyProtection="1">
      <alignment/>
      <protection/>
    </xf>
    <xf numFmtId="49" fontId="6" fillId="17" borderId="36" xfId="0" applyNumberFormat="1" applyFont="1" applyFill="1" applyBorder="1" applyAlignment="1" applyProtection="1">
      <alignment/>
      <protection/>
    </xf>
    <xf numFmtId="3" fontId="3" fillId="17" borderId="24" xfId="0" applyNumberFormat="1" applyFont="1" applyFill="1" applyBorder="1" applyAlignment="1" applyProtection="1">
      <alignment horizontal="right"/>
      <protection/>
    </xf>
    <xf numFmtId="3" fontId="10" fillId="17" borderId="24" xfId="0" applyNumberFormat="1" applyFont="1" applyFill="1" applyBorder="1" applyAlignment="1" applyProtection="1">
      <alignment/>
      <protection/>
    </xf>
    <xf numFmtId="3" fontId="10" fillId="17" borderId="63" xfId="0" applyNumberFormat="1" applyFont="1" applyFill="1" applyBorder="1" applyAlignment="1" applyProtection="1">
      <alignment/>
      <protection/>
    </xf>
    <xf numFmtId="3" fontId="10" fillId="17" borderId="0" xfId="0" applyNumberFormat="1" applyFont="1" applyFill="1" applyBorder="1" applyAlignment="1" applyProtection="1">
      <alignment/>
      <protection/>
    </xf>
    <xf numFmtId="49" fontId="4" fillId="17" borderId="49" xfId="0" applyNumberFormat="1" applyFont="1" applyFill="1" applyBorder="1" applyAlignment="1" applyProtection="1">
      <alignment/>
      <protection/>
    </xf>
    <xf numFmtId="49" fontId="6" fillId="17" borderId="20" xfId="0" applyNumberFormat="1" applyFont="1" applyFill="1" applyBorder="1" applyAlignment="1" applyProtection="1">
      <alignment/>
      <protection/>
    </xf>
    <xf numFmtId="3" fontId="29" fillId="17" borderId="67" xfId="0" applyNumberFormat="1" applyFont="1" applyFill="1" applyBorder="1" applyAlignment="1" applyProtection="1">
      <alignment/>
      <protection/>
    </xf>
    <xf numFmtId="49" fontId="6" fillId="17" borderId="64" xfId="0" applyNumberFormat="1" applyFont="1" applyFill="1" applyBorder="1" applyAlignment="1" applyProtection="1">
      <alignment/>
      <protection/>
    </xf>
    <xf numFmtId="3" fontId="29" fillId="17" borderId="0" xfId="0" applyNumberFormat="1" applyFont="1" applyFill="1" applyBorder="1" applyAlignment="1" applyProtection="1">
      <alignment/>
      <protection/>
    </xf>
    <xf numFmtId="3" fontId="3" fillId="17" borderId="141" xfId="0" applyNumberFormat="1" applyFont="1" applyFill="1" applyBorder="1" applyAlignment="1" applyProtection="1">
      <alignment horizontal="right"/>
      <protection/>
    </xf>
    <xf numFmtId="49" fontId="6" fillId="17" borderId="49" xfId="0" applyNumberFormat="1" applyFont="1" applyFill="1" applyBorder="1" applyAlignment="1" applyProtection="1">
      <alignment/>
      <protection/>
    </xf>
    <xf numFmtId="3" fontId="29" fillId="17" borderId="64" xfId="0" applyNumberFormat="1" applyFont="1" applyFill="1" applyBorder="1" applyAlignment="1" applyProtection="1">
      <alignment/>
      <protection/>
    </xf>
    <xf numFmtId="49" fontId="6" fillId="17" borderId="196" xfId="0" applyNumberFormat="1" applyFont="1" applyFill="1" applyBorder="1" applyAlignment="1" applyProtection="1">
      <alignment/>
      <protection/>
    </xf>
    <xf numFmtId="49" fontId="6" fillId="17" borderId="66" xfId="0" applyNumberFormat="1" applyFont="1" applyFill="1" applyBorder="1" applyAlignment="1" applyProtection="1">
      <alignment/>
      <protection/>
    </xf>
    <xf numFmtId="3" fontId="29" fillId="17" borderId="24" xfId="0" applyNumberFormat="1" applyFont="1" applyFill="1" applyBorder="1" applyAlignment="1" applyProtection="1">
      <alignment/>
      <protection/>
    </xf>
    <xf numFmtId="49" fontId="6" fillId="17" borderId="79" xfId="0" applyNumberFormat="1" applyFont="1" applyFill="1" applyBorder="1" applyAlignment="1" applyProtection="1">
      <alignment/>
      <protection/>
    </xf>
    <xf numFmtId="3" fontId="3" fillId="47" borderId="26" xfId="0" applyNumberFormat="1" applyFont="1" applyFill="1" applyBorder="1" applyAlignment="1" applyProtection="1">
      <alignment horizontal="right"/>
      <protection/>
    </xf>
    <xf numFmtId="49" fontId="4" fillId="17" borderId="147" xfId="0" applyNumberFormat="1" applyFont="1" applyFill="1" applyBorder="1" applyAlignment="1" applyProtection="1">
      <alignment horizontal="left"/>
      <protection/>
    </xf>
    <xf numFmtId="0" fontId="6" fillId="17" borderId="77" xfId="0" applyFont="1" applyFill="1" applyBorder="1" applyAlignment="1" applyProtection="1">
      <alignment/>
      <protection/>
    </xf>
    <xf numFmtId="49" fontId="4" fillId="17" borderId="31" xfId="0" applyNumberFormat="1" applyFont="1" applyFill="1" applyBorder="1" applyAlignment="1" applyProtection="1">
      <alignment horizontal="left"/>
      <protection/>
    </xf>
    <xf numFmtId="49" fontId="4" fillId="17" borderId="106" xfId="0" applyNumberFormat="1" applyFont="1" applyFill="1" applyBorder="1" applyAlignment="1" applyProtection="1">
      <alignment/>
      <protection/>
    </xf>
    <xf numFmtId="49" fontId="4" fillId="17" borderId="106" xfId="0" applyNumberFormat="1" applyFont="1" applyFill="1" applyBorder="1" applyAlignment="1" applyProtection="1">
      <alignment wrapText="1"/>
      <protection/>
    </xf>
    <xf numFmtId="49" fontId="4" fillId="17" borderId="30" xfId="0" applyNumberFormat="1" applyFont="1" applyFill="1" applyBorder="1" applyAlignment="1" applyProtection="1">
      <alignment horizontal="left"/>
      <protection/>
    </xf>
    <xf numFmtId="49" fontId="4" fillId="17" borderId="62" xfId="0" applyNumberFormat="1" applyFont="1" applyFill="1" applyBorder="1" applyAlignment="1" applyProtection="1">
      <alignment wrapText="1"/>
      <protection/>
    </xf>
    <xf numFmtId="49" fontId="4" fillId="17" borderId="32" xfId="0" applyNumberFormat="1" applyFont="1" applyFill="1" applyBorder="1" applyAlignment="1" applyProtection="1">
      <alignment horizontal="left"/>
      <protection/>
    </xf>
    <xf numFmtId="0" fontId="6" fillId="17" borderId="56" xfId="0" applyFont="1" applyFill="1" applyBorder="1" applyAlignment="1" applyProtection="1">
      <alignment/>
      <protection/>
    </xf>
    <xf numFmtId="49" fontId="4" fillId="17" borderId="87" xfId="0" applyNumberFormat="1" applyFont="1" applyFill="1" applyBorder="1" applyAlignment="1" applyProtection="1">
      <alignment/>
      <protection/>
    </xf>
    <xf numFmtId="49" fontId="4" fillId="17" borderId="87" xfId="0" applyNumberFormat="1" applyFont="1" applyFill="1" applyBorder="1" applyAlignment="1" applyProtection="1">
      <alignment wrapText="1"/>
      <protection/>
    </xf>
    <xf numFmtId="49" fontId="4" fillId="17" borderId="78" xfId="0" applyNumberFormat="1" applyFont="1" applyFill="1" applyBorder="1" applyAlignment="1" applyProtection="1">
      <alignment wrapText="1"/>
      <protection/>
    </xf>
    <xf numFmtId="0" fontId="6" fillId="17" borderId="177" xfId="0" applyFont="1" applyFill="1" applyBorder="1" applyAlignment="1" applyProtection="1">
      <alignment/>
      <protection/>
    </xf>
    <xf numFmtId="49" fontId="4" fillId="17" borderId="62" xfId="0" applyNumberFormat="1" applyFont="1" applyFill="1" applyBorder="1" applyAlignment="1" applyProtection="1">
      <alignment/>
      <protection/>
    </xf>
    <xf numFmtId="49" fontId="4" fillId="17" borderId="20" xfId="0" applyNumberFormat="1" applyFont="1" applyFill="1" applyBorder="1" applyAlignment="1" applyProtection="1">
      <alignment wrapText="1"/>
      <protection/>
    </xf>
    <xf numFmtId="49" fontId="4" fillId="17" borderId="15" xfId="0" applyNumberFormat="1" applyFont="1" applyFill="1" applyBorder="1" applyAlignment="1" applyProtection="1">
      <alignment wrapText="1"/>
      <protection/>
    </xf>
    <xf numFmtId="49" fontId="4" fillId="17" borderId="12" xfId="0" applyNumberFormat="1" applyFont="1" applyFill="1" applyBorder="1" applyAlignment="1" applyProtection="1">
      <alignment wrapText="1"/>
      <protection/>
    </xf>
    <xf numFmtId="49" fontId="4" fillId="17" borderId="74" xfId="0" applyNumberFormat="1" applyFont="1" applyFill="1" applyBorder="1" applyAlignment="1" applyProtection="1">
      <alignment wrapText="1"/>
      <protection/>
    </xf>
    <xf numFmtId="0" fontId="6" fillId="17" borderId="204" xfId="0" applyFont="1" applyFill="1" applyBorder="1" applyAlignment="1" applyProtection="1">
      <alignment/>
      <protection/>
    </xf>
    <xf numFmtId="49" fontId="4" fillId="17" borderId="21" xfId="0" applyNumberFormat="1" applyFont="1" applyFill="1" applyBorder="1" applyAlignment="1" applyProtection="1">
      <alignment/>
      <protection/>
    </xf>
    <xf numFmtId="49" fontId="4" fillId="17" borderId="61" xfId="0" applyNumberFormat="1" applyFont="1" applyFill="1" applyBorder="1" applyAlignment="1" applyProtection="1">
      <alignment/>
      <protection/>
    </xf>
    <xf numFmtId="49" fontId="4" fillId="17" borderId="61" xfId="0" applyNumberFormat="1" applyFont="1" applyFill="1" applyBorder="1" applyAlignment="1" applyProtection="1">
      <alignment wrapText="1"/>
      <protection/>
    </xf>
    <xf numFmtId="49" fontId="4" fillId="17" borderId="15" xfId="58" applyNumberFormat="1" applyFont="1" applyFill="1" applyBorder="1" applyAlignment="1" applyProtection="1">
      <alignment/>
      <protection/>
    </xf>
    <xf numFmtId="49" fontId="4" fillId="17" borderId="144" xfId="0" applyNumberFormat="1" applyFont="1" applyFill="1" applyBorder="1" applyAlignment="1" applyProtection="1">
      <alignment horizontal="left"/>
      <protection/>
    </xf>
    <xf numFmtId="49" fontId="4" fillId="17" borderId="182" xfId="58" applyNumberFormat="1" applyFont="1" applyFill="1" applyBorder="1" applyAlignment="1" applyProtection="1">
      <alignment/>
      <protection/>
    </xf>
    <xf numFmtId="49" fontId="4" fillId="17" borderId="137" xfId="0" applyNumberFormat="1" applyFont="1" applyFill="1" applyBorder="1" applyAlignment="1" applyProtection="1">
      <alignment horizontal="left"/>
      <protection/>
    </xf>
    <xf numFmtId="49" fontId="4" fillId="17" borderId="63" xfId="58" applyNumberFormat="1" applyFont="1" applyFill="1" applyBorder="1" applyAlignment="1" applyProtection="1">
      <alignment/>
      <protection/>
    </xf>
    <xf numFmtId="49" fontId="4" fillId="17" borderId="180" xfId="58" applyNumberFormat="1" applyFont="1" applyFill="1" applyBorder="1" applyAlignment="1" applyProtection="1">
      <alignment/>
      <protection/>
    </xf>
    <xf numFmtId="49" fontId="4" fillId="17" borderId="74" xfId="58" applyNumberFormat="1" applyFont="1" applyFill="1" applyBorder="1" applyAlignment="1" applyProtection="1">
      <alignment/>
      <protection/>
    </xf>
    <xf numFmtId="49" fontId="4" fillId="17" borderId="15" xfId="0" applyNumberFormat="1" applyFont="1" applyFill="1" applyBorder="1" applyAlignment="1" applyProtection="1">
      <alignment/>
      <protection/>
    </xf>
    <xf numFmtId="49" fontId="4" fillId="17" borderId="106" xfId="58" applyNumberFormat="1" applyFont="1" applyFill="1" applyBorder="1" applyAlignment="1" applyProtection="1">
      <alignment/>
      <protection/>
    </xf>
    <xf numFmtId="49" fontId="4" fillId="17" borderId="33" xfId="0" applyNumberFormat="1" applyFont="1" applyFill="1" applyBorder="1" applyAlignment="1" applyProtection="1">
      <alignment horizontal="left"/>
      <protection/>
    </xf>
    <xf numFmtId="49" fontId="4" fillId="17" borderId="83" xfId="58" applyNumberFormat="1" applyFont="1" applyFill="1" applyBorder="1" applyAlignment="1" applyProtection="1">
      <alignment/>
      <protection/>
    </xf>
    <xf numFmtId="49" fontId="4" fillId="17" borderId="21" xfId="58" applyNumberFormat="1" applyFont="1" applyFill="1" applyBorder="1" applyAlignment="1" applyProtection="1">
      <alignment/>
      <protection/>
    </xf>
    <xf numFmtId="0" fontId="4" fillId="17" borderId="110" xfId="0" applyFont="1" applyFill="1" applyBorder="1" applyAlignment="1" applyProtection="1">
      <alignment wrapText="1"/>
      <protection/>
    </xf>
    <xf numFmtId="0" fontId="4" fillId="17" borderId="0" xfId="0" applyFont="1" applyFill="1" applyBorder="1" applyAlignment="1" applyProtection="1">
      <alignment horizontal="center"/>
      <protection/>
    </xf>
    <xf numFmtId="0" fontId="4" fillId="17" borderId="184" xfId="0" applyFont="1" applyFill="1" applyBorder="1" applyAlignment="1" applyProtection="1">
      <alignment horizontal="center"/>
      <protection/>
    </xf>
    <xf numFmtId="0" fontId="4" fillId="17" borderId="52" xfId="0" applyFont="1" applyFill="1" applyBorder="1" applyAlignment="1" applyProtection="1">
      <alignment horizontal="center"/>
      <protection/>
    </xf>
    <xf numFmtId="3" fontId="39" fillId="42" borderId="205" xfId="0" applyNumberFormat="1" applyFont="1" applyFill="1" applyBorder="1" applyAlignment="1" applyProtection="1">
      <alignment/>
      <protection/>
    </xf>
    <xf numFmtId="3" fontId="39" fillId="17" borderId="128" xfId="0" applyNumberFormat="1" applyFont="1" applyFill="1" applyBorder="1" applyAlignment="1" applyProtection="1">
      <alignment/>
      <protection/>
    </xf>
    <xf numFmtId="9" fontId="39" fillId="17" borderId="128" xfId="59" applyNumberFormat="1" applyFont="1" applyFill="1" applyBorder="1" applyAlignment="1" applyProtection="1">
      <alignment/>
      <protection/>
    </xf>
    <xf numFmtId="3" fontId="4" fillId="17" borderId="64" xfId="0" applyNumberFormat="1" applyFont="1" applyFill="1" applyBorder="1" applyAlignment="1" applyProtection="1">
      <alignment/>
      <protection/>
    </xf>
    <xf numFmtId="3" fontId="39" fillId="42" borderId="38" xfId="0" applyNumberFormat="1" applyFont="1" applyFill="1" applyBorder="1" applyAlignment="1" applyProtection="1">
      <alignment/>
      <protection/>
    </xf>
    <xf numFmtId="3" fontId="39" fillId="17" borderId="134" xfId="0" applyNumberFormat="1" applyFont="1" applyFill="1" applyBorder="1" applyAlignment="1" applyProtection="1">
      <alignment/>
      <protection/>
    </xf>
    <xf numFmtId="9" fontId="39" fillId="17" borderId="134" xfId="59" applyNumberFormat="1" applyFont="1" applyFill="1" applyBorder="1" applyAlignment="1" applyProtection="1">
      <alignment/>
      <protection/>
    </xf>
    <xf numFmtId="0" fontId="9" fillId="17" borderId="0" xfId="0" applyFont="1" applyFill="1" applyBorder="1" applyAlignment="1" applyProtection="1">
      <alignment/>
      <protection/>
    </xf>
    <xf numFmtId="0" fontId="3" fillId="17" borderId="49" xfId="0" applyFont="1" applyFill="1" applyBorder="1" applyAlignment="1" applyProtection="1">
      <alignment/>
      <protection/>
    </xf>
    <xf numFmtId="3" fontId="39" fillId="42" borderId="169" xfId="0" applyNumberFormat="1" applyFont="1" applyFill="1" applyBorder="1" applyAlignment="1" applyProtection="1">
      <alignment/>
      <protection/>
    </xf>
    <xf numFmtId="3" fontId="39" fillId="17" borderId="107" xfId="0" applyNumberFormat="1" applyFont="1" applyFill="1" applyBorder="1" applyAlignment="1" applyProtection="1">
      <alignment/>
      <protection/>
    </xf>
    <xf numFmtId="9" fontId="39" fillId="17" borderId="107" xfId="59" applyNumberFormat="1" applyFont="1" applyFill="1" applyBorder="1" applyAlignment="1" applyProtection="1">
      <alignment/>
      <protection/>
    </xf>
    <xf numFmtId="9" fontId="28" fillId="17" borderId="196" xfId="59" applyFont="1" applyFill="1" applyBorder="1" applyAlignment="1" applyProtection="1">
      <alignment/>
      <protection/>
    </xf>
    <xf numFmtId="3" fontId="39" fillId="42" borderId="39" xfId="0" applyNumberFormat="1" applyFont="1" applyFill="1" applyBorder="1" applyAlignment="1" applyProtection="1">
      <alignment/>
      <protection/>
    </xf>
    <xf numFmtId="9" fontId="39" fillId="17" borderId="128" xfId="0" applyNumberFormat="1" applyFont="1" applyFill="1" applyBorder="1" applyAlignment="1" applyProtection="1">
      <alignment/>
      <protection/>
    </xf>
    <xf numFmtId="3" fontId="39" fillId="42" borderId="37" xfId="0" applyNumberFormat="1" applyFont="1" applyFill="1" applyBorder="1" applyAlignment="1" applyProtection="1">
      <alignment/>
      <protection/>
    </xf>
    <xf numFmtId="0" fontId="4" fillId="17" borderId="65" xfId="0" applyFont="1" applyFill="1" applyBorder="1" applyAlignment="1" applyProtection="1">
      <alignment/>
      <protection/>
    </xf>
    <xf numFmtId="0" fontId="9" fillId="17" borderId="49" xfId="0" applyFont="1" applyFill="1" applyBorder="1" applyAlignment="1" applyProtection="1">
      <alignment/>
      <protection/>
    </xf>
    <xf numFmtId="3" fontId="39" fillId="42" borderId="206" xfId="0" applyNumberFormat="1" applyFont="1" applyFill="1" applyBorder="1" applyAlignment="1" applyProtection="1">
      <alignment/>
      <protection/>
    </xf>
    <xf numFmtId="9" fontId="39" fillId="17" borderId="170" xfId="0" applyNumberFormat="1" applyFont="1" applyFill="1" applyBorder="1" applyAlignment="1" applyProtection="1">
      <alignment/>
      <protection/>
    </xf>
    <xf numFmtId="3" fontId="4" fillId="17" borderId="66" xfId="0" applyNumberFormat="1" applyFont="1" applyFill="1" applyBorder="1" applyAlignment="1" applyProtection="1">
      <alignment/>
      <protection/>
    </xf>
    <xf numFmtId="9" fontId="39" fillId="17" borderId="201" xfId="0" applyNumberFormat="1" applyFont="1" applyFill="1" applyBorder="1" applyAlignment="1" applyProtection="1">
      <alignment/>
      <protection/>
    </xf>
    <xf numFmtId="0" fontId="28" fillId="17" borderId="207" xfId="0" applyFont="1" applyFill="1" applyBorder="1" applyAlignment="1" applyProtection="1">
      <alignment/>
      <protection/>
    </xf>
    <xf numFmtId="3" fontId="39" fillId="17" borderId="170" xfId="0" applyNumberFormat="1" applyFont="1" applyFill="1" applyBorder="1" applyAlignment="1" applyProtection="1">
      <alignment/>
      <protection/>
    </xf>
    <xf numFmtId="3" fontId="39" fillId="42" borderId="54" xfId="0" applyNumberFormat="1" applyFont="1" applyFill="1" applyBorder="1" applyAlignment="1" applyProtection="1">
      <alignment/>
      <protection/>
    </xf>
    <xf numFmtId="3" fontId="39" fillId="42" borderId="53" xfId="0" applyNumberFormat="1" applyFont="1" applyFill="1" applyBorder="1" applyAlignment="1" applyProtection="1">
      <alignment/>
      <protection/>
    </xf>
    <xf numFmtId="9" fontId="39" fillId="17" borderId="107" xfId="0" applyNumberFormat="1" applyFont="1" applyFill="1" applyBorder="1" applyAlignment="1" applyProtection="1">
      <alignment/>
      <protection/>
    </xf>
    <xf numFmtId="0" fontId="28" fillId="17" borderId="196" xfId="0" applyFont="1" applyFill="1" applyBorder="1" applyAlignment="1" applyProtection="1">
      <alignment/>
      <protection/>
    </xf>
    <xf numFmtId="3" fontId="39" fillId="42" borderId="55" xfId="0" applyNumberFormat="1" applyFont="1" applyFill="1" applyBorder="1" applyAlignment="1" applyProtection="1">
      <alignment/>
      <protection/>
    </xf>
    <xf numFmtId="3" fontId="39" fillId="17" borderId="201" xfId="0" applyNumberFormat="1" applyFont="1" applyFill="1" applyBorder="1" applyAlignment="1" applyProtection="1">
      <alignment/>
      <protection/>
    </xf>
    <xf numFmtId="3" fontId="39" fillId="17" borderId="208" xfId="0" applyNumberFormat="1" applyFont="1" applyFill="1" applyBorder="1" applyAlignment="1" applyProtection="1">
      <alignment/>
      <protection/>
    </xf>
    <xf numFmtId="0" fontId="3" fillId="17" borderId="0" xfId="0" applyFont="1" applyFill="1" applyBorder="1" applyAlignment="1" applyProtection="1">
      <alignment/>
      <protection/>
    </xf>
    <xf numFmtId="9" fontId="39" fillId="17" borderId="197" xfId="0" applyNumberFormat="1" applyFont="1" applyFill="1" applyBorder="1" applyAlignment="1" applyProtection="1">
      <alignment/>
      <protection/>
    </xf>
    <xf numFmtId="0" fontId="9" fillId="17" borderId="154" xfId="0" applyFont="1" applyFill="1" applyBorder="1" applyAlignment="1" applyProtection="1">
      <alignment/>
      <protection/>
    </xf>
    <xf numFmtId="0" fontId="8" fillId="17" borderId="76" xfId="0" applyFont="1" applyFill="1" applyBorder="1" applyAlignment="1" applyProtection="1">
      <alignment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0" fontId="3" fillId="17" borderId="76" xfId="0" applyFont="1" applyFill="1" applyBorder="1" applyAlignment="1" applyProtection="1">
      <alignment/>
      <protection/>
    </xf>
    <xf numFmtId="0" fontId="8" fillId="17" borderId="0" xfId="0" applyFont="1" applyFill="1" applyBorder="1" applyAlignment="1" applyProtection="1">
      <alignment/>
      <protection/>
    </xf>
    <xf numFmtId="0" fontId="8" fillId="17" borderId="0" xfId="0" applyFont="1" applyFill="1" applyBorder="1" applyAlignment="1" applyProtection="1">
      <alignment horizontal="left" vertical="top" wrapText="1"/>
      <protection/>
    </xf>
    <xf numFmtId="0" fontId="3" fillId="17" borderId="0" xfId="0" applyFont="1" applyFill="1" applyBorder="1" applyAlignment="1" applyProtection="1">
      <alignment horizontal="left" vertical="top" wrapText="1"/>
      <protection/>
    </xf>
    <xf numFmtId="3" fontId="39" fillId="17" borderId="54" xfId="0" applyNumberFormat="1" applyFont="1" applyFill="1" applyBorder="1" applyAlignment="1" applyProtection="1">
      <alignment/>
      <protection/>
    </xf>
    <xf numFmtId="3" fontId="39" fillId="17" borderId="53" xfId="0" applyNumberFormat="1" applyFont="1" applyFill="1" applyBorder="1" applyAlignment="1" applyProtection="1">
      <alignment/>
      <protection/>
    </xf>
    <xf numFmtId="0" fontId="9" fillId="17" borderId="36" xfId="0" applyFont="1" applyFill="1" applyBorder="1" applyAlignment="1" applyProtection="1">
      <alignment/>
      <protection/>
    </xf>
    <xf numFmtId="49" fontId="4" fillId="17" borderId="45" xfId="53" applyNumberFormat="1" applyFont="1" applyFill="1" applyBorder="1" applyAlignment="1" applyProtection="1">
      <alignment horizontal="left"/>
      <protection/>
    </xf>
    <xf numFmtId="0" fontId="4" fillId="17" borderId="130" xfId="53" applyFont="1" applyFill="1" applyBorder="1" applyAlignment="1" applyProtection="1">
      <alignment/>
      <protection/>
    </xf>
    <xf numFmtId="3" fontId="4" fillId="17" borderId="168" xfId="53" applyNumberFormat="1" applyFont="1" applyFill="1" applyBorder="1" applyProtection="1">
      <alignment/>
      <protection/>
    </xf>
    <xf numFmtId="0" fontId="4" fillId="17" borderId="132" xfId="53" applyFont="1" applyFill="1" applyBorder="1" applyProtection="1">
      <alignment/>
      <protection/>
    </xf>
    <xf numFmtId="0" fontId="4" fillId="17" borderId="207" xfId="53" applyFont="1" applyFill="1" applyBorder="1" applyProtection="1">
      <alignment/>
      <protection/>
    </xf>
    <xf numFmtId="0" fontId="4" fillId="17" borderId="76" xfId="53" applyFont="1" applyFill="1" applyBorder="1" applyProtection="1">
      <alignment/>
      <protection/>
    </xf>
    <xf numFmtId="0" fontId="4" fillId="17" borderId="168" xfId="53" applyFont="1" applyFill="1" applyBorder="1" applyProtection="1">
      <alignment/>
      <protection/>
    </xf>
    <xf numFmtId="0" fontId="4" fillId="17" borderId="109" xfId="53" applyFont="1" applyFill="1" applyBorder="1" applyProtection="1">
      <alignment/>
      <protection/>
    </xf>
    <xf numFmtId="3" fontId="4" fillId="17" borderId="133" xfId="53" applyNumberFormat="1" applyFont="1" applyFill="1" applyBorder="1" applyAlignment="1" applyProtection="1">
      <alignment wrapText="1"/>
      <protection/>
    </xf>
    <xf numFmtId="49" fontId="4" fillId="17" borderId="65" xfId="53" applyNumberFormat="1" applyFont="1" applyFill="1" applyBorder="1" applyAlignment="1" applyProtection="1">
      <alignment horizontal="left" vertical="top"/>
      <protection/>
    </xf>
    <xf numFmtId="0" fontId="4" fillId="17" borderId="24" xfId="53" applyFont="1" applyFill="1" applyBorder="1" applyProtection="1">
      <alignment/>
      <protection/>
    </xf>
    <xf numFmtId="3" fontId="6" fillId="17" borderId="170" xfId="53" applyNumberFormat="1" applyFont="1" applyFill="1" applyBorder="1" applyProtection="1">
      <alignment/>
      <protection/>
    </xf>
    <xf numFmtId="3" fontId="4" fillId="17" borderId="63" xfId="53" applyNumberFormat="1" applyFont="1" applyFill="1" applyBorder="1" applyProtection="1">
      <alignment/>
      <protection/>
    </xf>
    <xf numFmtId="0" fontId="0" fillId="17" borderId="172" xfId="53" applyFont="1" applyFill="1" applyBorder="1" applyProtection="1">
      <alignment/>
      <protection/>
    </xf>
    <xf numFmtId="0" fontId="0" fillId="17" borderId="141" xfId="53" applyFont="1" applyFill="1" applyBorder="1" applyProtection="1">
      <alignment/>
      <protection/>
    </xf>
    <xf numFmtId="3" fontId="4" fillId="17" borderId="178" xfId="53" applyNumberFormat="1" applyFont="1" applyFill="1" applyBorder="1" applyAlignment="1" applyProtection="1">
      <alignment wrapText="1"/>
      <protection/>
    </xf>
    <xf numFmtId="3" fontId="4" fillId="17" borderId="170" xfId="53" applyNumberFormat="1" applyFont="1" applyFill="1" applyBorder="1" applyProtection="1">
      <alignment/>
      <protection/>
    </xf>
    <xf numFmtId="3" fontId="4" fillId="17" borderId="52" xfId="53" applyNumberFormat="1" applyFont="1" applyFill="1" applyBorder="1" applyProtection="1">
      <alignment/>
      <protection/>
    </xf>
    <xf numFmtId="0" fontId="4" fillId="17" borderId="36" xfId="53" applyFont="1" applyFill="1" applyBorder="1" applyProtection="1">
      <alignment/>
      <protection/>
    </xf>
    <xf numFmtId="0" fontId="4" fillId="17" borderId="170" xfId="53" applyFont="1" applyFill="1" applyBorder="1" applyProtection="1">
      <alignment/>
      <protection/>
    </xf>
    <xf numFmtId="49" fontId="4" fillId="17" borderId="65" xfId="53" applyNumberFormat="1" applyFont="1" applyFill="1" applyBorder="1" applyAlignment="1" applyProtection="1">
      <alignment horizontal="left"/>
      <protection/>
    </xf>
    <xf numFmtId="0" fontId="4" fillId="17" borderId="63" xfId="53" applyFont="1" applyFill="1" applyBorder="1" applyProtection="1">
      <alignment/>
      <protection/>
    </xf>
    <xf numFmtId="3" fontId="4" fillId="17" borderId="25" xfId="53" applyNumberFormat="1" applyFont="1" applyFill="1" applyBorder="1" applyProtection="1">
      <alignment/>
      <protection/>
    </xf>
    <xf numFmtId="49" fontId="8" fillId="17" borderId="65" xfId="53" applyNumberFormat="1" applyFont="1" applyFill="1" applyBorder="1" applyAlignment="1" applyProtection="1">
      <alignment horizontal="left"/>
      <protection/>
    </xf>
    <xf numFmtId="0" fontId="4" fillId="17" borderId="180" xfId="53" applyFont="1" applyFill="1" applyBorder="1" applyProtection="1">
      <alignment/>
      <protection/>
    </xf>
    <xf numFmtId="0" fontId="4" fillId="17" borderId="63" xfId="53" applyFont="1" applyFill="1" applyBorder="1" applyAlignment="1" applyProtection="1">
      <alignment horizontal="left"/>
      <protection/>
    </xf>
    <xf numFmtId="0" fontId="4" fillId="17" borderId="170" xfId="53" applyFont="1" applyFill="1" applyBorder="1" applyAlignment="1" applyProtection="1">
      <alignment horizontal="left"/>
      <protection/>
    </xf>
    <xf numFmtId="0" fontId="4" fillId="17" borderId="0" xfId="53" applyFont="1" applyFill="1" applyBorder="1" applyProtection="1">
      <alignment/>
      <protection/>
    </xf>
    <xf numFmtId="0" fontId="6" fillId="17" borderId="180" xfId="53" applyFont="1" applyFill="1" applyBorder="1" applyProtection="1">
      <alignment/>
      <protection/>
    </xf>
    <xf numFmtId="1" fontId="4" fillId="17" borderId="63" xfId="53" applyNumberFormat="1" applyFont="1" applyFill="1" applyBorder="1" applyAlignment="1" applyProtection="1">
      <alignment horizontal="left"/>
      <protection/>
    </xf>
    <xf numFmtId="1" fontId="4" fillId="17" borderId="170" xfId="53" applyNumberFormat="1" applyFont="1" applyFill="1" applyBorder="1" applyAlignment="1" applyProtection="1">
      <alignment horizontal="left"/>
      <protection/>
    </xf>
    <xf numFmtId="49" fontId="6" fillId="17" borderId="65" xfId="53" applyNumberFormat="1" applyFont="1" applyFill="1" applyBorder="1" applyAlignment="1" applyProtection="1">
      <alignment horizontal="left"/>
      <protection/>
    </xf>
    <xf numFmtId="0" fontId="8" fillId="17" borderId="188" xfId="53" applyFont="1" applyFill="1" applyBorder="1" applyProtection="1">
      <alignment/>
      <protection/>
    </xf>
    <xf numFmtId="0" fontId="4" fillId="17" borderId="72" xfId="53" applyFont="1" applyFill="1" applyBorder="1" applyProtection="1">
      <alignment/>
      <protection/>
    </xf>
    <xf numFmtId="0" fontId="4" fillId="17" borderId="188" xfId="53" applyFont="1" applyFill="1" applyBorder="1" applyProtection="1">
      <alignment/>
      <protection/>
    </xf>
    <xf numFmtId="167" fontId="4" fillId="17" borderId="69" xfId="53" applyNumberFormat="1" applyFont="1" applyFill="1" applyBorder="1" applyProtection="1">
      <alignment/>
      <protection/>
    </xf>
    <xf numFmtId="167" fontId="35" fillId="17" borderId="157" xfId="53" applyNumberFormat="1" applyFont="1" applyFill="1" applyBorder="1" applyProtection="1">
      <alignment/>
      <protection/>
    </xf>
    <xf numFmtId="167" fontId="35" fillId="17" borderId="188" xfId="53" applyNumberFormat="1" applyFont="1" applyFill="1" applyBorder="1" applyProtection="1">
      <alignment/>
      <protection/>
    </xf>
    <xf numFmtId="167" fontId="35" fillId="17" borderId="69" xfId="53" applyNumberFormat="1" applyFont="1" applyFill="1" applyBorder="1" applyProtection="1">
      <alignment/>
      <protection/>
    </xf>
    <xf numFmtId="167" fontId="35" fillId="17" borderId="122" xfId="53" applyNumberFormat="1" applyFont="1" applyFill="1" applyBorder="1" applyProtection="1">
      <alignment/>
      <protection/>
    </xf>
    <xf numFmtId="167" fontId="35" fillId="17" borderId="153" xfId="53" applyNumberFormat="1" applyFont="1" applyFill="1" applyBorder="1" applyProtection="1">
      <alignment/>
      <protection/>
    </xf>
    <xf numFmtId="0" fontId="6" fillId="17" borderId="44" xfId="53" applyFont="1" applyFill="1" applyBorder="1" applyProtection="1">
      <alignment/>
      <protection/>
    </xf>
    <xf numFmtId="0" fontId="4" fillId="17" borderId="11" xfId="53" applyFont="1" applyFill="1" applyBorder="1" applyProtection="1">
      <alignment/>
      <protection/>
    </xf>
    <xf numFmtId="1" fontId="6" fillId="17" borderId="58" xfId="53" applyNumberFormat="1" applyFont="1" applyFill="1" applyBorder="1" applyAlignment="1" applyProtection="1">
      <alignment horizontal="left"/>
      <protection/>
    </xf>
    <xf numFmtId="0" fontId="6" fillId="17" borderId="14" xfId="53" applyFont="1" applyFill="1" applyBorder="1" applyProtection="1">
      <alignment/>
      <protection/>
    </xf>
    <xf numFmtId="1" fontId="4" fillId="17" borderId="48" xfId="53" applyNumberFormat="1" applyFont="1" applyFill="1" applyBorder="1" applyAlignment="1" applyProtection="1">
      <alignment horizontal="left"/>
      <protection/>
    </xf>
    <xf numFmtId="0" fontId="28" fillId="17" borderId="34" xfId="53" applyFont="1" applyFill="1" applyBorder="1" applyProtection="1">
      <alignment/>
      <protection/>
    </xf>
    <xf numFmtId="0" fontId="6" fillId="17" borderId="11" xfId="53" applyFont="1" applyFill="1" applyBorder="1" applyAlignment="1" applyProtection="1">
      <alignment wrapText="1"/>
      <protection/>
    </xf>
    <xf numFmtId="0" fontId="6" fillId="17" borderId="14" xfId="53" applyFont="1" applyFill="1" applyBorder="1" applyAlignment="1" applyProtection="1">
      <alignment wrapText="1"/>
      <protection/>
    </xf>
    <xf numFmtId="1" fontId="4" fillId="17" borderId="48" xfId="53" applyNumberFormat="1" applyFont="1" applyFill="1" applyBorder="1" applyProtection="1">
      <alignment/>
      <protection/>
    </xf>
    <xf numFmtId="0" fontId="28" fillId="17" borderId="34" xfId="53" applyFont="1" applyFill="1" applyBorder="1" applyProtection="1">
      <alignment/>
      <protection/>
    </xf>
    <xf numFmtId="1" fontId="6" fillId="17" borderId="209" xfId="53" applyNumberFormat="1" applyFont="1" applyFill="1" applyBorder="1" applyAlignment="1" applyProtection="1">
      <alignment horizontal="left"/>
      <protection/>
    </xf>
    <xf numFmtId="0" fontId="6" fillId="17" borderId="18" xfId="53" applyFont="1" applyFill="1" applyBorder="1" applyProtection="1">
      <alignment/>
      <protection/>
    </xf>
    <xf numFmtId="1" fontId="4" fillId="17" borderId="58" xfId="53" applyNumberFormat="1" applyFont="1" applyFill="1" applyBorder="1" applyAlignment="1" applyProtection="1">
      <alignment horizontal="left"/>
      <protection/>
    </xf>
    <xf numFmtId="49" fontId="4" fillId="17" borderId="14" xfId="53" applyNumberFormat="1" applyFont="1" applyFill="1" applyBorder="1" applyAlignment="1" applyProtection="1">
      <alignment horizontal="left"/>
      <protection/>
    </xf>
    <xf numFmtId="0" fontId="4" fillId="17" borderId="15" xfId="53" applyFont="1" applyFill="1" applyBorder="1" applyAlignment="1" applyProtection="1">
      <alignment wrapText="1"/>
      <protection/>
    </xf>
    <xf numFmtId="3" fontId="3" fillId="17" borderId="94" xfId="53" applyNumberFormat="1" applyFont="1" applyFill="1" applyBorder="1" applyProtection="1">
      <alignment/>
      <protection/>
    </xf>
    <xf numFmtId="3" fontId="39" fillId="17" borderId="94" xfId="53" applyNumberFormat="1" applyFont="1" applyFill="1" applyBorder="1" applyAlignment="1" applyProtection="1" quotePrefix="1">
      <alignment horizontal="right"/>
      <protection/>
    </xf>
    <xf numFmtId="3" fontId="39" fillId="17" borderId="94" xfId="53" applyNumberFormat="1" applyFont="1" applyFill="1" applyBorder="1" applyProtection="1">
      <alignment/>
      <protection/>
    </xf>
    <xf numFmtId="3" fontId="4" fillId="17" borderId="210" xfId="53" applyNumberFormat="1" applyFont="1" applyFill="1" applyBorder="1" applyProtection="1">
      <alignment/>
      <protection/>
    </xf>
    <xf numFmtId="3" fontId="4" fillId="17" borderId="64" xfId="53" applyNumberFormat="1" applyFont="1" applyFill="1" applyBorder="1" applyAlignment="1" applyProtection="1">
      <alignment horizontal="left"/>
      <protection/>
    </xf>
    <xf numFmtId="3" fontId="3" fillId="17" borderId="14" xfId="53" applyNumberFormat="1" applyFont="1" applyFill="1" applyBorder="1" applyProtection="1">
      <alignment/>
      <protection/>
    </xf>
    <xf numFmtId="3" fontId="39" fillId="17" borderId="14" xfId="53" applyNumberFormat="1" applyFont="1" applyFill="1" applyBorder="1" applyAlignment="1" applyProtection="1">
      <alignment horizontal="right"/>
      <protection/>
    </xf>
    <xf numFmtId="9" fontId="39" fillId="17" borderId="14" xfId="53" applyNumberFormat="1" applyFont="1" applyFill="1" applyBorder="1" applyAlignment="1" applyProtection="1" quotePrefix="1">
      <alignment horizontal="right"/>
      <protection/>
    </xf>
    <xf numFmtId="3" fontId="28" fillId="17" borderId="14" xfId="53" applyNumberFormat="1" applyFont="1" applyFill="1" applyBorder="1" applyAlignment="1" applyProtection="1" quotePrefix="1">
      <alignment horizontal="left"/>
      <protection/>
    </xf>
    <xf numFmtId="3" fontId="35" fillId="17" borderId="63" xfId="53" applyNumberFormat="1" applyFont="1" applyFill="1" applyBorder="1" applyAlignment="1" applyProtection="1">
      <alignment horizontal="right"/>
      <protection/>
    </xf>
    <xf numFmtId="3" fontId="35" fillId="17" borderId="64" xfId="53" applyNumberFormat="1" applyFont="1" applyFill="1" applyBorder="1" applyAlignment="1" applyProtection="1">
      <alignment horizontal="left"/>
      <protection/>
    </xf>
    <xf numFmtId="3" fontId="39" fillId="17" borderId="11" xfId="53" applyNumberFormat="1" applyFont="1" applyFill="1" applyBorder="1" applyAlignment="1" applyProtection="1">
      <alignment horizontal="right"/>
      <protection/>
    </xf>
    <xf numFmtId="3" fontId="39" fillId="17" borderId="24" xfId="53" applyNumberFormat="1" applyFont="1" applyFill="1" applyBorder="1" applyAlignment="1" applyProtection="1">
      <alignment horizontal="right"/>
      <protection/>
    </xf>
    <xf numFmtId="3" fontId="36" fillId="17" borderId="20" xfId="53" applyNumberFormat="1" applyFont="1" applyFill="1" applyBorder="1" applyAlignment="1" applyProtection="1">
      <alignment horizontal="right"/>
      <protection/>
    </xf>
    <xf numFmtId="3" fontId="28" fillId="17" borderId="14" xfId="53" applyNumberFormat="1" applyFont="1" applyFill="1" applyBorder="1" applyAlignment="1" applyProtection="1">
      <alignment horizontal="left"/>
      <protection/>
    </xf>
    <xf numFmtId="3" fontId="35" fillId="17" borderId="0" xfId="53" applyNumberFormat="1" applyFont="1" applyFill="1" applyBorder="1" applyAlignment="1" applyProtection="1">
      <alignment horizontal="right"/>
      <protection/>
    </xf>
    <xf numFmtId="3" fontId="36" fillId="17" borderId="182" xfId="53" applyNumberFormat="1" applyFont="1" applyFill="1" applyBorder="1" applyAlignment="1" applyProtection="1">
      <alignment horizontal="right"/>
      <protection/>
    </xf>
    <xf numFmtId="3" fontId="36" fillId="17" borderId="0" xfId="53" applyNumberFormat="1" applyFont="1" applyFill="1" applyBorder="1" applyAlignment="1" applyProtection="1">
      <alignment horizontal="right"/>
      <protection/>
    </xf>
    <xf numFmtId="3" fontId="36" fillId="17" borderId="97" xfId="53" applyNumberFormat="1" applyFont="1" applyFill="1" applyBorder="1" applyAlignment="1" applyProtection="1">
      <alignment horizontal="right"/>
      <protection/>
    </xf>
    <xf numFmtId="3" fontId="36" fillId="17" borderId="49" xfId="53" applyNumberFormat="1" applyFont="1" applyFill="1" applyBorder="1" applyAlignment="1" applyProtection="1">
      <alignment horizontal="right"/>
      <protection/>
    </xf>
    <xf numFmtId="3" fontId="28" fillId="17" borderId="49" xfId="53" applyNumberFormat="1" applyFont="1" applyFill="1" applyBorder="1" applyAlignment="1" applyProtection="1" quotePrefix="1">
      <alignment horizontal="left"/>
      <protection/>
    </xf>
    <xf numFmtId="3" fontId="35" fillId="17" borderId="49" xfId="53" applyNumberFormat="1" applyFont="1" applyFill="1" applyBorder="1" applyAlignment="1" applyProtection="1">
      <alignment horizontal="right"/>
      <protection/>
    </xf>
    <xf numFmtId="3" fontId="35" fillId="17" borderId="66" xfId="53" applyNumberFormat="1" applyFont="1" applyFill="1" applyBorder="1" applyAlignment="1" applyProtection="1">
      <alignment horizontal="left"/>
      <protection/>
    </xf>
    <xf numFmtId="3" fontId="3" fillId="17" borderId="18" xfId="53" applyNumberFormat="1" applyFont="1" applyFill="1" applyBorder="1" applyProtection="1">
      <alignment/>
      <protection/>
    </xf>
    <xf numFmtId="3" fontId="39" fillId="17" borderId="18" xfId="53" applyNumberFormat="1" applyFont="1" applyFill="1" applyBorder="1" applyProtection="1">
      <alignment/>
      <protection/>
    </xf>
    <xf numFmtId="9" fontId="39" fillId="17" borderId="18" xfId="53" applyNumberFormat="1" applyFont="1" applyFill="1" applyBorder="1" applyProtection="1">
      <alignment/>
      <protection/>
    </xf>
    <xf numFmtId="3" fontId="4" fillId="17" borderId="109" xfId="53" applyNumberFormat="1" applyFont="1" applyFill="1" applyBorder="1" applyProtection="1">
      <alignment/>
      <protection/>
    </xf>
    <xf numFmtId="167" fontId="4" fillId="17" borderId="133" xfId="53" applyNumberFormat="1" applyFont="1" applyFill="1" applyBorder="1" applyAlignment="1" applyProtection="1">
      <alignment horizontal="left"/>
      <protection/>
    </xf>
    <xf numFmtId="3" fontId="3" fillId="17" borderId="11" xfId="53" applyNumberFormat="1" applyFont="1" applyFill="1" applyBorder="1" applyAlignment="1" applyProtection="1">
      <alignment horizontal="right"/>
      <protection/>
    </xf>
    <xf numFmtId="3" fontId="28" fillId="17" borderId="11" xfId="53" applyNumberFormat="1" applyFont="1" applyFill="1" applyBorder="1" applyAlignment="1" applyProtection="1">
      <alignment horizontal="left"/>
      <protection/>
    </xf>
    <xf numFmtId="167" fontId="35" fillId="17" borderId="64" xfId="53" applyNumberFormat="1" applyFont="1" applyFill="1" applyBorder="1" applyAlignment="1" applyProtection="1">
      <alignment horizontal="left"/>
      <protection/>
    </xf>
    <xf numFmtId="3" fontId="3" fillId="17" borderId="14" xfId="53" applyNumberFormat="1" applyFont="1" applyFill="1" applyBorder="1" applyAlignment="1" applyProtection="1">
      <alignment horizontal="right"/>
      <protection/>
    </xf>
    <xf numFmtId="3" fontId="3" fillId="17" borderId="18" xfId="53" applyNumberFormat="1" applyFont="1" applyFill="1" applyBorder="1" applyAlignment="1" applyProtection="1">
      <alignment horizontal="right"/>
      <protection/>
    </xf>
    <xf numFmtId="3" fontId="39" fillId="17" borderId="18" xfId="53" applyNumberFormat="1" applyFont="1" applyFill="1" applyBorder="1" applyAlignment="1" applyProtection="1">
      <alignment horizontal="right"/>
      <protection/>
    </xf>
    <xf numFmtId="3" fontId="4" fillId="17" borderId="0" xfId="53" applyNumberFormat="1" applyFont="1" applyFill="1" applyBorder="1" applyAlignment="1" applyProtection="1">
      <alignment horizontal="right"/>
      <protection/>
    </xf>
    <xf numFmtId="3" fontId="4" fillId="17" borderId="21" xfId="53" applyNumberFormat="1" applyFont="1" applyFill="1" applyBorder="1" applyAlignment="1" applyProtection="1">
      <alignment horizontal="right"/>
      <protection/>
    </xf>
    <xf numFmtId="3" fontId="4" fillId="17" borderId="59" xfId="53" applyNumberFormat="1" applyFont="1" applyFill="1" applyBorder="1" applyAlignment="1" applyProtection="1">
      <alignment horizontal="left"/>
      <protection/>
    </xf>
    <xf numFmtId="3" fontId="4" fillId="17" borderId="62" xfId="53" applyNumberFormat="1" applyFont="1" applyFill="1" applyBorder="1" applyAlignment="1" applyProtection="1">
      <alignment horizontal="right"/>
      <protection/>
    </xf>
    <xf numFmtId="3" fontId="4" fillId="17" borderId="60" xfId="53" applyNumberFormat="1" applyFont="1" applyFill="1" applyBorder="1" applyAlignment="1" applyProtection="1">
      <alignment horizontal="left"/>
      <protection/>
    </xf>
    <xf numFmtId="3" fontId="35" fillId="17" borderId="64" xfId="53" applyNumberFormat="1" applyFont="1" applyFill="1" applyBorder="1" applyAlignment="1" applyProtection="1">
      <alignment horizontal="right"/>
      <protection/>
    </xf>
    <xf numFmtId="3" fontId="36" fillId="17" borderId="64" xfId="53" applyNumberFormat="1" applyFont="1" applyFill="1" applyBorder="1" applyAlignment="1" applyProtection="1">
      <alignment horizontal="right"/>
      <protection/>
    </xf>
    <xf numFmtId="3" fontId="36" fillId="17" borderId="66" xfId="53" applyNumberFormat="1" applyFont="1" applyFill="1" applyBorder="1" applyAlignment="1" applyProtection="1">
      <alignment horizontal="right"/>
      <protection/>
    </xf>
    <xf numFmtId="0" fontId="3" fillId="17" borderId="0" xfId="53" applyFont="1" applyFill="1" applyProtection="1">
      <alignment/>
      <protection/>
    </xf>
    <xf numFmtId="0" fontId="0" fillId="17" borderId="0" xfId="53" applyFill="1" applyProtection="1">
      <alignment/>
      <protection/>
    </xf>
    <xf numFmtId="3" fontId="29" fillId="17" borderId="0" xfId="53" applyNumberFormat="1" applyFont="1" applyFill="1" applyBorder="1" applyProtection="1">
      <alignment/>
      <protection/>
    </xf>
    <xf numFmtId="0" fontId="0" fillId="17" borderId="0" xfId="53" applyFont="1" applyFill="1" applyProtection="1">
      <alignment/>
      <protection/>
    </xf>
    <xf numFmtId="0" fontId="3" fillId="17" borderId="0" xfId="53" applyFont="1" applyFill="1" applyBorder="1" applyProtection="1">
      <alignment/>
      <protection/>
    </xf>
    <xf numFmtId="0" fontId="4" fillId="17" borderId="130" xfId="53" applyFont="1" applyFill="1" applyBorder="1" applyProtection="1">
      <alignment/>
      <protection/>
    </xf>
    <xf numFmtId="0" fontId="4" fillId="17" borderId="133" xfId="53" applyFont="1" applyFill="1" applyBorder="1" applyProtection="1">
      <alignment/>
      <protection/>
    </xf>
    <xf numFmtId="0" fontId="4" fillId="17" borderId="64" xfId="53" applyFont="1" applyFill="1" applyBorder="1" applyProtection="1">
      <alignment/>
      <protection/>
    </xf>
    <xf numFmtId="0" fontId="4" fillId="17" borderId="10" xfId="53" applyFont="1" applyFill="1" applyBorder="1" applyProtection="1">
      <alignment/>
      <protection/>
    </xf>
    <xf numFmtId="1" fontId="6" fillId="17" borderId="211" xfId="53" applyNumberFormat="1" applyFont="1" applyFill="1" applyBorder="1" applyAlignment="1" applyProtection="1">
      <alignment horizontal="left"/>
      <protection/>
    </xf>
    <xf numFmtId="0" fontId="6" fillId="17" borderId="179" xfId="53" applyFont="1" applyFill="1" applyBorder="1" applyProtection="1">
      <alignment/>
      <protection/>
    </xf>
    <xf numFmtId="0" fontId="4" fillId="17" borderId="12" xfId="53" applyFont="1" applyFill="1" applyBorder="1" applyProtection="1">
      <alignment/>
      <protection/>
    </xf>
    <xf numFmtId="0" fontId="4" fillId="17" borderId="15" xfId="53" applyFont="1" applyFill="1" applyBorder="1" applyProtection="1">
      <alignment/>
      <protection/>
    </xf>
    <xf numFmtId="1" fontId="4" fillId="17" borderId="152" xfId="53" applyNumberFormat="1" applyFont="1" applyFill="1" applyBorder="1" applyAlignment="1" applyProtection="1">
      <alignment horizontal="left"/>
      <protection/>
    </xf>
    <xf numFmtId="1" fontId="6" fillId="17" borderId="65" xfId="53" applyNumberFormat="1" applyFont="1" applyFill="1" applyBorder="1" applyAlignment="1" applyProtection="1">
      <alignment horizontal="left"/>
      <protection/>
    </xf>
    <xf numFmtId="1" fontId="4" fillId="17" borderId="65" xfId="53" applyNumberFormat="1" applyFont="1" applyFill="1" applyBorder="1" applyAlignment="1" applyProtection="1">
      <alignment horizontal="left"/>
      <protection/>
    </xf>
    <xf numFmtId="1" fontId="6" fillId="17" borderId="149" xfId="53" applyNumberFormat="1" applyFont="1" applyFill="1" applyBorder="1" applyAlignment="1" applyProtection="1">
      <alignment horizontal="left"/>
      <protection/>
    </xf>
    <xf numFmtId="0" fontId="6" fillId="17" borderId="125" xfId="53" applyFont="1" applyFill="1" applyBorder="1" applyProtection="1">
      <alignment/>
      <protection/>
    </xf>
    <xf numFmtId="0" fontId="4" fillId="17" borderId="83" xfId="53" applyFont="1" applyFill="1" applyBorder="1" applyProtection="1">
      <alignment/>
      <protection/>
    </xf>
    <xf numFmtId="3" fontId="4" fillId="17" borderId="168" xfId="0" applyNumberFormat="1" applyFont="1" applyFill="1" applyBorder="1" applyAlignment="1" applyProtection="1">
      <alignment/>
      <protection/>
    </xf>
    <xf numFmtId="49" fontId="8" fillId="17" borderId="65" xfId="0" applyNumberFormat="1" applyFont="1" applyFill="1" applyBorder="1" applyAlignment="1" applyProtection="1">
      <alignment horizontal="left"/>
      <protection/>
    </xf>
    <xf numFmtId="3" fontId="4" fillId="17" borderId="170" xfId="0" applyNumberFormat="1" applyFont="1" applyFill="1" applyBorder="1" applyAlignment="1" applyProtection="1">
      <alignment/>
      <protection/>
    </xf>
    <xf numFmtId="0" fontId="6" fillId="17" borderId="62" xfId="0" applyFont="1" applyFill="1" applyBorder="1" applyAlignment="1" applyProtection="1">
      <alignment/>
      <protection/>
    </xf>
    <xf numFmtId="0" fontId="4" fillId="17" borderId="130" xfId="0" applyFont="1" applyFill="1" applyBorder="1" applyAlignment="1" applyProtection="1">
      <alignment/>
      <protection/>
    </xf>
    <xf numFmtId="0" fontId="4" fillId="17" borderId="63" xfId="0" applyFont="1" applyFill="1" applyBorder="1" applyAlignment="1" applyProtection="1">
      <alignment/>
      <protection/>
    </xf>
    <xf numFmtId="0" fontId="4" fillId="17" borderId="180" xfId="0" applyFont="1" applyFill="1" applyBorder="1" applyAlignment="1" applyProtection="1">
      <alignment/>
      <protection/>
    </xf>
    <xf numFmtId="49" fontId="11" fillId="17" borderId="65" xfId="0" applyNumberFormat="1" applyFont="1" applyFill="1" applyBorder="1" applyAlignment="1" applyProtection="1">
      <alignment horizontal="left"/>
      <protection/>
    </xf>
    <xf numFmtId="1" fontId="6" fillId="17" borderId="147" xfId="0" applyNumberFormat="1" applyFont="1" applyFill="1" applyBorder="1" applyAlignment="1" applyProtection="1">
      <alignment horizontal="left"/>
      <protection/>
    </xf>
    <xf numFmtId="0" fontId="6" fillId="17" borderId="61" xfId="0" applyFont="1" applyFill="1" applyBorder="1" applyAlignment="1" applyProtection="1">
      <alignment/>
      <protection/>
    </xf>
    <xf numFmtId="1" fontId="4" fillId="17" borderId="31" xfId="0" applyNumberFormat="1" applyFont="1" applyFill="1" applyBorder="1" applyAlignment="1" applyProtection="1">
      <alignment horizontal="left"/>
      <protection/>
    </xf>
    <xf numFmtId="1" fontId="6" fillId="17" borderId="31" xfId="0" applyNumberFormat="1" applyFont="1" applyFill="1" applyBorder="1" applyAlignment="1" applyProtection="1">
      <alignment horizontal="left"/>
      <protection/>
    </xf>
    <xf numFmtId="1" fontId="4" fillId="17" borderId="33" xfId="0" applyNumberFormat="1" applyFont="1" applyFill="1" applyBorder="1" applyAlignment="1" applyProtection="1">
      <alignment horizontal="left"/>
      <protection/>
    </xf>
    <xf numFmtId="0" fontId="28" fillId="17" borderId="121" xfId="0" applyFont="1" applyFill="1" applyBorder="1" applyAlignment="1" applyProtection="1">
      <alignment/>
      <protection/>
    </xf>
    <xf numFmtId="1" fontId="6" fillId="17" borderId="65" xfId="0" applyNumberFormat="1" applyFont="1" applyFill="1" applyBorder="1" applyAlignment="1" applyProtection="1">
      <alignment horizontal="left"/>
      <protection/>
    </xf>
    <xf numFmtId="0" fontId="28" fillId="17" borderId="34" xfId="0" applyFont="1" applyFill="1" applyBorder="1" applyAlignment="1" applyProtection="1">
      <alignment/>
      <protection/>
    </xf>
    <xf numFmtId="1" fontId="6" fillId="17" borderId="143" xfId="0" applyNumberFormat="1" applyFont="1" applyFill="1" applyBorder="1" applyAlignment="1" applyProtection="1">
      <alignment horizontal="left"/>
      <protection/>
    </xf>
    <xf numFmtId="1" fontId="6" fillId="17" borderId="144" xfId="0" applyNumberFormat="1" applyFont="1" applyFill="1" applyBorder="1" applyAlignment="1" applyProtection="1">
      <alignment horizontal="left"/>
      <protection/>
    </xf>
    <xf numFmtId="0" fontId="28" fillId="17" borderId="34" xfId="0" applyFont="1" applyFill="1" applyBorder="1" applyAlignment="1" applyProtection="1">
      <alignment/>
      <protection/>
    </xf>
    <xf numFmtId="0" fontId="4" fillId="17" borderId="207" xfId="0" applyFont="1" applyFill="1" applyBorder="1" applyAlignment="1" applyProtection="1">
      <alignment/>
      <protection/>
    </xf>
    <xf numFmtId="3" fontId="6" fillId="17" borderId="110" xfId="0" applyNumberFormat="1" applyFont="1" applyFill="1" applyBorder="1" applyAlignment="1" applyProtection="1">
      <alignment/>
      <protection/>
    </xf>
    <xf numFmtId="0" fontId="4" fillId="17" borderId="168" xfId="0" applyFont="1" applyFill="1" applyBorder="1" applyAlignment="1" applyProtection="1">
      <alignment/>
      <protection/>
    </xf>
    <xf numFmtId="3" fontId="4" fillId="17" borderId="52" xfId="0" applyNumberFormat="1" applyFont="1" applyFill="1" applyBorder="1" applyAlignment="1" applyProtection="1">
      <alignment/>
      <protection/>
    </xf>
    <xf numFmtId="3" fontId="4" fillId="17" borderId="0" xfId="0" applyNumberFormat="1" applyFont="1" applyFill="1" applyBorder="1" applyAlignment="1" applyProtection="1">
      <alignment/>
      <protection/>
    </xf>
    <xf numFmtId="0" fontId="4" fillId="17" borderId="170" xfId="0" applyFont="1" applyFill="1" applyBorder="1" applyAlignment="1" applyProtection="1">
      <alignment/>
      <protection/>
    </xf>
    <xf numFmtId="0" fontId="3" fillId="17" borderId="170" xfId="0" applyFont="1" applyFill="1" applyBorder="1" applyAlignment="1" applyProtection="1">
      <alignment/>
      <protection/>
    </xf>
    <xf numFmtId="0" fontId="3" fillId="17" borderId="0" xfId="0" applyFont="1" applyFill="1" applyBorder="1" applyAlignment="1" applyProtection="1">
      <alignment wrapText="1"/>
      <protection/>
    </xf>
    <xf numFmtId="0" fontId="3" fillId="17" borderId="64" xfId="0" applyFont="1" applyFill="1" applyBorder="1" applyAlignment="1" applyProtection="1">
      <alignment wrapText="1"/>
      <protection/>
    </xf>
    <xf numFmtId="0" fontId="9" fillId="17" borderId="188" xfId="0" applyFont="1" applyFill="1" applyBorder="1" applyAlignment="1" applyProtection="1">
      <alignment horizontal="left" wrapText="1"/>
      <protection/>
    </xf>
    <xf numFmtId="167" fontId="4" fillId="17" borderId="188" xfId="0" applyNumberFormat="1" applyFont="1" applyFill="1" applyBorder="1" applyAlignment="1" applyProtection="1">
      <alignment/>
      <protection/>
    </xf>
    <xf numFmtId="0" fontId="9" fillId="17" borderId="188" xfId="0" applyFont="1" applyFill="1" applyBorder="1" applyAlignment="1" applyProtection="1">
      <alignment horizontal="left"/>
      <protection/>
    </xf>
    <xf numFmtId="0" fontId="9" fillId="17" borderId="10" xfId="0" applyFont="1" applyFill="1" applyBorder="1" applyAlignment="1" applyProtection="1">
      <alignment horizontal="left" wrapText="1"/>
      <protection/>
    </xf>
    <xf numFmtId="0" fontId="9" fillId="17" borderId="64" xfId="0" applyFont="1" applyFill="1" applyBorder="1" applyAlignment="1" applyProtection="1">
      <alignment horizontal="left" wrapText="1"/>
      <protection/>
    </xf>
    <xf numFmtId="3" fontId="3" fillId="17" borderId="94" xfId="0" applyNumberFormat="1" applyFont="1" applyFill="1" applyBorder="1" applyAlignment="1" applyProtection="1">
      <alignment horizontal="right"/>
      <protection/>
    </xf>
    <xf numFmtId="3" fontId="39" fillId="17" borderId="44" xfId="0" applyNumberFormat="1" applyFont="1" applyFill="1" applyBorder="1" applyAlignment="1" applyProtection="1" quotePrefix="1">
      <alignment horizontal="right"/>
      <protection/>
    </xf>
    <xf numFmtId="3" fontId="4" fillId="17" borderId="181" xfId="0" applyNumberFormat="1" applyFont="1" applyFill="1" applyBorder="1" applyAlignment="1" applyProtection="1">
      <alignment horizontal="left"/>
      <protection/>
    </xf>
    <xf numFmtId="3" fontId="3" fillId="17" borderId="14" xfId="0" applyNumberFormat="1" applyFont="1" applyFill="1" applyBorder="1" applyAlignment="1" applyProtection="1">
      <alignment horizontal="right"/>
      <protection/>
    </xf>
    <xf numFmtId="3" fontId="39" fillId="17" borderId="11" xfId="0" applyNumberFormat="1" applyFont="1" applyFill="1" applyBorder="1" applyAlignment="1" applyProtection="1">
      <alignment horizontal="right"/>
      <protection/>
    </xf>
    <xf numFmtId="3" fontId="35" fillId="17" borderId="64" xfId="0" applyNumberFormat="1" applyFont="1" applyFill="1" applyBorder="1" applyAlignment="1" applyProtection="1">
      <alignment horizontal="left"/>
      <protection/>
    </xf>
    <xf numFmtId="3" fontId="39" fillId="17" borderId="14" xfId="0" applyNumberFormat="1" applyFont="1" applyFill="1" applyBorder="1" applyAlignment="1" applyProtection="1">
      <alignment horizontal="right"/>
      <protection/>
    </xf>
    <xf numFmtId="3" fontId="3" fillId="17" borderId="182" xfId="0" applyNumberFormat="1" applyFont="1" applyFill="1" applyBorder="1" applyAlignment="1" applyProtection="1">
      <alignment horizontal="right"/>
      <protection/>
    </xf>
    <xf numFmtId="3" fontId="39" fillId="17" borderId="20" xfId="0" applyNumberFormat="1" applyFont="1" applyFill="1" applyBorder="1" applyAlignment="1" applyProtection="1">
      <alignment horizontal="right"/>
      <protection/>
    </xf>
    <xf numFmtId="3" fontId="35" fillId="17" borderId="0" xfId="0" applyNumberFormat="1" applyFont="1" applyFill="1" applyBorder="1" applyAlignment="1" applyProtection="1">
      <alignment horizontal="right"/>
      <protection/>
    </xf>
    <xf numFmtId="3" fontId="3" fillId="17" borderId="97" xfId="0" applyNumberFormat="1" applyFont="1" applyFill="1" applyBorder="1" applyAlignment="1" applyProtection="1">
      <alignment horizontal="right"/>
      <protection/>
    </xf>
    <xf numFmtId="3" fontId="39" fillId="17" borderId="49" xfId="0" applyNumberFormat="1" applyFont="1" applyFill="1" applyBorder="1" applyAlignment="1" applyProtection="1">
      <alignment horizontal="right"/>
      <protection/>
    </xf>
    <xf numFmtId="3" fontId="28" fillId="17" borderId="49" xfId="0" applyNumberFormat="1" applyFont="1" applyFill="1" applyBorder="1" applyAlignment="1" applyProtection="1" quotePrefix="1">
      <alignment horizontal="left"/>
      <protection/>
    </xf>
    <xf numFmtId="3" fontId="35" fillId="17" borderId="49" xfId="0" applyNumberFormat="1" applyFont="1" applyFill="1" applyBorder="1" applyAlignment="1" applyProtection="1">
      <alignment horizontal="right"/>
      <protection/>
    </xf>
    <xf numFmtId="3" fontId="3" fillId="17" borderId="11" xfId="0" applyNumberFormat="1" applyFont="1" applyFill="1" applyBorder="1" applyAlignment="1" applyProtection="1">
      <alignment horizontal="right"/>
      <protection/>
    </xf>
    <xf numFmtId="3" fontId="4" fillId="17" borderId="133" xfId="0" applyNumberFormat="1" applyFont="1" applyFill="1" applyBorder="1" applyAlignment="1" applyProtection="1">
      <alignment horizontal="left"/>
      <protection/>
    </xf>
    <xf numFmtId="3" fontId="28" fillId="17" borderId="49" xfId="0" applyNumberFormat="1" applyFont="1" applyFill="1" applyBorder="1" applyAlignment="1" applyProtection="1">
      <alignment horizontal="left"/>
      <protection/>
    </xf>
    <xf numFmtId="3" fontId="35" fillId="17" borderId="66" xfId="0" applyNumberFormat="1" applyFont="1" applyFill="1" applyBorder="1" applyAlignment="1" applyProtection="1">
      <alignment horizontal="left"/>
      <protection/>
    </xf>
    <xf numFmtId="3" fontId="3" fillId="17" borderId="34" xfId="0" applyNumberFormat="1" applyFont="1" applyFill="1" applyBorder="1" applyAlignment="1" applyProtection="1">
      <alignment horizontal="right"/>
      <protection/>
    </xf>
    <xf numFmtId="3" fontId="39" fillId="17" borderId="22" xfId="0" applyNumberFormat="1" applyFont="1" applyFill="1" applyBorder="1" applyAlignment="1" applyProtection="1" quotePrefix="1">
      <alignment horizontal="right"/>
      <protection/>
    </xf>
    <xf numFmtId="3" fontId="4" fillId="17" borderId="64" xfId="0" applyNumberFormat="1" applyFont="1" applyFill="1" applyBorder="1" applyAlignment="1" applyProtection="1">
      <alignment horizontal="left"/>
      <protection/>
    </xf>
    <xf numFmtId="3" fontId="36" fillId="17" borderId="24" xfId="0" applyNumberFormat="1" applyFont="1" applyFill="1" applyBorder="1" applyAlignment="1" applyProtection="1">
      <alignment horizontal="right"/>
      <protection/>
    </xf>
    <xf numFmtId="3" fontId="39" fillId="17" borderId="24" xfId="0" applyNumberFormat="1" applyFont="1" applyFill="1" applyBorder="1" applyAlignment="1" applyProtection="1">
      <alignment horizontal="right"/>
      <protection/>
    </xf>
    <xf numFmtId="3" fontId="4" fillId="17" borderId="64" xfId="0" applyNumberFormat="1" applyFont="1" applyFill="1" applyBorder="1" applyAlignment="1" applyProtection="1">
      <alignment horizontal="right"/>
      <protection/>
    </xf>
    <xf numFmtId="3" fontId="36" fillId="17" borderId="34" xfId="0" applyNumberFormat="1" applyFont="1" applyFill="1" applyBorder="1" applyAlignment="1" applyProtection="1">
      <alignment horizontal="right"/>
      <protection/>
    </xf>
    <xf numFmtId="3" fontId="39" fillId="17" borderId="34" xfId="0" applyNumberFormat="1" applyFont="1" applyFill="1" applyBorder="1" applyAlignment="1" applyProtection="1">
      <alignment horizontal="right"/>
      <protection/>
    </xf>
    <xf numFmtId="3" fontId="35" fillId="17" borderId="66" xfId="0" applyNumberFormat="1" applyFont="1" applyFill="1" applyBorder="1" applyAlignment="1" applyProtection="1">
      <alignment horizontal="right"/>
      <protection/>
    </xf>
    <xf numFmtId="3" fontId="3" fillId="34" borderId="29" xfId="0" applyNumberFormat="1" applyFont="1" applyFill="1" applyBorder="1" applyAlignment="1" applyProtection="1">
      <alignment/>
      <protection/>
    </xf>
    <xf numFmtId="3" fontId="3" fillId="34" borderId="28" xfId="0" applyNumberFormat="1" applyFont="1" applyFill="1" applyBorder="1" applyAlignment="1" applyProtection="1">
      <alignment/>
      <protection/>
    </xf>
    <xf numFmtId="0" fontId="102" fillId="0" borderId="0" xfId="48" applyFont="1" applyFill="1" applyBorder="1" applyAlignment="1" applyProtection="1">
      <alignment/>
      <protection/>
    </xf>
    <xf numFmtId="49" fontId="102" fillId="0" borderId="0" xfId="48" applyNumberFormat="1" applyFont="1" applyAlignment="1" applyProtection="1">
      <alignment horizontal="left"/>
      <protection/>
    </xf>
    <xf numFmtId="0" fontId="102" fillId="0" borderId="0" xfId="48" applyFont="1" applyFill="1" applyAlignment="1" applyProtection="1">
      <alignment/>
      <protection/>
    </xf>
    <xf numFmtId="0" fontId="102" fillId="27" borderId="0" xfId="48" applyFont="1" applyFill="1" applyAlignment="1" applyProtection="1">
      <alignment vertical="top"/>
      <protection/>
    </xf>
    <xf numFmtId="171" fontId="28" fillId="0" borderId="0" xfId="0" applyNumberFormat="1" applyFont="1" applyFill="1" applyBorder="1" applyAlignment="1" applyProtection="1">
      <alignment horizontal="left" vertical="justify" wrapText="1"/>
      <protection/>
    </xf>
    <xf numFmtId="0" fontId="0" fillId="0" borderId="0" xfId="0" applyAlignment="1">
      <alignment/>
    </xf>
    <xf numFmtId="0" fontId="4" fillId="17" borderId="130" xfId="0" applyFont="1" applyFill="1" applyBorder="1" applyAlignment="1" applyProtection="1">
      <alignment horizontal="right"/>
      <protection/>
    </xf>
    <xf numFmtId="0" fontId="4" fillId="17" borderId="112" xfId="0" applyFont="1" applyFill="1" applyBorder="1" applyAlignment="1" applyProtection="1">
      <alignment horizontal="center"/>
      <protection/>
    </xf>
    <xf numFmtId="0" fontId="4" fillId="17" borderId="137" xfId="0" applyFont="1" applyFill="1" applyBorder="1" applyAlignment="1" applyProtection="1">
      <alignment horizontal="center"/>
      <protection/>
    </xf>
    <xf numFmtId="0" fontId="4" fillId="17" borderId="144" xfId="0" applyFont="1" applyFill="1" applyBorder="1" applyAlignment="1" applyProtection="1">
      <alignment horizontal="center"/>
      <protection/>
    </xf>
    <xf numFmtId="0" fontId="4" fillId="17" borderId="112" xfId="0" applyFont="1" applyFill="1" applyBorder="1" applyAlignment="1" applyProtection="1">
      <alignment horizontal="center"/>
      <protection/>
    </xf>
    <xf numFmtId="0" fontId="4" fillId="0" borderId="76" xfId="0" applyFont="1" applyFill="1" applyBorder="1" applyAlignment="1" applyProtection="1">
      <alignment horizontal="center"/>
      <protection/>
    </xf>
    <xf numFmtId="0" fontId="4" fillId="0" borderId="76" xfId="0" applyFont="1" applyFill="1" applyBorder="1" applyAlignment="1" applyProtection="1">
      <alignment horizontal="right"/>
      <protection/>
    </xf>
    <xf numFmtId="9" fontId="4" fillId="0" borderId="76" xfId="0" applyNumberFormat="1" applyFont="1" applyFill="1" applyBorder="1" applyAlignment="1" applyProtection="1">
      <alignment horizontal="right"/>
      <protection/>
    </xf>
    <xf numFmtId="0" fontId="135" fillId="0" borderId="76" xfId="0" applyFont="1" applyFill="1" applyBorder="1" applyAlignment="1" applyProtection="1">
      <alignment horizontal="right"/>
      <protection/>
    </xf>
    <xf numFmtId="0" fontId="28" fillId="0" borderId="0" xfId="0" applyFont="1" applyFill="1" applyAlignment="1" applyProtection="1">
      <alignment horizontal="right"/>
      <protection/>
    </xf>
    <xf numFmtId="0" fontId="0" fillId="0" borderId="0" xfId="0" applyBorder="1" applyAlignment="1">
      <alignment/>
    </xf>
    <xf numFmtId="49" fontId="0" fillId="27" borderId="76" xfId="0" applyNumberFormat="1" applyFont="1" applyFill="1" applyBorder="1" applyAlignment="1" applyProtection="1">
      <alignment/>
      <protection/>
    </xf>
    <xf numFmtId="0" fontId="0" fillId="27" borderId="76" xfId="0" applyFont="1" applyFill="1" applyBorder="1" applyAlignment="1" applyProtection="1">
      <alignment/>
      <protection/>
    </xf>
    <xf numFmtId="0" fontId="4" fillId="27" borderId="7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0" fontId="3" fillId="0" borderId="123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wrapText="1"/>
      <protection/>
    </xf>
    <xf numFmtId="0" fontId="29" fillId="0" borderId="65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35" fillId="0" borderId="0" xfId="0" applyFont="1" applyFill="1" applyAlignment="1" applyProtection="1">
      <alignment/>
      <protection/>
    </xf>
    <xf numFmtId="0" fontId="6" fillId="17" borderId="71" xfId="0" applyFont="1" applyFill="1" applyBorder="1" applyAlignment="1" applyProtection="1">
      <alignment wrapText="1"/>
      <protection/>
    </xf>
    <xf numFmtId="3" fontId="30" fillId="0" borderId="0" xfId="0" applyNumberFormat="1" applyFont="1" applyFill="1" applyBorder="1" applyAlignment="1" applyProtection="1">
      <alignment/>
      <protection/>
    </xf>
    <xf numFmtId="3" fontId="3" fillId="48" borderId="27" xfId="0" applyNumberFormat="1" applyFont="1" applyFill="1" applyBorder="1" applyAlignment="1" applyProtection="1">
      <alignment horizontal="right"/>
      <protection/>
    </xf>
    <xf numFmtId="0" fontId="136" fillId="0" borderId="76" xfId="0" applyFont="1" applyFill="1" applyBorder="1" applyAlignment="1" applyProtection="1">
      <alignment/>
      <protection/>
    </xf>
    <xf numFmtId="3" fontId="28" fillId="17" borderId="94" xfId="53" applyNumberFormat="1" applyFont="1" applyFill="1" applyBorder="1" applyProtection="1" quotePrefix="1">
      <alignment/>
      <protection/>
    </xf>
    <xf numFmtId="3" fontId="28" fillId="17" borderId="0" xfId="53" applyNumberFormat="1" applyFont="1" applyFill="1" applyBorder="1" applyAlignment="1" applyProtection="1">
      <alignment horizontal="right"/>
      <protection/>
    </xf>
    <xf numFmtId="3" fontId="28" fillId="17" borderId="18" xfId="53" applyNumberFormat="1" applyFont="1" applyFill="1" applyBorder="1" applyProtection="1" quotePrefix="1">
      <alignment/>
      <protection/>
    </xf>
    <xf numFmtId="3" fontId="3" fillId="17" borderId="212" xfId="0" applyNumberFormat="1" applyFont="1" applyFill="1" applyBorder="1" applyAlignment="1" applyProtection="1">
      <alignment horizontal="right"/>
      <protection/>
    </xf>
    <xf numFmtId="3" fontId="3" fillId="17" borderId="130" xfId="0" applyNumberFormat="1" applyFont="1" applyFill="1" applyBorder="1" applyAlignment="1" applyProtection="1">
      <alignment horizontal="right"/>
      <protection/>
    </xf>
    <xf numFmtId="3" fontId="3" fillId="17" borderId="22" xfId="0" applyNumberFormat="1" applyFont="1" applyFill="1" applyBorder="1" applyAlignment="1" applyProtection="1">
      <alignment horizontal="right"/>
      <protection/>
    </xf>
    <xf numFmtId="0" fontId="137" fillId="0" borderId="0" xfId="0" applyFont="1" applyFill="1" applyAlignment="1" applyProtection="1">
      <alignment/>
      <protection/>
    </xf>
    <xf numFmtId="0" fontId="137" fillId="27" borderId="0" xfId="0" applyNumberFormat="1" applyFont="1" applyFill="1" applyAlignment="1" applyProtection="1">
      <alignment/>
      <protection/>
    </xf>
    <xf numFmtId="0" fontId="138" fillId="27" borderId="0" xfId="0" applyFont="1" applyFill="1" applyAlignment="1" applyProtection="1">
      <alignment horizontal="left"/>
      <protection/>
    </xf>
    <xf numFmtId="0" fontId="137" fillId="27" borderId="49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8" fillId="17" borderId="0" xfId="0" applyFont="1" applyFill="1" applyBorder="1" applyAlignment="1" applyProtection="1">
      <alignment/>
      <protection/>
    </xf>
    <xf numFmtId="0" fontId="28" fillId="17" borderId="49" xfId="0" applyFont="1" applyFill="1" applyBorder="1" applyAlignment="1" applyProtection="1">
      <alignment/>
      <protection/>
    </xf>
    <xf numFmtId="0" fontId="28" fillId="17" borderId="36" xfId="0" applyFont="1" applyFill="1" applyBorder="1" applyAlignment="1" applyProtection="1">
      <alignment/>
      <protection/>
    </xf>
    <xf numFmtId="49" fontId="3" fillId="35" borderId="213" xfId="0" applyNumberFormat="1" applyFont="1" applyFill="1" applyBorder="1" applyAlignment="1" applyProtection="1">
      <alignment/>
      <protection/>
    </xf>
    <xf numFmtId="0" fontId="28" fillId="17" borderId="65" xfId="0" applyFont="1" applyFill="1" applyBorder="1" applyAlignment="1" applyProtection="1">
      <alignment/>
      <protection/>
    </xf>
    <xf numFmtId="0" fontId="28" fillId="17" borderId="0" xfId="0" applyFont="1" applyFill="1" applyAlignment="1" applyProtection="1">
      <alignment horizontal="left"/>
      <protection/>
    </xf>
    <xf numFmtId="0" fontId="139" fillId="32" borderId="0" xfId="0" applyFont="1" applyFill="1" applyAlignment="1" applyProtection="1">
      <alignment/>
      <protection/>
    </xf>
    <xf numFmtId="1" fontId="4" fillId="17" borderId="214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/>
      <protection/>
    </xf>
    <xf numFmtId="3" fontId="70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/>
      <protection/>
    </xf>
    <xf numFmtId="3" fontId="135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0" fontId="88" fillId="0" borderId="0" xfId="0" applyFont="1" applyFill="1" applyAlignment="1" applyProtection="1">
      <alignment/>
      <protection/>
    </xf>
    <xf numFmtId="0" fontId="135" fillId="27" borderId="0" xfId="0" applyFont="1" applyFill="1" applyAlignment="1" applyProtection="1">
      <alignment/>
      <protection/>
    </xf>
    <xf numFmtId="0" fontId="6" fillId="17" borderId="81" xfId="0" applyFont="1" applyFill="1" applyBorder="1" applyAlignment="1" applyProtection="1">
      <alignment horizontal="left"/>
      <protection/>
    </xf>
    <xf numFmtId="165" fontId="39" fillId="17" borderId="0" xfId="0" applyNumberFormat="1" applyFont="1" applyFill="1" applyBorder="1" applyAlignment="1" applyProtection="1">
      <alignment/>
      <protection/>
    </xf>
    <xf numFmtId="3" fontId="39" fillId="42" borderId="0" xfId="0" applyNumberFormat="1" applyFont="1" applyFill="1" applyBorder="1" applyAlignment="1" applyProtection="1">
      <alignment horizontal="right"/>
      <protection/>
    </xf>
    <xf numFmtId="3" fontId="39" fillId="43" borderId="0" xfId="0" applyNumberFormat="1" applyFont="1" applyFill="1" applyBorder="1" applyAlignment="1" applyProtection="1">
      <alignment/>
      <protection/>
    </xf>
    <xf numFmtId="165" fontId="3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 horizontal="right"/>
      <protection/>
    </xf>
    <xf numFmtId="3" fontId="39" fillId="0" borderId="0" xfId="0" applyNumberFormat="1" applyFont="1" applyFill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 horizontal="right"/>
      <protection locked="0"/>
    </xf>
    <xf numFmtId="3" fontId="3" fillId="0" borderId="83" xfId="0" applyNumberFormat="1" applyFont="1" applyFill="1" applyBorder="1" applyAlignment="1" applyProtection="1">
      <alignment horizontal="right"/>
      <protection locked="0"/>
    </xf>
    <xf numFmtId="49" fontId="4" fillId="17" borderId="215" xfId="0" applyNumberFormat="1" applyFont="1" applyFill="1" applyBorder="1" applyAlignment="1" applyProtection="1">
      <alignment horizontal="center"/>
      <protection/>
    </xf>
    <xf numFmtId="1" fontId="4" fillId="17" borderId="216" xfId="0" applyNumberFormat="1" applyFont="1" applyFill="1" applyBorder="1" applyAlignment="1" applyProtection="1">
      <alignment horizontal="center"/>
      <protection/>
    </xf>
    <xf numFmtId="1" fontId="4" fillId="17" borderId="216" xfId="0" applyNumberFormat="1" applyFont="1" applyFill="1" applyBorder="1" applyAlignment="1" applyProtection="1">
      <alignment horizontal="left"/>
      <protection/>
    </xf>
    <xf numFmtId="3" fontId="3" fillId="27" borderId="217" xfId="0" applyNumberFormat="1" applyFont="1" applyFill="1" applyBorder="1" applyAlignment="1" applyProtection="1">
      <alignment horizontal="right"/>
      <protection locked="0"/>
    </xf>
    <xf numFmtId="0" fontId="4" fillId="17" borderId="93" xfId="0" applyFont="1" applyFill="1" applyBorder="1" applyAlignment="1" applyProtection="1">
      <alignment horizontal="left" wrapText="1"/>
      <protection/>
    </xf>
    <xf numFmtId="0" fontId="4" fillId="17" borderId="129" xfId="0" applyFont="1" applyFill="1" applyBorder="1" applyAlignment="1" applyProtection="1">
      <alignment horizontal="left" vertical="top" wrapText="1"/>
      <protection/>
    </xf>
    <xf numFmtId="0" fontId="2" fillId="17" borderId="180" xfId="0" applyFont="1" applyFill="1" applyBorder="1" applyAlignment="1" applyProtection="1">
      <alignment horizontal="left" vertical="top" wrapText="1"/>
      <protection/>
    </xf>
    <xf numFmtId="0" fontId="0" fillId="17" borderId="169" xfId="0" applyFont="1" applyFill="1" applyBorder="1" applyAlignment="1" applyProtection="1">
      <alignment horizontal="left" wrapText="1"/>
      <protection/>
    </xf>
    <xf numFmtId="0" fontId="4" fillId="17" borderId="168" xfId="0" applyFont="1" applyFill="1" applyBorder="1" applyAlignment="1" applyProtection="1">
      <alignment vertical="top" wrapText="1"/>
      <protection/>
    </xf>
    <xf numFmtId="0" fontId="4" fillId="17" borderId="94" xfId="0" applyFont="1" applyFill="1" applyBorder="1" applyAlignment="1" applyProtection="1">
      <alignment horizontal="left" vertical="top" wrapText="1"/>
      <protection/>
    </xf>
    <xf numFmtId="49" fontId="4" fillId="17" borderId="146" xfId="0" applyNumberFormat="1" applyFont="1" applyFill="1" applyBorder="1" applyAlignment="1" applyProtection="1">
      <alignment horizontal="left"/>
      <protection/>
    </xf>
    <xf numFmtId="3" fontId="4" fillId="27" borderId="0" xfId="0" applyNumberFormat="1" applyFont="1" applyFill="1" applyBorder="1" applyAlignment="1" applyProtection="1">
      <alignment horizontal="center"/>
      <protection/>
    </xf>
    <xf numFmtId="3" fontId="3" fillId="28" borderId="50" xfId="0" applyNumberFormat="1" applyFont="1" applyFill="1" applyBorder="1" applyAlignment="1" applyProtection="1">
      <alignment/>
      <protection/>
    </xf>
    <xf numFmtId="3" fontId="4" fillId="17" borderId="172" xfId="0" applyNumberFormat="1" applyFont="1" applyFill="1" applyBorder="1" applyAlignment="1" applyProtection="1">
      <alignment horizontal="left" vertical="top" wrapText="1"/>
      <protection/>
    </xf>
    <xf numFmtId="3" fontId="4" fillId="17" borderId="14" xfId="0" applyNumberFormat="1" applyFont="1" applyFill="1" applyBorder="1" applyAlignment="1" applyProtection="1">
      <alignment vertical="top" wrapText="1"/>
      <protection/>
    </xf>
    <xf numFmtId="3" fontId="4" fillId="17" borderId="106" xfId="0" applyNumberFormat="1" applyFont="1" applyFill="1" applyBorder="1" applyAlignment="1" applyProtection="1">
      <alignment vertical="top" wrapText="1"/>
      <protection/>
    </xf>
    <xf numFmtId="0" fontId="4" fillId="17" borderId="69" xfId="0" applyFont="1" applyFill="1" applyBorder="1" applyAlignment="1" applyProtection="1">
      <alignment/>
      <protection/>
    </xf>
    <xf numFmtId="3" fontId="4" fillId="17" borderId="169" xfId="0" applyNumberFormat="1" applyFont="1" applyFill="1" applyBorder="1" applyAlignment="1" applyProtection="1">
      <alignment vertical="top" wrapText="1"/>
      <protection/>
    </xf>
    <xf numFmtId="3" fontId="4" fillId="17" borderId="25" xfId="0" applyNumberFormat="1" applyFont="1" applyFill="1" applyBorder="1" applyAlignment="1" applyProtection="1">
      <alignment vertical="top" wrapText="1"/>
      <protection/>
    </xf>
    <xf numFmtId="0" fontId="4" fillId="17" borderId="112" xfId="0" applyFont="1" applyFill="1" applyBorder="1" applyAlignment="1" applyProtection="1">
      <alignment vertical="top"/>
      <protection/>
    </xf>
    <xf numFmtId="0" fontId="4" fillId="17" borderId="76" xfId="0" applyFont="1" applyFill="1" applyBorder="1" applyAlignment="1" applyProtection="1">
      <alignment vertical="top"/>
      <protection/>
    </xf>
    <xf numFmtId="0" fontId="4" fillId="17" borderId="115" xfId="0" applyFont="1" applyFill="1" applyBorder="1" applyAlignment="1" applyProtection="1">
      <alignment vertical="top"/>
      <protection/>
    </xf>
    <xf numFmtId="0" fontId="4" fillId="17" borderId="110" xfId="0" applyFont="1" applyFill="1" applyBorder="1" applyAlignment="1" applyProtection="1">
      <alignment vertical="top"/>
      <protection/>
    </xf>
    <xf numFmtId="0" fontId="6" fillId="17" borderId="175" xfId="0" applyFont="1" applyFill="1" applyBorder="1" applyAlignment="1" applyProtection="1">
      <alignment vertical="top"/>
      <protection/>
    </xf>
    <xf numFmtId="0" fontId="4" fillId="17" borderId="175" xfId="0" applyFont="1" applyFill="1" applyBorder="1" applyAlignment="1" applyProtection="1">
      <alignment vertical="top"/>
      <protection/>
    </xf>
    <xf numFmtId="0" fontId="4" fillId="17" borderId="218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6" fillId="17" borderId="207" xfId="0" applyFont="1" applyFill="1" applyBorder="1" applyAlignment="1" applyProtection="1">
      <alignment vertical="center"/>
      <protection/>
    </xf>
    <xf numFmtId="0" fontId="6" fillId="17" borderId="219" xfId="0" applyFont="1" applyFill="1" applyBorder="1" applyAlignment="1" applyProtection="1">
      <alignment vertical="center"/>
      <protection/>
    </xf>
    <xf numFmtId="1" fontId="4" fillId="17" borderId="144" xfId="0" applyNumberFormat="1" applyFont="1" applyFill="1" applyBorder="1" applyAlignment="1" applyProtection="1">
      <alignment horizontal="left"/>
      <protection/>
    </xf>
    <xf numFmtId="1" fontId="4" fillId="17" borderId="108" xfId="0" applyNumberFormat="1" applyFont="1" applyFill="1" applyBorder="1" applyAlignment="1" applyProtection="1">
      <alignment horizontal="left"/>
      <protection/>
    </xf>
    <xf numFmtId="3" fontId="4" fillId="17" borderId="31" xfId="0" applyNumberFormat="1" applyFont="1" applyFill="1" applyBorder="1" applyAlignment="1" applyProtection="1">
      <alignment/>
      <protection/>
    </xf>
    <xf numFmtId="3" fontId="4" fillId="17" borderId="16" xfId="0" applyNumberFormat="1" applyFont="1" applyFill="1" applyBorder="1" applyAlignment="1" applyProtection="1">
      <alignment/>
      <protection/>
    </xf>
    <xf numFmtId="0" fontId="4" fillId="17" borderId="114" xfId="53" applyFont="1" applyFill="1" applyBorder="1" applyAlignment="1" applyProtection="1">
      <alignment horizontal="left" wrapText="1"/>
      <protection/>
    </xf>
    <xf numFmtId="0" fontId="4" fillId="17" borderId="63" xfId="53" applyFont="1" applyFill="1" applyBorder="1" applyAlignment="1" applyProtection="1">
      <alignment horizontal="right"/>
      <protection/>
    </xf>
    <xf numFmtId="3" fontId="6" fillId="17" borderId="76" xfId="0" applyNumberFormat="1" applyFont="1" applyFill="1" applyBorder="1" applyAlignment="1" applyProtection="1">
      <alignment horizontal="left" vertical="top"/>
      <protection/>
    </xf>
    <xf numFmtId="3" fontId="3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6" fillId="0" borderId="0" xfId="53" applyFont="1" applyFill="1" applyBorder="1" applyAlignment="1" applyProtection="1">
      <alignment horizontal="left"/>
      <protection/>
    </xf>
    <xf numFmtId="0" fontId="9" fillId="0" borderId="0" xfId="53" applyFont="1" applyFill="1" applyProtection="1">
      <alignment/>
      <protection/>
    </xf>
    <xf numFmtId="0" fontId="16" fillId="27" borderId="0" xfId="53" applyNumberFormat="1" applyFont="1" applyFill="1" applyAlignment="1" applyProtection="1">
      <alignment horizontal="left"/>
      <protection/>
    </xf>
    <xf numFmtId="0" fontId="9" fillId="0" borderId="0" xfId="53" applyFont="1" applyFill="1" applyBorder="1" applyAlignment="1" applyProtection="1">
      <alignment horizontal="left"/>
      <protection/>
    </xf>
    <xf numFmtId="0" fontId="9" fillId="27" borderId="0" xfId="53" applyNumberFormat="1" applyFont="1" applyFill="1" applyAlignment="1" applyProtection="1">
      <alignment horizontal="left"/>
      <protection/>
    </xf>
    <xf numFmtId="0" fontId="16" fillId="0" borderId="0" xfId="53" applyFont="1" applyFill="1" applyProtection="1">
      <alignment/>
      <protection/>
    </xf>
    <xf numFmtId="3" fontId="4" fillId="17" borderId="170" xfId="53" applyNumberFormat="1" applyFont="1" applyFill="1" applyBorder="1" applyAlignment="1" applyProtection="1">
      <alignment vertical="top"/>
      <protection/>
    </xf>
    <xf numFmtId="0" fontId="6" fillId="17" borderId="168" xfId="53" applyFont="1" applyFill="1" applyBorder="1" applyProtection="1">
      <alignment/>
      <protection/>
    </xf>
    <xf numFmtId="3" fontId="3" fillId="27" borderId="19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right"/>
      <protection/>
    </xf>
    <xf numFmtId="0" fontId="135" fillId="0" borderId="0" xfId="0" applyNumberFormat="1" applyFont="1" applyFill="1" applyAlignment="1" applyProtection="1">
      <alignment/>
      <protection/>
    </xf>
    <xf numFmtId="0" fontId="135" fillId="0" borderId="49" xfId="0" applyNumberFormat="1" applyFont="1" applyFill="1" applyBorder="1" applyAlignment="1" applyProtection="1">
      <alignment horizontal="left"/>
      <protection/>
    </xf>
    <xf numFmtId="0" fontId="138" fillId="0" borderId="0" xfId="0" applyFont="1" applyFill="1" applyAlignment="1" applyProtection="1">
      <alignment horizontal="left"/>
      <protection/>
    </xf>
    <xf numFmtId="0" fontId="4" fillId="17" borderId="0" xfId="0" applyFont="1" applyFill="1" applyBorder="1" applyAlignment="1" applyProtection="1">
      <alignment vertical="center" wrapText="1"/>
      <protection/>
    </xf>
    <xf numFmtId="0" fontId="4" fillId="17" borderId="0" xfId="0" applyFont="1" applyFill="1" applyBorder="1" applyAlignment="1" applyProtection="1">
      <alignment vertical="top" wrapText="1"/>
      <protection/>
    </xf>
    <xf numFmtId="3" fontId="4" fillId="17" borderId="52" xfId="53" applyNumberFormat="1" applyFont="1" applyFill="1" applyBorder="1" applyAlignment="1" applyProtection="1">
      <alignment vertical="center"/>
      <protection/>
    </xf>
    <xf numFmtId="3" fontId="6" fillId="17" borderId="170" xfId="53" applyNumberFormat="1" applyFont="1" applyFill="1" applyBorder="1" applyAlignment="1" applyProtection="1">
      <alignment vertical="top"/>
      <protection/>
    </xf>
    <xf numFmtId="3" fontId="103" fillId="17" borderId="24" xfId="0" applyNumberFormat="1" applyFont="1" applyFill="1" applyBorder="1" applyAlignment="1" applyProtection="1">
      <alignment vertical="center"/>
      <protection/>
    </xf>
    <xf numFmtId="3" fontId="103" fillId="17" borderId="63" xfId="0" applyNumberFormat="1" applyFont="1" applyFill="1" applyBorder="1" applyAlignment="1" applyProtection="1">
      <alignment vertical="center"/>
      <protection/>
    </xf>
    <xf numFmtId="0" fontId="6" fillId="17" borderId="76" xfId="0" applyFont="1" applyFill="1" applyBorder="1" applyAlignment="1" applyProtection="1">
      <alignment/>
      <protection/>
    </xf>
    <xf numFmtId="49" fontId="6" fillId="17" borderId="112" xfId="0" applyNumberFormat="1" applyFont="1" applyFill="1" applyBorder="1" applyAlignment="1" applyProtection="1">
      <alignment horizontal="left"/>
      <protection/>
    </xf>
    <xf numFmtId="49" fontId="6" fillId="17" borderId="137" xfId="0" applyNumberFormat="1" applyFont="1" applyFill="1" applyBorder="1" applyAlignment="1" applyProtection="1">
      <alignment horizontal="left" vertical="top"/>
      <protection/>
    </xf>
    <xf numFmtId="49" fontId="3" fillId="35" borderId="169" xfId="0" applyNumberFormat="1" applyFont="1" applyFill="1" applyBorder="1" applyAlignment="1" applyProtection="1">
      <alignment/>
      <protection/>
    </xf>
    <xf numFmtId="49" fontId="4" fillId="17" borderId="121" xfId="0" applyNumberFormat="1" applyFont="1" applyFill="1" applyBorder="1" applyAlignment="1" applyProtection="1">
      <alignment/>
      <protection/>
    </xf>
    <xf numFmtId="0" fontId="30" fillId="27" borderId="84" xfId="53" applyFont="1" applyFill="1" applyBorder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135" fillId="0" borderId="0" xfId="0" applyFont="1" applyFill="1" applyBorder="1" applyAlignment="1" applyProtection="1">
      <alignment horizontal="right"/>
      <protection/>
    </xf>
    <xf numFmtId="0" fontId="89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5" fillId="0" borderId="0" xfId="0" applyFont="1" applyFill="1" applyBorder="1" applyAlignment="1" applyProtection="1">
      <alignment horizontal="left"/>
      <protection/>
    </xf>
    <xf numFmtId="9" fontId="13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17" borderId="18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4" fillId="17" borderId="86" xfId="0" applyNumberFormat="1" applyFont="1" applyFill="1" applyBorder="1" applyAlignment="1" applyProtection="1">
      <alignment/>
      <protection/>
    </xf>
    <xf numFmtId="3" fontId="4" fillId="17" borderId="87" xfId="0" applyNumberFormat="1" applyFont="1" applyFill="1" applyBorder="1" applyAlignment="1" applyProtection="1">
      <alignment/>
      <protection/>
    </xf>
    <xf numFmtId="3" fontId="4" fillId="17" borderId="106" xfId="0" applyNumberFormat="1" applyFont="1" applyFill="1" applyBorder="1" applyAlignment="1" applyProtection="1">
      <alignment/>
      <protection/>
    </xf>
    <xf numFmtId="3" fontId="3" fillId="0" borderId="220" xfId="0" applyNumberFormat="1" applyFont="1" applyFill="1" applyBorder="1" applyAlignment="1" applyProtection="1">
      <alignment horizontal="right"/>
      <protection locked="0"/>
    </xf>
    <xf numFmtId="49" fontId="4" fillId="0" borderId="0" xfId="56" applyNumberFormat="1" applyFont="1" applyFill="1" applyAlignment="1" applyProtection="1">
      <alignment horizontal="left"/>
      <protection/>
    </xf>
    <xf numFmtId="0" fontId="4" fillId="17" borderId="221" xfId="0" applyFont="1" applyFill="1" applyBorder="1" applyAlignment="1" applyProtection="1">
      <alignment horizontal="left"/>
      <protection/>
    </xf>
    <xf numFmtId="1" fontId="4" fillId="17" borderId="34" xfId="0" applyNumberFormat="1" applyFont="1" applyFill="1" applyBorder="1" applyAlignment="1" applyProtection="1">
      <alignment horizontal="left"/>
      <protection/>
    </xf>
    <xf numFmtId="0" fontId="4" fillId="17" borderId="96" xfId="0" applyFont="1" applyFill="1" applyBorder="1" applyAlignment="1" applyProtection="1">
      <alignment/>
      <protection/>
    </xf>
    <xf numFmtId="0" fontId="4" fillId="17" borderId="81" xfId="0" applyFont="1" applyFill="1" applyBorder="1" applyAlignment="1" applyProtection="1">
      <alignment/>
      <protection/>
    </xf>
    <xf numFmtId="0" fontId="6" fillId="17" borderId="22" xfId="0" applyFont="1" applyFill="1" applyBorder="1" applyAlignment="1" applyProtection="1">
      <alignment vertical="top" wrapText="1"/>
      <protection/>
    </xf>
    <xf numFmtId="0" fontId="6" fillId="17" borderId="34" xfId="0" applyFont="1" applyFill="1" applyBorder="1" applyAlignment="1" applyProtection="1">
      <alignment/>
      <protection/>
    </xf>
    <xf numFmtId="0" fontId="6" fillId="17" borderId="96" xfId="0" applyFont="1" applyFill="1" applyBorder="1" applyAlignment="1" applyProtection="1">
      <alignment wrapText="1"/>
      <protection/>
    </xf>
    <xf numFmtId="1" fontId="4" fillId="17" borderId="22" xfId="0" applyNumberFormat="1" applyFont="1" applyFill="1" applyBorder="1" applyAlignment="1" applyProtection="1">
      <alignment horizontal="center"/>
      <protection/>
    </xf>
    <xf numFmtId="0" fontId="4" fillId="17" borderId="22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0" borderId="65" xfId="0" applyFont="1" applyFill="1" applyBorder="1" applyAlignment="1" applyProtection="1">
      <alignment horizontal="left"/>
      <protection/>
    </xf>
    <xf numFmtId="0" fontId="6" fillId="0" borderId="65" xfId="0" applyFont="1" applyFill="1" applyBorder="1" applyAlignment="1" applyProtection="1">
      <alignment/>
      <protection/>
    </xf>
    <xf numFmtId="1" fontId="4" fillId="0" borderId="65" xfId="0" applyNumberFormat="1" applyFont="1" applyFill="1" applyBorder="1" applyAlignment="1" applyProtection="1">
      <alignment horizontal="center"/>
      <protection/>
    </xf>
    <xf numFmtId="1" fontId="4" fillId="0" borderId="65" xfId="0" applyNumberFormat="1" applyFont="1" applyFill="1" applyBorder="1" applyAlignment="1" applyProtection="1">
      <alignment horizontal="center"/>
      <protection/>
    </xf>
    <xf numFmtId="0" fontId="140" fillId="27" borderId="0" xfId="0" applyFont="1" applyFill="1" applyBorder="1" applyAlignment="1" applyProtection="1">
      <alignment/>
      <protection/>
    </xf>
    <xf numFmtId="0" fontId="140" fillId="49" borderId="0" xfId="0" applyFont="1" applyFill="1" applyAlignment="1" applyProtection="1">
      <alignment/>
      <protection/>
    </xf>
    <xf numFmtId="0" fontId="140" fillId="27" borderId="0" xfId="0" applyFont="1" applyFill="1" applyAlignment="1" applyProtection="1">
      <alignment/>
      <protection/>
    </xf>
    <xf numFmtId="3" fontId="4" fillId="17" borderId="71" xfId="0" applyNumberFormat="1" applyFont="1" applyFill="1" applyBorder="1" applyAlignment="1" applyProtection="1">
      <alignment horizontal="left" vertical="top"/>
      <protection/>
    </xf>
    <xf numFmtId="3" fontId="4" fillId="17" borderId="72" xfId="0" applyNumberFormat="1" applyFont="1" applyFill="1" applyBorder="1" applyAlignment="1" applyProtection="1">
      <alignment horizontal="left" vertical="top"/>
      <protection/>
    </xf>
    <xf numFmtId="0" fontId="4" fillId="17" borderId="73" xfId="0" applyFont="1" applyFill="1" applyBorder="1" applyAlignment="1" applyProtection="1">
      <alignment horizontal="left" vertical="top"/>
      <protection/>
    </xf>
    <xf numFmtId="0" fontId="6" fillId="17" borderId="207" xfId="53" applyFont="1" applyFill="1" applyBorder="1" applyProtection="1">
      <alignment/>
      <protection/>
    </xf>
    <xf numFmtId="3" fontId="6" fillId="17" borderId="168" xfId="53" applyNumberFormat="1" applyFont="1" applyFill="1" applyBorder="1" applyProtection="1">
      <alignment/>
      <protection/>
    </xf>
    <xf numFmtId="0" fontId="6" fillId="17" borderId="129" xfId="53" applyFont="1" applyFill="1" applyBorder="1" applyProtection="1">
      <alignment/>
      <protection/>
    </xf>
    <xf numFmtId="0" fontId="11" fillId="17" borderId="170" xfId="53" applyFont="1" applyFill="1" applyBorder="1" applyProtection="1">
      <alignment/>
      <protection/>
    </xf>
    <xf numFmtId="0" fontId="4" fillId="17" borderId="25" xfId="53" applyFont="1" applyFill="1" applyBorder="1" applyAlignment="1" applyProtection="1">
      <alignment vertical="top" wrapText="1"/>
      <protection/>
    </xf>
    <xf numFmtId="0" fontId="6" fillId="17" borderId="16" xfId="53" applyFont="1" applyFill="1" applyBorder="1" applyAlignment="1" applyProtection="1">
      <alignment vertical="top"/>
      <protection/>
    </xf>
    <xf numFmtId="3" fontId="6" fillId="17" borderId="170" xfId="0" applyNumberFormat="1" applyFont="1" applyFill="1" applyBorder="1" applyAlignment="1" applyProtection="1">
      <alignment vertical="top"/>
      <protection/>
    </xf>
    <xf numFmtId="3" fontId="6" fillId="17" borderId="52" xfId="0" applyNumberFormat="1" applyFont="1" applyFill="1" applyBorder="1" applyAlignment="1" applyProtection="1">
      <alignment/>
      <protection/>
    </xf>
    <xf numFmtId="3" fontId="4" fillId="17" borderId="208" xfId="53" applyNumberFormat="1" applyFont="1" applyFill="1" applyBorder="1" applyAlignment="1" applyProtection="1">
      <alignment/>
      <protection/>
    </xf>
    <xf numFmtId="3" fontId="4" fillId="17" borderId="108" xfId="53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top"/>
      <protection/>
    </xf>
    <xf numFmtId="166" fontId="9" fillId="0" borderId="0" xfId="0" applyNumberFormat="1" applyFont="1" applyFill="1" applyBorder="1" applyAlignment="1" applyProtection="1">
      <alignment/>
      <protection/>
    </xf>
    <xf numFmtId="49" fontId="96" fillId="0" borderId="0" xfId="0" applyNumberFormat="1" applyFont="1" applyFill="1" applyBorder="1" applyAlignment="1" applyProtection="1">
      <alignment horizontal="center"/>
      <protection/>
    </xf>
    <xf numFmtId="0" fontId="96" fillId="0" borderId="0" xfId="0" applyFont="1" applyFill="1" applyBorder="1" applyAlignment="1" applyProtection="1">
      <alignment/>
      <protection/>
    </xf>
    <xf numFmtId="0" fontId="96" fillId="0" borderId="0" xfId="0" applyFont="1" applyFill="1" applyBorder="1" applyAlignment="1" applyProtection="1">
      <alignment horizontal="center"/>
      <protection/>
    </xf>
    <xf numFmtId="3" fontId="6" fillId="17" borderId="71" xfId="0" applyNumberFormat="1" applyFont="1" applyFill="1" applyBorder="1" applyAlignment="1" applyProtection="1">
      <alignment horizontal="left" vertical="top" wrapText="1"/>
      <protection/>
    </xf>
    <xf numFmtId="3" fontId="4" fillId="17" borderId="34" xfId="0" applyNumberFormat="1" applyFont="1" applyFill="1" applyBorder="1" applyAlignment="1" applyProtection="1">
      <alignment/>
      <protection/>
    </xf>
    <xf numFmtId="0" fontId="4" fillId="17" borderId="167" xfId="0" applyFont="1" applyFill="1" applyBorder="1" applyAlignment="1" applyProtection="1">
      <alignment horizontal="left" vertical="top" wrapText="1"/>
      <protection/>
    </xf>
    <xf numFmtId="0" fontId="4" fillId="17" borderId="105" xfId="0" applyFont="1" applyFill="1" applyBorder="1" applyAlignment="1" applyProtection="1">
      <alignment horizontal="left" vertical="top"/>
      <protection/>
    </xf>
    <xf numFmtId="3" fontId="4" fillId="17" borderId="35" xfId="0" applyNumberFormat="1" applyFont="1" applyFill="1" applyBorder="1" applyAlignment="1" applyProtection="1">
      <alignment/>
      <protection/>
    </xf>
    <xf numFmtId="3" fontId="4" fillId="17" borderId="34" xfId="0" applyNumberFormat="1" applyFont="1" applyFill="1" applyBorder="1" applyAlignment="1" applyProtection="1">
      <alignment vertical="top"/>
      <protection/>
    </xf>
    <xf numFmtId="3" fontId="4" fillId="17" borderId="35" xfId="0" applyNumberFormat="1" applyFont="1" applyFill="1" applyBorder="1" applyAlignment="1" applyProtection="1">
      <alignment vertical="top" wrapText="1"/>
      <protection/>
    </xf>
    <xf numFmtId="0" fontId="12" fillId="17" borderId="170" xfId="0" applyFont="1" applyFill="1" applyBorder="1" applyAlignment="1" applyProtection="1">
      <alignment vertical="top" wrapText="1"/>
      <protection/>
    </xf>
    <xf numFmtId="0" fontId="4" fillId="17" borderId="185" xfId="0" applyFont="1" applyFill="1" applyBorder="1" applyAlignment="1" applyProtection="1">
      <alignment horizontal="left" wrapText="1"/>
      <protection/>
    </xf>
    <xf numFmtId="0" fontId="12" fillId="17" borderId="169" xfId="0" applyFont="1" applyFill="1" applyBorder="1" applyAlignment="1" applyProtection="1">
      <alignment vertical="top" wrapText="1"/>
      <protection/>
    </xf>
    <xf numFmtId="0" fontId="9" fillId="17" borderId="196" xfId="0" applyFont="1" applyFill="1" applyBorder="1" applyAlignment="1" applyProtection="1">
      <alignment/>
      <protection/>
    </xf>
    <xf numFmtId="0" fontId="27" fillId="27" borderId="0" xfId="0" applyNumberFormat="1" applyFont="1" applyFill="1" applyBorder="1" applyAlignment="1" applyProtection="1">
      <alignment horizontal="center"/>
      <protection/>
    </xf>
    <xf numFmtId="0" fontId="4" fillId="17" borderId="25" xfId="53" applyFont="1" applyFill="1" applyBorder="1" applyAlignment="1" applyProtection="1">
      <alignment horizontal="left" vertical="center" wrapText="1"/>
      <protection/>
    </xf>
    <xf numFmtId="0" fontId="4" fillId="17" borderId="33" xfId="0" applyFont="1" applyFill="1" applyBorder="1" applyAlignment="1" applyProtection="1">
      <alignment vertical="top"/>
      <protection/>
    </xf>
    <xf numFmtId="0" fontId="6" fillId="17" borderId="72" xfId="53" applyFont="1" applyFill="1" applyBorder="1" applyProtection="1">
      <alignment/>
      <protection/>
    </xf>
    <xf numFmtId="0" fontId="136" fillId="27" borderId="0" xfId="0" applyFont="1" applyFill="1" applyAlignment="1" applyProtection="1">
      <alignment/>
      <protection/>
    </xf>
    <xf numFmtId="3" fontId="4" fillId="17" borderId="172" xfId="0" applyNumberFormat="1" applyFont="1" applyFill="1" applyBorder="1" applyAlignment="1" applyProtection="1">
      <alignment horizontal="left" vertical="top"/>
      <protection/>
    </xf>
    <xf numFmtId="1" fontId="4" fillId="17" borderId="94" xfId="0" applyNumberFormat="1" applyFont="1" applyFill="1" applyBorder="1" applyAlignment="1" applyProtection="1">
      <alignment horizontal="left"/>
      <protection/>
    </xf>
    <xf numFmtId="3" fontId="3" fillId="27" borderId="139" xfId="0" applyNumberFormat="1" applyFont="1" applyFill="1" applyBorder="1" applyAlignment="1" applyProtection="1">
      <alignment horizontal="right"/>
      <protection locked="0"/>
    </xf>
    <xf numFmtId="49" fontId="4" fillId="0" borderId="123" xfId="0" applyNumberFormat="1" applyFont="1" applyFill="1" applyBorder="1" applyAlignment="1" applyProtection="1">
      <alignment horizontal="center"/>
      <protection/>
    </xf>
    <xf numFmtId="1" fontId="4" fillId="0" borderId="123" xfId="0" applyNumberFormat="1" applyFont="1" applyFill="1" applyBorder="1" applyAlignment="1" applyProtection="1">
      <alignment horizontal="center"/>
      <protection/>
    </xf>
    <xf numFmtId="1" fontId="4" fillId="0" borderId="123" xfId="0" applyNumberFormat="1" applyFont="1" applyFill="1" applyBorder="1" applyAlignment="1" applyProtection="1">
      <alignment horizontal="left"/>
      <protection/>
    </xf>
    <xf numFmtId="3" fontId="3" fillId="0" borderId="123" xfId="0" applyNumberFormat="1" applyFont="1" applyFill="1" applyBorder="1" applyAlignment="1" applyProtection="1">
      <alignment horizontal="right"/>
      <protection locked="0"/>
    </xf>
    <xf numFmtId="3" fontId="3" fillId="27" borderId="12" xfId="0" applyNumberFormat="1" applyFont="1" applyFill="1" applyBorder="1" applyAlignment="1" applyProtection="1">
      <alignment horizontal="right"/>
      <protection locked="0"/>
    </xf>
    <xf numFmtId="3" fontId="3" fillId="28" borderId="12" xfId="0" applyNumberFormat="1" applyFont="1" applyFill="1" applyBorder="1" applyAlignment="1" applyProtection="1">
      <alignment horizontal="right"/>
      <protection/>
    </xf>
    <xf numFmtId="3" fontId="3" fillId="27" borderId="37" xfId="0" applyNumberFormat="1" applyFont="1" applyFill="1" applyBorder="1" applyAlignment="1" applyProtection="1">
      <alignment horizontal="right"/>
      <protection locked="0"/>
    </xf>
    <xf numFmtId="3" fontId="3" fillId="28" borderId="116" xfId="0" applyNumberFormat="1" applyFont="1" applyFill="1" applyBorder="1" applyAlignment="1" applyProtection="1">
      <alignment horizontal="right"/>
      <protection/>
    </xf>
    <xf numFmtId="3" fontId="4" fillId="17" borderId="89" xfId="0" applyNumberFormat="1" applyFont="1" applyFill="1" applyBorder="1" applyAlignment="1" applyProtection="1">
      <alignment/>
      <protection/>
    </xf>
    <xf numFmtId="3" fontId="6" fillId="0" borderId="65" xfId="0" applyNumberFormat="1" applyFont="1" applyFill="1" applyBorder="1" applyAlignment="1" applyProtection="1">
      <alignment/>
      <protection/>
    </xf>
    <xf numFmtId="3" fontId="6" fillId="0" borderId="64" xfId="0" applyNumberFormat="1" applyFont="1" applyFill="1" applyBorder="1" applyAlignment="1" applyProtection="1">
      <alignment/>
      <protection/>
    </xf>
    <xf numFmtId="0" fontId="0" fillId="27" borderId="65" xfId="0" applyFont="1" applyFill="1" applyBorder="1" applyAlignment="1" applyProtection="1">
      <alignment/>
      <protection/>
    </xf>
    <xf numFmtId="3" fontId="3" fillId="0" borderId="34" xfId="0" applyNumberFormat="1" applyFont="1" applyFill="1" applyBorder="1" applyAlignment="1" applyProtection="1">
      <alignment/>
      <protection locked="0"/>
    </xf>
    <xf numFmtId="3" fontId="39" fillId="42" borderId="145" xfId="0" applyNumberFormat="1" applyFont="1" applyFill="1" applyBorder="1" applyAlignment="1" applyProtection="1">
      <alignment/>
      <protection/>
    </xf>
    <xf numFmtId="0" fontId="4" fillId="17" borderId="193" xfId="0" applyFont="1" applyFill="1" applyBorder="1" applyAlignment="1" applyProtection="1">
      <alignment/>
      <protection/>
    </xf>
    <xf numFmtId="0" fontId="4" fillId="17" borderId="36" xfId="0" applyFont="1" applyFill="1" applyBorder="1" applyAlignment="1" applyProtection="1">
      <alignment/>
      <protection/>
    </xf>
    <xf numFmtId="3" fontId="3" fillId="42" borderId="0" xfId="0" applyNumberFormat="1" applyFont="1" applyFill="1" applyBorder="1" applyAlignment="1" applyProtection="1">
      <alignment horizontal="right"/>
      <protection/>
    </xf>
    <xf numFmtId="0" fontId="3" fillId="17" borderId="64" xfId="0" applyFont="1" applyFill="1" applyBorder="1" applyAlignment="1" applyProtection="1">
      <alignment/>
      <protection/>
    </xf>
    <xf numFmtId="0" fontId="4" fillId="17" borderId="64" xfId="0" applyFont="1" applyFill="1" applyBorder="1" applyAlignment="1" applyProtection="1">
      <alignment horizontal="center"/>
      <protection/>
    </xf>
    <xf numFmtId="0" fontId="3" fillId="42" borderId="0" xfId="0" applyFont="1" applyFill="1" applyBorder="1" applyAlignment="1" applyProtection="1">
      <alignment/>
      <protection/>
    </xf>
    <xf numFmtId="0" fontId="3" fillId="42" borderId="64" xfId="0" applyFont="1" applyFill="1" applyBorder="1" applyAlignment="1" applyProtection="1">
      <alignment/>
      <protection/>
    </xf>
    <xf numFmtId="14" fontId="4" fillId="17" borderId="76" xfId="0" applyNumberFormat="1" applyFont="1" applyFill="1" applyBorder="1" applyAlignment="1" applyProtection="1">
      <alignment horizontal="center"/>
      <protection/>
    </xf>
    <xf numFmtId="14" fontId="4" fillId="17" borderId="133" xfId="0" applyNumberFormat="1" applyFont="1" applyFill="1" applyBorder="1" applyAlignment="1" applyProtection="1">
      <alignment horizontal="center"/>
      <protection/>
    </xf>
    <xf numFmtId="0" fontId="4" fillId="17" borderId="114" xfId="0" applyFont="1" applyFill="1" applyBorder="1" applyAlignment="1" applyProtection="1">
      <alignment/>
      <protection/>
    </xf>
    <xf numFmtId="14" fontId="4" fillId="17" borderId="109" xfId="0" applyNumberFormat="1" applyFont="1" applyFill="1" applyBorder="1" applyAlignment="1" applyProtection="1">
      <alignment horizontal="center"/>
      <protection/>
    </xf>
    <xf numFmtId="3" fontId="3" fillId="42" borderId="49" xfId="0" applyNumberFormat="1" applyFont="1" applyFill="1" applyBorder="1" applyAlignment="1" applyProtection="1">
      <alignment horizontal="right"/>
      <protection/>
    </xf>
    <xf numFmtId="0" fontId="3" fillId="42" borderId="49" xfId="0" applyFont="1" applyFill="1" applyBorder="1" applyAlignment="1" applyProtection="1">
      <alignment/>
      <protection/>
    </xf>
    <xf numFmtId="0" fontId="3" fillId="42" borderId="66" xfId="0" applyFont="1" applyFill="1" applyBorder="1" applyAlignment="1" applyProtection="1">
      <alignment/>
      <protection/>
    </xf>
    <xf numFmtId="0" fontId="3" fillId="17" borderId="66" xfId="0" applyFont="1" applyFill="1" applyBorder="1" applyAlignment="1" applyProtection="1">
      <alignment/>
      <protection/>
    </xf>
    <xf numFmtId="14" fontId="4" fillId="17" borderId="0" xfId="0" applyNumberFormat="1" applyFont="1" applyFill="1" applyBorder="1" applyAlignment="1" applyProtection="1">
      <alignment horizontal="center"/>
      <protection/>
    </xf>
    <xf numFmtId="0" fontId="4" fillId="17" borderId="49" xfId="0" applyFont="1" applyFill="1" applyBorder="1" applyAlignment="1" applyProtection="1">
      <alignment/>
      <protection/>
    </xf>
    <xf numFmtId="0" fontId="4" fillId="17" borderId="123" xfId="0" applyFont="1" applyFill="1" applyBorder="1" applyAlignment="1" applyProtection="1">
      <alignment/>
      <protection/>
    </xf>
    <xf numFmtId="0" fontId="4" fillId="17" borderId="181" xfId="0" applyFont="1" applyFill="1" applyBorder="1" applyAlignment="1" applyProtection="1">
      <alignment/>
      <protection/>
    </xf>
    <xf numFmtId="0" fontId="3" fillId="17" borderId="36" xfId="0" applyFont="1" applyFill="1" applyBorder="1" applyAlignment="1" applyProtection="1">
      <alignment/>
      <protection/>
    </xf>
    <xf numFmtId="14" fontId="4" fillId="17" borderId="64" xfId="0" applyNumberFormat="1" applyFont="1" applyFill="1" applyBorder="1" applyAlignment="1" applyProtection="1">
      <alignment horizontal="center"/>
      <protection/>
    </xf>
    <xf numFmtId="14" fontId="4" fillId="17" borderId="49" xfId="0" applyNumberFormat="1" applyFont="1" applyFill="1" applyBorder="1" applyAlignment="1" applyProtection="1">
      <alignment horizontal="center"/>
      <protection/>
    </xf>
    <xf numFmtId="49" fontId="3" fillId="35" borderId="46" xfId="0" applyNumberFormat="1" applyFont="1" applyFill="1" applyBorder="1" applyAlignment="1" applyProtection="1">
      <alignment/>
      <protection/>
    </xf>
    <xf numFmtId="0" fontId="4" fillId="17" borderId="124" xfId="0" applyFont="1" applyFill="1" applyBorder="1" applyAlignment="1" applyProtection="1">
      <alignment/>
      <protection/>
    </xf>
    <xf numFmtId="0" fontId="4" fillId="17" borderId="141" xfId="0" applyFont="1" applyFill="1" applyBorder="1" applyAlignment="1" applyProtection="1">
      <alignment wrapText="1"/>
      <protection/>
    </xf>
    <xf numFmtId="3" fontId="3" fillId="34" borderId="124" xfId="53" applyNumberFormat="1" applyFont="1" applyFill="1" applyBorder="1" applyProtection="1">
      <alignment/>
      <protection locked="0"/>
    </xf>
    <xf numFmtId="0" fontId="4" fillId="17" borderId="170" xfId="0" applyFont="1" applyFill="1" applyBorder="1" applyAlignment="1" applyProtection="1">
      <alignment vertical="top" wrapText="1"/>
      <protection/>
    </xf>
    <xf numFmtId="1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" fontId="4" fillId="17" borderId="11" xfId="0" applyNumberFormat="1" applyFont="1" applyFill="1" applyBorder="1" applyAlignment="1" applyProtection="1">
      <alignment horizontal="center" vertical="center" wrapText="1"/>
      <protection/>
    </xf>
    <xf numFmtId="1" fontId="12" fillId="17" borderId="130" xfId="0" applyNumberFormat="1" applyFont="1" applyFill="1" applyBorder="1" applyAlignment="1" applyProtection="1">
      <alignment horizontal="center"/>
      <protection/>
    </xf>
    <xf numFmtId="0" fontId="4" fillId="17" borderId="47" xfId="0" applyFont="1" applyFill="1" applyBorder="1" applyAlignment="1" applyProtection="1">
      <alignment horizontal="center"/>
      <protection/>
    </xf>
    <xf numFmtId="49" fontId="4" fillId="17" borderId="146" xfId="0" applyNumberFormat="1" applyFont="1" applyFill="1" applyBorder="1" applyAlignment="1" applyProtection="1">
      <alignment horizontal="center" wrapText="1"/>
      <protection/>
    </xf>
    <xf numFmtId="1" fontId="6" fillId="17" borderId="130" xfId="0" applyNumberFormat="1" applyFont="1" applyFill="1" applyBorder="1" applyAlignment="1" applyProtection="1">
      <alignment horizontal="left"/>
      <protection/>
    </xf>
    <xf numFmtId="49" fontId="141" fillId="17" borderId="14" xfId="0" applyNumberFormat="1" applyFont="1" applyFill="1" applyBorder="1" applyAlignment="1" applyProtection="1">
      <alignment horizontal="center"/>
      <protection/>
    </xf>
    <xf numFmtId="49" fontId="4" fillId="17" borderId="71" xfId="0" applyNumberFormat="1" applyFont="1" applyFill="1" applyBorder="1" applyAlignment="1" applyProtection="1">
      <alignment horizontal="center" wrapText="1"/>
      <protection/>
    </xf>
    <xf numFmtId="49" fontId="4" fillId="17" borderId="102" xfId="0" applyNumberFormat="1" applyFont="1" applyFill="1" applyBorder="1" applyAlignment="1" applyProtection="1">
      <alignment horizontal="center"/>
      <protection/>
    </xf>
    <xf numFmtId="49" fontId="4" fillId="17" borderId="146" xfId="0" applyNumberFormat="1" applyFont="1" applyFill="1" applyBorder="1" applyAlignment="1" applyProtection="1">
      <alignment horizontal="center"/>
      <protection/>
    </xf>
    <xf numFmtId="0" fontId="12" fillId="17" borderId="130" xfId="0" applyFont="1" applyFill="1" applyBorder="1" applyAlignment="1" applyProtection="1">
      <alignment horizontal="center"/>
      <protection/>
    </xf>
    <xf numFmtId="0" fontId="4" fillId="17" borderId="212" xfId="0" applyFont="1" applyFill="1" applyBorder="1" applyAlignment="1" applyProtection="1">
      <alignment horizontal="center"/>
      <protection/>
    </xf>
    <xf numFmtId="0" fontId="4" fillId="17" borderId="14" xfId="0" applyFont="1" applyFill="1" applyBorder="1" applyAlignment="1" applyProtection="1">
      <alignment horizontal="center" wrapText="1"/>
      <protection/>
    </xf>
    <xf numFmtId="49" fontId="4" fillId="17" borderId="43" xfId="0" applyNumberFormat="1" applyFont="1" applyFill="1" applyBorder="1" applyAlignment="1" applyProtection="1">
      <alignment horizontal="center"/>
      <protection/>
    </xf>
    <xf numFmtId="49" fontId="4" fillId="17" borderId="44" xfId="0" applyNumberFormat="1" applyFont="1" applyFill="1" applyBorder="1" applyAlignment="1" applyProtection="1">
      <alignment horizontal="center"/>
      <protection/>
    </xf>
    <xf numFmtId="49" fontId="4" fillId="17" borderId="120" xfId="0" applyNumberFormat="1" applyFont="1" applyFill="1" applyBorder="1" applyAlignment="1" applyProtection="1">
      <alignment horizontal="center"/>
      <protection/>
    </xf>
    <xf numFmtId="1" fontId="4" fillId="17" borderId="81" xfId="0" applyNumberFormat="1" applyFont="1" applyFill="1" applyBorder="1" applyAlignment="1" applyProtection="1">
      <alignment horizontal="center"/>
      <protection/>
    </xf>
    <xf numFmtId="1" fontId="4" fillId="17" borderId="11" xfId="0" applyNumberFormat="1" applyFont="1" applyFill="1" applyBorder="1" applyAlignment="1" applyProtection="1">
      <alignment horizontal="center" wrapText="1"/>
      <protection/>
    </xf>
    <xf numFmtId="1" fontId="4" fillId="17" borderId="11" xfId="0" applyNumberFormat="1" applyFont="1" applyFill="1" applyBorder="1" applyAlignment="1" applyProtection="1">
      <alignment horizontal="center" wrapText="1"/>
      <protection/>
    </xf>
    <xf numFmtId="0" fontId="4" fillId="17" borderId="87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/>
      <protection/>
    </xf>
    <xf numFmtId="1" fontId="4" fillId="17" borderId="100" xfId="0" applyNumberFormat="1" applyFont="1" applyFill="1" applyBorder="1" applyAlignment="1" applyProtection="1">
      <alignment horizontal="center"/>
      <protection/>
    </xf>
    <xf numFmtId="49" fontId="4" fillId="17" borderId="23" xfId="0" applyNumberFormat="1" applyFont="1" applyFill="1" applyBorder="1" applyAlignment="1" applyProtection="1">
      <alignment horizontal="center"/>
      <protection/>
    </xf>
    <xf numFmtId="49" fontId="4" fillId="17" borderId="18" xfId="0" applyNumberFormat="1" applyFont="1" applyFill="1" applyBorder="1" applyAlignment="1" applyProtection="1">
      <alignment horizontal="center"/>
      <protection/>
    </xf>
    <xf numFmtId="0" fontId="4" fillId="17" borderId="105" xfId="0" applyFont="1" applyFill="1" applyBorder="1" applyAlignment="1" applyProtection="1">
      <alignment horizontal="center"/>
      <protection/>
    </xf>
    <xf numFmtId="1" fontId="4" fillId="17" borderId="34" xfId="0" applyNumberFormat="1" applyFont="1" applyFill="1" applyBorder="1" applyAlignment="1" applyProtection="1">
      <alignment horizontal="center"/>
      <protection/>
    </xf>
    <xf numFmtId="49" fontId="4" fillId="17" borderId="138" xfId="0" applyNumberFormat="1" applyFont="1" applyFill="1" applyBorder="1" applyAlignment="1" applyProtection="1">
      <alignment horizontal="center"/>
      <protection/>
    </xf>
    <xf numFmtId="1" fontId="4" fillId="17" borderId="94" xfId="0" applyNumberFormat="1" applyFont="1" applyFill="1" applyBorder="1" applyAlignment="1" applyProtection="1">
      <alignment horizontal="center"/>
      <protection/>
    </xf>
    <xf numFmtId="0" fontId="12" fillId="17" borderId="83" xfId="0" applyFont="1" applyFill="1" applyBorder="1" applyAlignment="1" applyProtection="1">
      <alignment horizontal="center" vertical="center"/>
      <protection/>
    </xf>
    <xf numFmtId="0" fontId="4" fillId="17" borderId="105" xfId="0" applyFont="1" applyFill="1" applyBorder="1" applyAlignment="1" applyProtection="1">
      <alignment horizontal="left" vertical="top" wrapText="1"/>
      <protection/>
    </xf>
    <xf numFmtId="3" fontId="4" fillId="17" borderId="34" xfId="0" applyNumberFormat="1" applyFont="1" applyFill="1" applyBorder="1" applyAlignment="1" applyProtection="1">
      <alignment horizontal="left" vertical="top" wrapText="1"/>
      <protection/>
    </xf>
    <xf numFmtId="3" fontId="4" fillId="17" borderId="87" xfId="0" applyNumberFormat="1" applyFont="1" applyFill="1" applyBorder="1" applyAlignment="1" applyProtection="1">
      <alignment/>
      <protection/>
    </xf>
    <xf numFmtId="3" fontId="4" fillId="17" borderId="106" xfId="0" applyNumberFormat="1" applyFont="1" applyFill="1" applyBorder="1" applyAlignment="1" applyProtection="1">
      <alignment/>
      <protection/>
    </xf>
    <xf numFmtId="0" fontId="8" fillId="50" borderId="170" xfId="0" applyFont="1" applyFill="1" applyBorder="1" applyAlignment="1" applyProtection="1">
      <alignment/>
      <protection/>
    </xf>
    <xf numFmtId="0" fontId="0" fillId="50" borderId="188" xfId="0" applyFill="1" applyBorder="1" applyAlignment="1" applyProtection="1">
      <alignment vertical="top" wrapText="1"/>
      <protection/>
    </xf>
    <xf numFmtId="0" fontId="8" fillId="50" borderId="71" xfId="0" applyFont="1" applyFill="1" applyBorder="1" applyAlignment="1" applyProtection="1">
      <alignment/>
      <protection/>
    </xf>
    <xf numFmtId="0" fontId="4" fillId="17" borderId="88" xfId="0" applyFont="1" applyFill="1" applyBorder="1" applyAlignment="1" applyProtection="1">
      <alignment vertical="top"/>
      <protection/>
    </xf>
    <xf numFmtId="0" fontId="4" fillId="17" borderId="34" xfId="0" applyFont="1" applyFill="1" applyBorder="1" applyAlignment="1" applyProtection="1">
      <alignment horizontal="left" vertical="top" wrapText="1"/>
      <protection/>
    </xf>
    <xf numFmtId="0" fontId="4" fillId="50" borderId="67" xfId="0" applyFont="1" applyFill="1" applyBorder="1" applyAlignment="1" applyProtection="1">
      <alignment/>
      <protection/>
    </xf>
    <xf numFmtId="0" fontId="6" fillId="50" borderId="169" xfId="0" applyFont="1" applyFill="1" applyBorder="1" applyAlignment="1" applyProtection="1">
      <alignment vertical="top" wrapText="1"/>
      <protection/>
    </xf>
    <xf numFmtId="0" fontId="8" fillId="50" borderId="73" xfId="0" applyFont="1" applyFill="1" applyBorder="1" applyAlignment="1" applyProtection="1">
      <alignment/>
      <protection/>
    </xf>
    <xf numFmtId="0" fontId="0" fillId="50" borderId="187" xfId="0" applyFill="1" applyBorder="1" applyAlignment="1" applyProtection="1">
      <alignment wrapText="1"/>
      <protection/>
    </xf>
    <xf numFmtId="0" fontId="4" fillId="17" borderId="33" xfId="0" applyFont="1" applyFill="1" applyBorder="1" applyAlignment="1" applyProtection="1">
      <alignment horizontal="left" vertical="top" wrapText="1"/>
      <protection/>
    </xf>
    <xf numFmtId="0" fontId="4" fillId="17" borderId="35" xfId="0" applyFont="1" applyFill="1" applyBorder="1" applyAlignment="1" applyProtection="1">
      <alignment horizontal="left" vertical="top" wrapText="1"/>
      <protection/>
    </xf>
    <xf numFmtId="0" fontId="12" fillId="17" borderId="107" xfId="0" applyFont="1" applyFill="1" applyBorder="1" applyAlignment="1" applyProtection="1">
      <alignment horizontal="center" vertical="center" wrapText="1"/>
      <protection/>
    </xf>
    <xf numFmtId="0" fontId="4" fillId="50" borderId="130" xfId="0" applyFont="1" applyFill="1" applyBorder="1" applyAlignment="1" applyProtection="1">
      <alignment/>
      <protection/>
    </xf>
    <xf numFmtId="0" fontId="6" fillId="50" borderId="36" xfId="53" applyFont="1" applyFill="1" applyBorder="1" applyAlignment="1" applyProtection="1">
      <alignment/>
      <protection/>
    </xf>
    <xf numFmtId="0" fontId="4" fillId="50" borderId="24" xfId="53" applyFont="1" applyFill="1" applyBorder="1" applyAlignment="1" applyProtection="1">
      <alignment horizontal="right"/>
      <protection/>
    </xf>
    <xf numFmtId="0" fontId="4" fillId="50" borderId="166" xfId="53" applyFont="1" applyFill="1" applyBorder="1" applyAlignment="1" applyProtection="1">
      <alignment/>
      <protection/>
    </xf>
    <xf numFmtId="0" fontId="4" fillId="50" borderId="24" xfId="53" applyFont="1" applyFill="1" applyBorder="1" applyAlignment="1" applyProtection="1">
      <alignment/>
      <protection/>
    </xf>
    <xf numFmtId="0" fontId="4" fillId="50" borderId="166" xfId="53" applyFont="1" applyFill="1" applyBorder="1" applyProtection="1">
      <alignment/>
      <protection/>
    </xf>
    <xf numFmtId="0" fontId="6" fillId="50" borderId="10" xfId="53" applyFont="1" applyFill="1" applyBorder="1" applyAlignment="1" applyProtection="1">
      <alignment vertical="top"/>
      <protection/>
    </xf>
    <xf numFmtId="0" fontId="4" fillId="50" borderId="71" xfId="53" applyFont="1" applyFill="1" applyBorder="1" applyAlignment="1" applyProtection="1">
      <alignment horizontal="right" vertical="top"/>
      <protection/>
    </xf>
    <xf numFmtId="0" fontId="4" fillId="50" borderId="100" xfId="53" applyFont="1" applyFill="1" applyBorder="1" applyAlignment="1" applyProtection="1">
      <alignment vertical="top"/>
      <protection/>
    </xf>
    <xf numFmtId="0" fontId="4" fillId="50" borderId="71" xfId="53" applyFont="1" applyFill="1" applyBorder="1" applyAlignment="1" applyProtection="1">
      <alignment vertical="top"/>
      <protection/>
    </xf>
    <xf numFmtId="0" fontId="4" fillId="17" borderId="14" xfId="0" applyFont="1" applyFill="1" applyBorder="1" applyAlignment="1" applyProtection="1">
      <alignment vertical="top"/>
      <protection/>
    </xf>
    <xf numFmtId="0" fontId="4" fillId="17" borderId="14" xfId="0" applyFont="1" applyFill="1" applyBorder="1" applyAlignment="1" applyProtection="1">
      <alignment horizontal="left" vertical="top" wrapText="1"/>
      <protection/>
    </xf>
    <xf numFmtId="170" fontId="28" fillId="0" borderId="0" xfId="0" applyNumberFormat="1" applyFont="1" applyFill="1" applyBorder="1" applyAlignment="1" applyProtection="1">
      <alignment horizontal="left" vertical="top" wrapText="1"/>
      <protection/>
    </xf>
    <xf numFmtId="3" fontId="3" fillId="27" borderId="0" xfId="0" applyNumberFormat="1" applyFont="1" applyFill="1" applyBorder="1" applyAlignment="1" applyProtection="1">
      <alignment horizontal="right"/>
      <protection locked="0"/>
    </xf>
    <xf numFmtId="3" fontId="3" fillId="27" borderId="0" xfId="0" applyNumberFormat="1" applyFont="1" applyFill="1" applyBorder="1" applyAlignment="1" applyProtection="1">
      <alignment horizontal="right"/>
      <protection/>
    </xf>
    <xf numFmtId="49" fontId="4" fillId="0" borderId="76" xfId="0" applyNumberFormat="1" applyFont="1" applyFill="1" applyBorder="1" applyAlignment="1" applyProtection="1">
      <alignment horizontal="center"/>
      <protection/>
    </xf>
    <xf numFmtId="0" fontId="6" fillId="0" borderId="76" xfId="0" applyFont="1" applyFill="1" applyBorder="1" applyAlignment="1" applyProtection="1">
      <alignment/>
      <protection/>
    </xf>
    <xf numFmtId="3" fontId="3" fillId="0" borderId="76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6" fillId="17" borderId="204" xfId="0" applyFont="1" applyFill="1" applyBorder="1" applyAlignment="1" applyProtection="1">
      <alignment horizontal="left"/>
      <protection/>
    </xf>
    <xf numFmtId="0" fontId="4" fillId="17" borderId="44" xfId="0" applyFont="1" applyFill="1" applyBorder="1" applyAlignment="1" applyProtection="1">
      <alignment horizontal="left"/>
      <protection/>
    </xf>
    <xf numFmtId="3" fontId="3" fillId="27" borderId="50" xfId="0" applyNumberFormat="1" applyFont="1" applyFill="1" applyBorder="1" applyAlignment="1" applyProtection="1">
      <alignment horizontal="right"/>
      <protection locked="0"/>
    </xf>
    <xf numFmtId="0" fontId="4" fillId="17" borderId="21" xfId="0" applyFont="1" applyFill="1" applyBorder="1" applyAlignment="1" applyProtection="1">
      <alignment horizontal="left"/>
      <protection/>
    </xf>
    <xf numFmtId="0" fontId="6" fillId="17" borderId="34" xfId="0" applyFont="1" applyFill="1" applyBorder="1" applyAlignment="1" applyProtection="1">
      <alignment horizontal="left"/>
      <protection/>
    </xf>
    <xf numFmtId="3" fontId="3" fillId="27" borderId="176" xfId="0" applyNumberFormat="1" applyFont="1" applyFill="1" applyBorder="1" applyAlignment="1" applyProtection="1">
      <alignment horizontal="right"/>
      <protection locked="0"/>
    </xf>
    <xf numFmtId="0" fontId="4" fillId="17" borderId="174" xfId="0" applyFont="1" applyFill="1" applyBorder="1" applyAlignment="1" applyProtection="1">
      <alignment horizontal="left" wrapText="1"/>
      <protection/>
    </xf>
    <xf numFmtId="49" fontId="4" fillId="0" borderId="222" xfId="0" applyNumberFormat="1" applyFont="1" applyFill="1" applyBorder="1" applyAlignment="1" applyProtection="1">
      <alignment horizontal="center"/>
      <protection/>
    </xf>
    <xf numFmtId="49" fontId="4" fillId="0" borderId="222" xfId="0" applyNumberFormat="1" applyFont="1" applyFill="1" applyBorder="1" applyAlignment="1" applyProtection="1">
      <alignment horizontal="center" wrapText="1"/>
      <protection/>
    </xf>
    <xf numFmtId="49" fontId="4" fillId="0" borderId="222" xfId="0" applyNumberFormat="1" applyFont="1" applyFill="1" applyBorder="1" applyAlignment="1" applyProtection="1">
      <alignment horizontal="left"/>
      <protection/>
    </xf>
    <xf numFmtId="3" fontId="4" fillId="17" borderId="24" xfId="0" applyNumberFormat="1" applyFont="1" applyFill="1" applyBorder="1" applyAlignment="1" applyProtection="1">
      <alignment horizontal="left" wrapText="1"/>
      <protection/>
    </xf>
    <xf numFmtId="3" fontId="4" fillId="17" borderId="180" xfId="0" applyNumberFormat="1" applyFont="1" applyFill="1" applyBorder="1" applyAlignment="1" applyProtection="1">
      <alignment horizontal="left" wrapText="1"/>
      <protection/>
    </xf>
    <xf numFmtId="3" fontId="4" fillId="17" borderId="203" xfId="0" applyNumberFormat="1" applyFont="1" applyFill="1" applyBorder="1" applyAlignment="1" applyProtection="1">
      <alignment horizontal="left" wrapText="1"/>
      <protection/>
    </xf>
    <xf numFmtId="3" fontId="4" fillId="17" borderId="180" xfId="0" applyNumberFormat="1" applyFont="1" applyFill="1" applyBorder="1" applyAlignment="1" applyProtection="1">
      <alignment horizontal="left" vertical="top"/>
      <protection/>
    </xf>
    <xf numFmtId="3" fontId="4" fillId="17" borderId="67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Alignment="1" applyProtection="1">
      <alignment vertical="center"/>
      <protection/>
    </xf>
    <xf numFmtId="0" fontId="65" fillId="27" borderId="0" xfId="0" applyFont="1" applyFill="1" applyAlignment="1" applyProtection="1">
      <alignment/>
      <protection/>
    </xf>
    <xf numFmtId="0" fontId="142" fillId="0" borderId="0" xfId="0" applyNumberFormat="1" applyFont="1" applyFill="1" applyBorder="1" applyAlignment="1" applyProtection="1">
      <alignment horizontal="left"/>
      <protection/>
    </xf>
    <xf numFmtId="3" fontId="6" fillId="17" borderId="130" xfId="0" applyNumberFormat="1" applyFont="1" applyFill="1" applyBorder="1" applyAlignment="1" applyProtection="1">
      <alignment horizontal="left"/>
      <protection/>
    </xf>
    <xf numFmtId="3" fontId="6" fillId="17" borderId="24" xfId="0" applyNumberFormat="1" applyFont="1" applyFill="1" applyBorder="1" applyAlignment="1" applyProtection="1">
      <alignment horizontal="left" vertical="top" wrapText="1"/>
      <protection/>
    </xf>
    <xf numFmtId="0" fontId="135" fillId="0" borderId="0" xfId="0" applyFont="1" applyFill="1" applyBorder="1" applyAlignment="1" applyProtection="1">
      <alignment/>
      <protection/>
    </xf>
    <xf numFmtId="49" fontId="4" fillId="17" borderId="71" xfId="0" applyNumberFormat="1" applyFont="1" applyFill="1" applyBorder="1" applyAlignment="1" applyProtection="1">
      <alignment horizontal="left"/>
      <protection/>
    </xf>
    <xf numFmtId="3" fontId="3" fillId="34" borderId="70" xfId="0" applyNumberFormat="1" applyFont="1" applyFill="1" applyBorder="1" applyAlignment="1" applyProtection="1">
      <alignment/>
      <protection/>
    </xf>
    <xf numFmtId="3" fontId="3" fillId="34" borderId="7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3" fontId="135" fillId="0" borderId="0" xfId="0" applyNumberFormat="1" applyFont="1" applyFill="1" applyBorder="1" applyAlignment="1" applyProtection="1">
      <alignment/>
      <protection/>
    </xf>
    <xf numFmtId="3" fontId="10" fillId="0" borderId="14" xfId="0" applyNumberFormat="1" applyFont="1" applyFill="1" applyBorder="1" applyAlignment="1" applyProtection="1" quotePrefix="1">
      <alignment horizontal="right"/>
      <protection locked="0"/>
    </xf>
    <xf numFmtId="3" fontId="10" fillId="0" borderId="59" xfId="0" applyNumberFormat="1" applyFont="1" applyFill="1" applyBorder="1" applyAlignment="1" applyProtection="1" quotePrefix="1">
      <alignment horizontal="right"/>
      <protection locked="0"/>
    </xf>
    <xf numFmtId="0" fontId="135" fillId="27" borderId="0" xfId="0" applyFont="1" applyFill="1" applyBorder="1" applyAlignment="1" applyProtection="1">
      <alignment/>
      <protection/>
    </xf>
    <xf numFmtId="0" fontId="13" fillId="27" borderId="0" xfId="0" applyFont="1" applyFill="1" applyBorder="1" applyAlignment="1" applyProtection="1">
      <alignment/>
      <protection/>
    </xf>
    <xf numFmtId="0" fontId="28" fillId="49" borderId="0" xfId="0" applyFont="1" applyFill="1" applyAlignment="1" applyProtection="1">
      <alignment/>
      <protection/>
    </xf>
    <xf numFmtId="49" fontId="4" fillId="49" borderId="0" xfId="0" applyNumberFormat="1" applyFont="1" applyFill="1" applyBorder="1" applyAlignment="1" applyProtection="1">
      <alignment horizontal="center"/>
      <protection/>
    </xf>
    <xf numFmtId="1" fontId="4" fillId="49" borderId="0" xfId="0" applyNumberFormat="1" applyFont="1" applyFill="1" applyBorder="1" applyAlignment="1" applyProtection="1">
      <alignment horizontal="center"/>
      <protection/>
    </xf>
    <xf numFmtId="1" fontId="4" fillId="49" borderId="0" xfId="0" applyNumberFormat="1" applyFont="1" applyFill="1" applyBorder="1" applyAlignment="1" applyProtection="1">
      <alignment horizontal="left"/>
      <protection/>
    </xf>
    <xf numFmtId="3" fontId="143" fillId="17" borderId="38" xfId="0" applyNumberFormat="1" applyFont="1" applyFill="1" applyBorder="1" applyAlignment="1" applyProtection="1">
      <alignment horizontal="center"/>
      <protection/>
    </xf>
    <xf numFmtId="3" fontId="143" fillId="17" borderId="36" xfId="0" applyNumberFormat="1" applyFont="1" applyFill="1" applyBorder="1" applyAlignment="1" applyProtection="1">
      <alignment/>
      <protection/>
    </xf>
    <xf numFmtId="3" fontId="143" fillId="17" borderId="0" xfId="0" applyNumberFormat="1" applyFont="1" applyFill="1" applyBorder="1" applyAlignment="1" applyProtection="1">
      <alignment/>
      <protection/>
    </xf>
    <xf numFmtId="3" fontId="143" fillId="17" borderId="52" xfId="0" applyNumberFormat="1" applyFont="1" applyFill="1" applyBorder="1" applyAlignment="1" applyProtection="1">
      <alignment/>
      <protection/>
    </xf>
    <xf numFmtId="0" fontId="143" fillId="27" borderId="0" xfId="0" applyFont="1" applyFill="1" applyAlignment="1" applyProtection="1">
      <alignment/>
      <protection/>
    </xf>
    <xf numFmtId="0" fontId="144" fillId="27" borderId="0" xfId="0" applyFont="1" applyFill="1" applyBorder="1" applyAlignment="1" applyProtection="1">
      <alignment/>
      <protection/>
    </xf>
    <xf numFmtId="0" fontId="9" fillId="27" borderId="101" xfId="0" applyFont="1" applyFill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27" borderId="10" xfId="0" applyFill="1" applyBorder="1" applyAlignment="1" applyProtection="1">
      <alignment/>
      <protection/>
    </xf>
    <xf numFmtId="0" fontId="4" fillId="27" borderId="10" xfId="0" applyFont="1" applyFill="1" applyBorder="1" applyAlignment="1" applyProtection="1">
      <alignment/>
      <protection/>
    </xf>
    <xf numFmtId="10" fontId="39" fillId="51" borderId="208" xfId="0" applyNumberFormat="1" applyFont="1" applyFill="1" applyBorder="1" applyAlignment="1" applyProtection="1">
      <alignment/>
      <protection/>
    </xf>
    <xf numFmtId="10" fontId="39" fillId="51" borderId="134" xfId="0" applyNumberFormat="1" applyFont="1" applyFill="1" applyBorder="1" applyAlignment="1" applyProtection="1">
      <alignment/>
      <protection/>
    </xf>
    <xf numFmtId="0" fontId="4" fillId="17" borderId="44" xfId="0" applyFont="1" applyFill="1" applyBorder="1" applyAlignment="1" applyProtection="1">
      <alignment/>
      <protection/>
    </xf>
    <xf numFmtId="3" fontId="9" fillId="27" borderId="125" xfId="0" applyNumberFormat="1" applyFont="1" applyFill="1" applyBorder="1" applyAlignment="1" applyProtection="1">
      <alignment/>
      <protection locked="0"/>
    </xf>
    <xf numFmtId="3" fontId="9" fillId="27" borderId="82" xfId="0" applyNumberFormat="1" applyFont="1" applyFill="1" applyBorder="1" applyAlignment="1" applyProtection="1">
      <alignment/>
      <protection locked="0"/>
    </xf>
    <xf numFmtId="3" fontId="3" fillId="17" borderId="223" xfId="0" applyNumberFormat="1" applyFont="1" applyFill="1" applyBorder="1" applyAlignment="1" applyProtection="1">
      <alignment horizontal="right"/>
      <protection/>
    </xf>
    <xf numFmtId="0" fontId="4" fillId="17" borderId="24" xfId="0" applyFont="1" applyFill="1" applyBorder="1" applyAlignment="1" applyProtection="1">
      <alignment vertical="top" wrapText="1"/>
      <protection/>
    </xf>
    <xf numFmtId="3" fontId="4" fillId="17" borderId="24" xfId="53" applyNumberFormat="1" applyFont="1" applyFill="1" applyBorder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27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59" fillId="27" borderId="0" xfId="0" applyFont="1" applyFill="1" applyBorder="1" applyAlignment="1" applyProtection="1">
      <alignment/>
      <protection/>
    </xf>
    <xf numFmtId="0" fontId="64" fillId="27" borderId="0" xfId="0" applyFont="1" applyFill="1" applyBorder="1" applyAlignment="1" applyProtection="1">
      <alignment/>
      <protection/>
    </xf>
    <xf numFmtId="0" fontId="30" fillId="27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01" fillId="0" borderId="0" xfId="48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top"/>
      <protection/>
    </xf>
    <xf numFmtId="0" fontId="77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49" fontId="145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/>
      <protection/>
    </xf>
    <xf numFmtId="1" fontId="49" fillId="0" borderId="0" xfId="53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vertical="top" wrapText="1"/>
    </xf>
    <xf numFmtId="1" fontId="48" fillId="0" borderId="0" xfId="53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3" fontId="4" fillId="17" borderId="36" xfId="53" applyNumberFormat="1" applyFont="1" applyFill="1" applyBorder="1" applyProtection="1">
      <alignment/>
      <protection/>
    </xf>
    <xf numFmtId="3" fontId="4" fillId="17" borderId="76" xfId="0" applyNumberFormat="1" applyFont="1" applyFill="1" applyBorder="1" applyAlignment="1" applyProtection="1">
      <alignment wrapText="1"/>
      <protection/>
    </xf>
    <xf numFmtId="0" fontId="6" fillId="17" borderId="130" xfId="0" applyFont="1" applyFill="1" applyBorder="1" applyAlignment="1" applyProtection="1">
      <alignment horizontal="left"/>
      <protection/>
    </xf>
    <xf numFmtId="3" fontId="39" fillId="43" borderId="31" xfId="0" applyNumberFormat="1" applyFont="1" applyFill="1" applyBorder="1" applyAlignment="1" applyProtection="1">
      <alignment/>
      <protection/>
    </xf>
    <xf numFmtId="0" fontId="6" fillId="17" borderId="162" xfId="0" applyFont="1" applyFill="1" applyBorder="1" applyAlignment="1" applyProtection="1">
      <alignment horizontal="center" vertical="center" wrapText="1"/>
      <protection/>
    </xf>
    <xf numFmtId="3" fontId="39" fillId="42" borderId="164" xfId="0" applyNumberFormat="1" applyFont="1" applyFill="1" applyBorder="1" applyAlignment="1" applyProtection="1">
      <alignment/>
      <protection/>
    </xf>
    <xf numFmtId="3" fontId="39" fillId="43" borderId="213" xfId="0" applyNumberFormat="1" applyFont="1" applyFill="1" applyBorder="1" applyAlignment="1" applyProtection="1">
      <alignment/>
      <protection/>
    </xf>
    <xf numFmtId="3" fontId="39" fillId="42" borderId="135" xfId="0" applyNumberFormat="1" applyFont="1" applyFill="1" applyBorder="1" applyAlignment="1" applyProtection="1">
      <alignment/>
      <protection/>
    </xf>
    <xf numFmtId="0" fontId="4" fillId="17" borderId="147" xfId="0" applyFont="1" applyFill="1" applyBorder="1" applyAlignment="1" applyProtection="1">
      <alignment horizontal="center"/>
      <protection/>
    </xf>
    <xf numFmtId="0" fontId="4" fillId="17" borderId="224" xfId="0" applyFont="1" applyFill="1" applyBorder="1" applyAlignment="1" applyProtection="1">
      <alignment horizontal="center"/>
      <protection/>
    </xf>
    <xf numFmtId="0" fontId="6" fillId="17" borderId="130" xfId="0" applyFont="1" applyFill="1" applyBorder="1" applyAlignment="1" applyProtection="1">
      <alignment/>
      <protection/>
    </xf>
    <xf numFmtId="49" fontId="4" fillId="17" borderId="140" xfId="0" applyNumberFormat="1" applyFont="1" applyFill="1" applyBorder="1" applyAlignment="1" applyProtection="1">
      <alignment horizontal="center"/>
      <protection/>
    </xf>
    <xf numFmtId="49" fontId="4" fillId="17" borderId="172" xfId="0" applyNumberFormat="1" applyFont="1" applyFill="1" applyBorder="1" applyAlignment="1" applyProtection="1">
      <alignment horizontal="center"/>
      <protection/>
    </xf>
    <xf numFmtId="1" fontId="4" fillId="17" borderId="81" xfId="0" applyNumberFormat="1" applyFont="1" applyFill="1" applyBorder="1" applyAlignment="1" applyProtection="1">
      <alignment horizontal="center" vertical="top" wrapText="1"/>
      <protection/>
    </xf>
    <xf numFmtId="0" fontId="6" fillId="17" borderId="99" xfId="0" applyFont="1" applyFill="1" applyBorder="1" applyAlignment="1" applyProtection="1">
      <alignment horizontal="left"/>
      <protection/>
    </xf>
    <xf numFmtId="0" fontId="4" fillId="17" borderId="44" xfId="0" applyFont="1" applyFill="1" applyBorder="1" applyAlignment="1" applyProtection="1">
      <alignment horizontal="center"/>
      <protection/>
    </xf>
    <xf numFmtId="0" fontId="4" fillId="17" borderId="81" xfId="0" applyFont="1" applyFill="1" applyBorder="1" applyAlignment="1" applyProtection="1">
      <alignment horizontal="center"/>
      <protection/>
    </xf>
    <xf numFmtId="0" fontId="4" fillId="17" borderId="218" xfId="0" applyFont="1" applyFill="1" applyBorder="1" applyAlignment="1" applyProtection="1">
      <alignment/>
      <protection/>
    </xf>
    <xf numFmtId="3" fontId="6" fillId="27" borderId="76" xfId="0" applyNumberFormat="1" applyFont="1" applyFill="1" applyBorder="1" applyAlignment="1" applyProtection="1">
      <alignment/>
      <protection/>
    </xf>
    <xf numFmtId="0" fontId="28" fillId="17" borderId="52" xfId="0" applyFont="1" applyFill="1" applyBorder="1" applyAlignment="1" applyProtection="1">
      <alignment/>
      <protection/>
    </xf>
    <xf numFmtId="3" fontId="87" fillId="17" borderId="108" xfId="0" applyNumberFormat="1" applyFont="1" applyFill="1" applyBorder="1" applyAlignment="1" applyProtection="1">
      <alignment/>
      <protection/>
    </xf>
    <xf numFmtId="3" fontId="13" fillId="17" borderId="180" xfId="0" applyNumberFormat="1" applyFont="1" applyFill="1" applyBorder="1" applyAlignment="1" applyProtection="1">
      <alignment/>
      <protection/>
    </xf>
    <xf numFmtId="0" fontId="2" fillId="17" borderId="180" xfId="0" applyFont="1" applyFill="1" applyBorder="1" applyAlignment="1" applyProtection="1">
      <alignment/>
      <protection/>
    </xf>
    <xf numFmtId="3" fontId="13" fillId="17" borderId="25" xfId="0" applyNumberFormat="1" applyFont="1" applyFill="1" applyBorder="1" applyAlignment="1" applyProtection="1">
      <alignment/>
      <protection/>
    </xf>
    <xf numFmtId="0" fontId="4" fillId="17" borderId="25" xfId="0" applyFont="1" applyFill="1" applyBorder="1" applyAlignment="1" applyProtection="1">
      <alignment horizontal="left"/>
      <protection/>
    </xf>
    <xf numFmtId="0" fontId="4" fillId="17" borderId="180" xfId="0" applyFont="1" applyFill="1" applyBorder="1" applyAlignment="1" applyProtection="1">
      <alignment horizontal="left"/>
      <protection/>
    </xf>
    <xf numFmtId="3" fontId="38" fillId="17" borderId="180" xfId="0" applyNumberFormat="1" applyFont="1" applyFill="1" applyBorder="1" applyAlignment="1" applyProtection="1">
      <alignment/>
      <protection/>
    </xf>
    <xf numFmtId="3" fontId="28" fillId="17" borderId="52" xfId="0" applyNumberFormat="1" applyFont="1" applyFill="1" applyBorder="1" applyAlignment="1" applyProtection="1">
      <alignment/>
      <protection/>
    </xf>
    <xf numFmtId="0" fontId="0" fillId="17" borderId="141" xfId="0" applyFont="1" applyFill="1" applyBorder="1" applyAlignment="1" applyProtection="1">
      <alignment/>
      <protection/>
    </xf>
    <xf numFmtId="0" fontId="6" fillId="17" borderId="30" xfId="0" applyFont="1" applyFill="1" applyBorder="1" applyAlignment="1" applyProtection="1">
      <alignment horizontal="center"/>
      <protection/>
    </xf>
    <xf numFmtId="0" fontId="4" fillId="17" borderId="52" xfId="0" applyFont="1" applyFill="1" applyBorder="1" applyAlignment="1" applyProtection="1">
      <alignment wrapText="1"/>
      <protection/>
    </xf>
    <xf numFmtId="0" fontId="6" fillId="17" borderId="114" xfId="0" applyFont="1" applyFill="1" applyBorder="1" applyAlignment="1" applyProtection="1">
      <alignment/>
      <protection/>
    </xf>
    <xf numFmtId="0" fontId="4" fillId="17" borderId="130" xfId="0" applyFont="1" applyFill="1" applyBorder="1" applyAlignment="1" applyProtection="1">
      <alignment vertical="top" wrapText="1"/>
      <protection/>
    </xf>
    <xf numFmtId="0" fontId="4" fillId="17" borderId="99" xfId="0" applyFont="1" applyFill="1" applyBorder="1" applyAlignment="1" applyProtection="1">
      <alignment vertical="top" wrapText="1"/>
      <protection/>
    </xf>
    <xf numFmtId="49" fontId="4" fillId="35" borderId="55" xfId="0" applyNumberFormat="1" applyFont="1" applyFill="1" applyBorder="1" applyAlignment="1" applyProtection="1">
      <alignment vertical="top" wrapText="1"/>
      <protection/>
    </xf>
    <xf numFmtId="10" fontId="39" fillId="51" borderId="208" xfId="0" applyNumberFormat="1" applyFont="1" applyFill="1" applyBorder="1" applyAlignment="1" applyProtection="1">
      <alignment horizontal="right"/>
      <protection/>
    </xf>
    <xf numFmtId="3" fontId="28" fillId="17" borderId="64" xfId="0" applyNumberFormat="1" applyFont="1" applyFill="1" applyBorder="1" applyAlignment="1" applyProtection="1">
      <alignment/>
      <protection/>
    </xf>
    <xf numFmtId="3" fontId="4" fillId="17" borderId="64" xfId="53" applyNumberFormat="1" applyFont="1" applyFill="1" applyBorder="1" applyProtection="1">
      <alignment/>
      <protection/>
    </xf>
    <xf numFmtId="0" fontId="4" fillId="17" borderId="64" xfId="53" applyFont="1" applyFill="1" applyBorder="1" applyAlignment="1" applyProtection="1">
      <alignment wrapText="1"/>
      <protection/>
    </xf>
    <xf numFmtId="0" fontId="8" fillId="17" borderId="36" xfId="53" applyFont="1" applyFill="1" applyBorder="1" applyAlignment="1" applyProtection="1">
      <alignment horizontal="left"/>
      <protection/>
    </xf>
    <xf numFmtId="0" fontId="8" fillId="17" borderId="64" xfId="53" applyFont="1" applyFill="1" applyBorder="1" applyAlignment="1" applyProtection="1">
      <alignment horizontal="left" wrapText="1"/>
      <protection/>
    </xf>
    <xf numFmtId="3" fontId="35" fillId="17" borderId="36" xfId="53" applyNumberFormat="1" applyFont="1" applyFill="1" applyBorder="1" applyProtection="1">
      <alignment/>
      <protection/>
    </xf>
    <xf numFmtId="3" fontId="35" fillId="17" borderId="64" xfId="53" applyNumberFormat="1" applyFont="1" applyFill="1" applyBorder="1" applyProtection="1">
      <alignment/>
      <protection/>
    </xf>
    <xf numFmtId="3" fontId="4" fillId="17" borderId="133" xfId="0" applyNumberFormat="1" applyFont="1" applyFill="1" applyBorder="1" applyAlignment="1" applyProtection="1">
      <alignment wrapText="1"/>
      <protection/>
    </xf>
    <xf numFmtId="0" fontId="6" fillId="17" borderId="76" xfId="0" applyFont="1" applyFill="1" applyBorder="1" applyAlignment="1" applyProtection="1">
      <alignment horizontal="center"/>
      <protection/>
    </xf>
    <xf numFmtId="0" fontId="6" fillId="17" borderId="0" xfId="0" applyFont="1" applyFill="1" applyBorder="1" applyAlignment="1" applyProtection="1">
      <alignment horizontal="center"/>
      <protection/>
    </xf>
    <xf numFmtId="0" fontId="6" fillId="17" borderId="10" xfId="0" applyFont="1" applyFill="1" applyBorder="1" applyAlignment="1" applyProtection="1">
      <alignment horizontal="center"/>
      <protection/>
    </xf>
    <xf numFmtId="0" fontId="135" fillId="17" borderId="225" xfId="0" applyFont="1" applyFill="1" applyBorder="1" applyAlignment="1" applyProtection="1">
      <alignment horizontal="left"/>
      <protection/>
    </xf>
    <xf numFmtId="0" fontId="135" fillId="17" borderId="76" xfId="0" applyFont="1" applyFill="1" applyBorder="1" applyAlignment="1" applyProtection="1">
      <alignment horizontal="left"/>
      <protection/>
    </xf>
    <xf numFmtId="0" fontId="135" fillId="17" borderId="0" xfId="0" applyFont="1" applyFill="1" applyBorder="1" applyAlignment="1" applyProtection="1">
      <alignment horizontal="left"/>
      <protection/>
    </xf>
    <xf numFmtId="0" fontId="135" fillId="17" borderId="62" xfId="0" applyFont="1" applyFill="1" applyBorder="1" applyAlignment="1" applyProtection="1">
      <alignment horizontal="left"/>
      <protection/>
    </xf>
    <xf numFmtId="0" fontId="135" fillId="17" borderId="89" xfId="0" applyFont="1" applyFill="1" applyBorder="1" applyAlignment="1" applyProtection="1">
      <alignment horizontal="left"/>
      <protection/>
    </xf>
    <xf numFmtId="0" fontId="135" fillId="17" borderId="20" xfId="0" applyFont="1" applyFill="1" applyBorder="1" applyAlignment="1" applyProtection="1">
      <alignment horizontal="left"/>
      <protection/>
    </xf>
    <xf numFmtId="0" fontId="135" fillId="17" borderId="49" xfId="0" applyFont="1" applyFill="1" applyBorder="1" applyAlignment="1" applyProtection="1">
      <alignment horizontal="left"/>
      <protection/>
    </xf>
    <xf numFmtId="0" fontId="135" fillId="17" borderId="87" xfId="0" applyFont="1" applyFill="1" applyBorder="1" applyAlignment="1" applyProtection="1">
      <alignment horizontal="left"/>
      <protection/>
    </xf>
    <xf numFmtId="9" fontId="4" fillId="17" borderId="226" xfId="0" applyNumberFormat="1" applyFont="1" applyFill="1" applyBorder="1" applyAlignment="1" applyProtection="1">
      <alignment horizontal="right"/>
      <protection/>
    </xf>
    <xf numFmtId="9" fontId="4" fillId="17" borderId="99" xfId="0" applyNumberFormat="1" applyFont="1" applyFill="1" applyBorder="1" applyAlignment="1" applyProtection="1">
      <alignment horizontal="right"/>
      <protection/>
    </xf>
    <xf numFmtId="9" fontId="4" fillId="17" borderId="67" xfId="0" applyNumberFormat="1" applyFont="1" applyFill="1" applyBorder="1" applyAlignment="1" applyProtection="1">
      <alignment horizontal="right"/>
      <protection/>
    </xf>
    <xf numFmtId="9" fontId="4" fillId="17" borderId="27" xfId="0" applyNumberFormat="1" applyFont="1" applyFill="1" applyBorder="1" applyAlignment="1" applyProtection="1">
      <alignment horizontal="right"/>
      <protection/>
    </xf>
    <xf numFmtId="9" fontId="4" fillId="17" borderId="35" xfId="0" applyNumberFormat="1" applyFont="1" applyFill="1" applyBorder="1" applyAlignment="1" applyProtection="1">
      <alignment horizontal="right"/>
      <protection/>
    </xf>
    <xf numFmtId="9" fontId="4" fillId="17" borderId="80" xfId="0" applyNumberFormat="1" applyFont="1" applyFill="1" applyBorder="1" applyAlignment="1" applyProtection="1">
      <alignment horizontal="right"/>
      <protection/>
    </xf>
    <xf numFmtId="9" fontId="4" fillId="17" borderId="75" xfId="0" applyNumberFormat="1" applyFont="1" applyFill="1" applyBorder="1" applyAlignment="1" applyProtection="1">
      <alignment horizontal="right"/>
      <protection/>
    </xf>
    <xf numFmtId="9" fontId="4" fillId="17" borderId="28" xfId="0" applyNumberFormat="1" applyFont="1" applyFill="1" applyBorder="1" applyAlignment="1" applyProtection="1">
      <alignment horizontal="right"/>
      <protection/>
    </xf>
    <xf numFmtId="0" fontId="135" fillId="17" borderId="76" xfId="0" applyFont="1" applyFill="1" applyBorder="1" applyAlignment="1" applyProtection="1">
      <alignment horizontal="right"/>
      <protection/>
    </xf>
    <xf numFmtId="0" fontId="135" fillId="17" borderId="0" xfId="0" applyFont="1" applyFill="1" applyBorder="1" applyAlignment="1" applyProtection="1">
      <alignment horizontal="right"/>
      <protection/>
    </xf>
    <xf numFmtId="0" fontId="135" fillId="17" borderId="62" xfId="0" applyFont="1" applyFill="1" applyBorder="1" applyAlignment="1" applyProtection="1">
      <alignment horizontal="right"/>
      <protection/>
    </xf>
    <xf numFmtId="9" fontId="135" fillId="17" borderId="89" xfId="0" applyNumberFormat="1" applyFont="1" applyFill="1" applyBorder="1" applyAlignment="1" applyProtection="1">
      <alignment horizontal="right"/>
      <protection/>
    </xf>
    <xf numFmtId="0" fontId="135" fillId="17" borderId="87" xfId="0" applyFont="1" applyFill="1" applyBorder="1" applyAlignment="1" applyProtection="1">
      <alignment horizontal="right"/>
      <protection/>
    </xf>
    <xf numFmtId="0" fontId="135" fillId="17" borderId="20" xfId="0" applyFont="1" applyFill="1" applyBorder="1" applyAlignment="1" applyProtection="1">
      <alignment horizontal="right"/>
      <protection/>
    </xf>
    <xf numFmtId="9" fontId="135" fillId="17" borderId="49" xfId="0" applyNumberFormat="1" applyFont="1" applyFill="1" applyBorder="1" applyAlignment="1" applyProtection="1">
      <alignment horizontal="right"/>
      <protection/>
    </xf>
    <xf numFmtId="0" fontId="6" fillId="17" borderId="45" xfId="0" applyFont="1" applyFill="1" applyBorder="1" applyAlignment="1" applyProtection="1">
      <alignment horizontal="center"/>
      <protection/>
    </xf>
    <xf numFmtId="49" fontId="4" fillId="17" borderId="227" xfId="0" applyNumberFormat="1" applyFont="1" applyFill="1" applyBorder="1" applyAlignment="1" applyProtection="1">
      <alignment horizontal="center"/>
      <protection/>
    </xf>
    <xf numFmtId="3" fontId="3" fillId="27" borderId="94" xfId="0" applyNumberFormat="1" applyFont="1" applyFill="1" applyBorder="1" applyAlignment="1" applyProtection="1">
      <alignment horizontal="right"/>
      <protection locked="0"/>
    </xf>
    <xf numFmtId="3" fontId="3" fillId="27" borderId="124" xfId="0" applyNumberFormat="1" applyFont="1" applyFill="1" applyBorder="1" applyAlignment="1" applyProtection="1">
      <alignment horizontal="right"/>
      <protection locked="0"/>
    </xf>
    <xf numFmtId="3" fontId="3" fillId="27" borderId="179" xfId="0" applyNumberFormat="1" applyFont="1" applyFill="1" applyBorder="1" applyAlignment="1" applyProtection="1">
      <alignment horizontal="right"/>
      <protection locked="0"/>
    </xf>
    <xf numFmtId="3" fontId="3" fillId="27" borderId="203" xfId="0" applyNumberFormat="1" applyFont="1" applyFill="1" applyBorder="1" applyAlignment="1" applyProtection="1">
      <alignment horizontal="right"/>
      <protection locked="0"/>
    </xf>
    <xf numFmtId="169" fontId="4" fillId="49" borderId="94" xfId="0" applyNumberFormat="1" applyFont="1" applyFill="1" applyBorder="1" applyAlignment="1" applyProtection="1">
      <alignment horizontal="left"/>
      <protection/>
    </xf>
    <xf numFmtId="169" fontId="4" fillId="49" borderId="179" xfId="0" applyNumberFormat="1" applyFont="1" applyFill="1" applyBorder="1" applyAlignment="1" applyProtection="1">
      <alignment horizontal="left"/>
      <protection/>
    </xf>
    <xf numFmtId="169" fontId="4" fillId="49" borderId="203" xfId="0" applyNumberFormat="1" applyFont="1" applyFill="1" applyBorder="1" applyAlignment="1" applyProtection="1">
      <alignment horizontal="left"/>
      <protection/>
    </xf>
    <xf numFmtId="0" fontId="12" fillId="17" borderId="129" xfId="0" applyFont="1" applyFill="1" applyBorder="1" applyAlignment="1" applyProtection="1">
      <alignment horizontal="center"/>
      <protection/>
    </xf>
    <xf numFmtId="0" fontId="4" fillId="17" borderId="114" xfId="0" applyFont="1" applyFill="1" applyBorder="1" applyAlignment="1" applyProtection="1">
      <alignment horizontal="left" vertical="top" wrapText="1"/>
      <protection/>
    </xf>
    <xf numFmtId="0" fontId="4" fillId="17" borderId="129" xfId="0" applyFont="1" applyFill="1" applyBorder="1" applyAlignment="1" applyProtection="1">
      <alignment horizontal="left" vertical="top"/>
      <protection/>
    </xf>
    <xf numFmtId="3" fontId="4" fillId="17" borderId="114" xfId="0" applyNumberFormat="1" applyFont="1" applyFill="1" applyBorder="1" applyAlignment="1" applyProtection="1">
      <alignment horizontal="left" vertical="top" wrapText="1"/>
      <protection/>
    </xf>
    <xf numFmtId="0" fontId="4" fillId="17" borderId="132" xfId="0" applyFont="1" applyFill="1" applyBorder="1" applyAlignment="1" applyProtection="1">
      <alignment horizontal="left" vertical="top" wrapText="1"/>
      <protection/>
    </xf>
    <xf numFmtId="3" fontId="4" fillId="17" borderId="130" xfId="0" applyNumberFormat="1" applyFont="1" applyFill="1" applyBorder="1" applyAlignment="1" applyProtection="1">
      <alignment horizontal="left" wrapText="1"/>
      <protection/>
    </xf>
    <xf numFmtId="49" fontId="4" fillId="17" borderId="130" xfId="0" applyNumberFormat="1" applyFont="1" applyFill="1" applyBorder="1" applyAlignment="1" applyProtection="1">
      <alignment vertical="top"/>
      <protection/>
    </xf>
    <xf numFmtId="3" fontId="4" fillId="17" borderId="114" xfId="0" applyNumberFormat="1" applyFont="1" applyFill="1" applyBorder="1" applyAlignment="1" applyProtection="1">
      <alignment vertical="top"/>
      <protection/>
    </xf>
    <xf numFmtId="3" fontId="4" fillId="17" borderId="99" xfId="0" applyNumberFormat="1" applyFont="1" applyFill="1" applyBorder="1" applyAlignment="1" applyProtection="1">
      <alignment vertical="top" wrapText="1"/>
      <protection/>
    </xf>
    <xf numFmtId="3" fontId="4" fillId="17" borderId="0" xfId="0" applyNumberFormat="1" applyFont="1" applyFill="1" applyBorder="1" applyAlignment="1" applyProtection="1">
      <alignment/>
      <protection/>
    </xf>
    <xf numFmtId="0" fontId="4" fillId="17" borderId="137" xfId="0" applyFont="1" applyFill="1" applyBorder="1" applyAlignment="1" applyProtection="1">
      <alignment vertical="top" wrapText="1"/>
      <protection/>
    </xf>
    <xf numFmtId="3" fontId="4" fillId="17" borderId="67" xfId="0" applyNumberFormat="1" applyFont="1" applyFill="1" applyBorder="1" applyAlignment="1" applyProtection="1">
      <alignment vertical="top" wrapText="1"/>
      <protection/>
    </xf>
    <xf numFmtId="0" fontId="0" fillId="17" borderId="52" xfId="0" applyFill="1" applyBorder="1" applyAlignment="1" applyProtection="1">
      <alignment/>
      <protection/>
    </xf>
    <xf numFmtId="0" fontId="4" fillId="17" borderId="25" xfId="0" applyFont="1" applyFill="1" applyBorder="1" applyAlignment="1" applyProtection="1">
      <alignment horizontal="left" vertical="top" wrapText="1"/>
      <protection/>
    </xf>
    <xf numFmtId="3" fontId="4" fillId="17" borderId="180" xfId="0" applyNumberFormat="1" applyFont="1" applyFill="1" applyBorder="1" applyAlignment="1" applyProtection="1">
      <alignment/>
      <protection/>
    </xf>
    <xf numFmtId="3" fontId="4" fillId="17" borderId="24" xfId="0" applyNumberFormat="1" applyFont="1" applyFill="1" applyBorder="1" applyAlignment="1" applyProtection="1">
      <alignment horizontal="left" vertical="top" wrapText="1"/>
      <protection/>
    </xf>
    <xf numFmtId="0" fontId="8" fillId="17" borderId="0" xfId="0" applyFont="1" applyFill="1" applyBorder="1" applyAlignment="1" applyProtection="1">
      <alignment/>
      <protection/>
    </xf>
    <xf numFmtId="3" fontId="4" fillId="17" borderId="25" xfId="0" applyNumberFormat="1" applyFont="1" applyFill="1" applyBorder="1" applyAlignment="1" applyProtection="1">
      <alignment vertical="top"/>
      <protection/>
    </xf>
    <xf numFmtId="3" fontId="4" fillId="17" borderId="67" xfId="0" applyNumberFormat="1" applyFont="1" applyFill="1" applyBorder="1" applyAlignment="1" applyProtection="1">
      <alignment/>
      <protection/>
    </xf>
    <xf numFmtId="0" fontId="6" fillId="17" borderId="52" xfId="0" applyFont="1" applyFill="1" applyBorder="1" applyAlignment="1" applyProtection="1">
      <alignment/>
      <protection/>
    </xf>
    <xf numFmtId="3" fontId="4" fillId="17" borderId="25" xfId="0" applyNumberFormat="1" applyFont="1" applyFill="1" applyBorder="1" applyAlignment="1" applyProtection="1">
      <alignment horizontal="left"/>
      <protection/>
    </xf>
    <xf numFmtId="0" fontId="4" fillId="17" borderId="180" xfId="0" applyFont="1" applyFill="1" applyBorder="1" applyAlignment="1" applyProtection="1">
      <alignment/>
      <protection/>
    </xf>
    <xf numFmtId="3" fontId="4" fillId="17" borderId="166" xfId="0" applyNumberFormat="1" applyFont="1" applyFill="1" applyBorder="1" applyAlignment="1" applyProtection="1">
      <alignment horizontal="left" vertical="top"/>
      <protection/>
    </xf>
    <xf numFmtId="0" fontId="0" fillId="17" borderId="0" xfId="0" applyFill="1" applyBorder="1" applyAlignment="1" applyProtection="1">
      <alignment vertical="top" wrapText="1"/>
      <protection/>
    </xf>
    <xf numFmtId="0" fontId="8" fillId="17" borderId="25" xfId="0" applyFont="1" applyFill="1" applyBorder="1" applyAlignment="1" applyProtection="1">
      <alignment/>
      <protection/>
    </xf>
    <xf numFmtId="0" fontId="4" fillId="17" borderId="67" xfId="0" applyFont="1" applyFill="1" applyBorder="1" applyAlignment="1" applyProtection="1">
      <alignment/>
      <protection/>
    </xf>
    <xf numFmtId="0" fontId="4" fillId="17" borderId="24" xfId="0" applyFont="1" applyFill="1" applyBorder="1" applyAlignment="1" applyProtection="1">
      <alignment/>
      <protection/>
    </xf>
    <xf numFmtId="0" fontId="8" fillId="17" borderId="69" xfId="0" applyFont="1" applyFill="1" applyBorder="1" applyAlignment="1" applyProtection="1">
      <alignment/>
      <protection/>
    </xf>
    <xf numFmtId="0" fontId="4" fillId="17" borderId="71" xfId="0" applyFont="1" applyFill="1" applyBorder="1" applyAlignment="1" applyProtection="1">
      <alignment/>
      <protection/>
    </xf>
    <xf numFmtId="3" fontId="4" fillId="17" borderId="140" xfId="0" applyNumberFormat="1" applyFont="1" applyFill="1" applyBorder="1" applyAlignment="1" applyProtection="1">
      <alignment/>
      <protection/>
    </xf>
    <xf numFmtId="49" fontId="4" fillId="17" borderId="100" xfId="0" applyNumberFormat="1" applyFont="1" applyFill="1" applyBorder="1" applyAlignment="1" applyProtection="1">
      <alignment/>
      <protection/>
    </xf>
    <xf numFmtId="0" fontId="4" fillId="17" borderId="73" xfId="0" applyFont="1" applyFill="1" applyBorder="1" applyAlignment="1" applyProtection="1">
      <alignment/>
      <protection/>
    </xf>
    <xf numFmtId="3" fontId="4" fillId="17" borderId="133" xfId="0" applyNumberFormat="1" applyFont="1" applyFill="1" applyBorder="1" applyAlignment="1" applyProtection="1">
      <alignment/>
      <protection/>
    </xf>
    <xf numFmtId="0" fontId="4" fillId="17" borderId="36" xfId="0" applyFont="1" applyFill="1" applyBorder="1" applyAlignment="1" applyProtection="1">
      <alignment vertical="top"/>
      <protection/>
    </xf>
    <xf numFmtId="0" fontId="8" fillId="17" borderId="36" xfId="0" applyFont="1" applyFill="1" applyBorder="1" applyAlignment="1" applyProtection="1">
      <alignment wrapText="1"/>
      <protection/>
    </xf>
    <xf numFmtId="9" fontId="28" fillId="17" borderId="36" xfId="59" applyFont="1" applyFill="1" applyBorder="1" applyAlignment="1" applyProtection="1">
      <alignment/>
      <protection/>
    </xf>
    <xf numFmtId="9" fontId="28" fillId="17" borderId="36" xfId="59" applyFont="1" applyFill="1" applyBorder="1" applyAlignment="1" applyProtection="1" quotePrefix="1">
      <alignment/>
      <protection/>
    </xf>
    <xf numFmtId="0" fontId="6" fillId="17" borderId="207" xfId="0" applyFont="1" applyFill="1" applyBorder="1" applyAlignment="1" applyProtection="1">
      <alignment wrapText="1"/>
      <protection/>
    </xf>
    <xf numFmtId="3" fontId="4" fillId="17" borderId="52" xfId="53" applyNumberFormat="1" applyFont="1" applyFill="1" applyBorder="1" applyAlignment="1" applyProtection="1">
      <alignment vertical="top"/>
      <protection/>
    </xf>
    <xf numFmtId="49" fontId="4" fillId="17" borderId="170" xfId="53" applyNumberFormat="1" applyFont="1" applyFill="1" applyBorder="1" applyAlignment="1" applyProtection="1">
      <alignment vertical="center"/>
      <protection/>
    </xf>
    <xf numFmtId="0" fontId="4" fillId="17" borderId="180" xfId="53" applyFont="1" applyFill="1" applyBorder="1" applyAlignment="1" applyProtection="1">
      <alignment vertical="center"/>
      <protection/>
    </xf>
    <xf numFmtId="3" fontId="4" fillId="17" borderId="170" xfId="53" applyNumberFormat="1" applyFont="1" applyFill="1" applyBorder="1" applyAlignment="1" applyProtection="1">
      <alignment/>
      <protection/>
    </xf>
    <xf numFmtId="49" fontId="4" fillId="17" borderId="188" xfId="53" applyNumberFormat="1" applyFont="1" applyFill="1" applyBorder="1" applyProtection="1">
      <alignment/>
      <protection/>
    </xf>
    <xf numFmtId="3" fontId="4" fillId="17" borderId="180" xfId="53" applyNumberFormat="1" applyFont="1" applyFill="1" applyBorder="1" applyAlignment="1" applyProtection="1">
      <alignment/>
      <protection/>
    </xf>
    <xf numFmtId="0" fontId="4" fillId="17" borderId="72" xfId="53" applyFont="1" applyFill="1" applyBorder="1" applyAlignment="1" applyProtection="1">
      <alignment horizontal="left" vertical="center"/>
      <protection/>
    </xf>
    <xf numFmtId="3" fontId="4" fillId="17" borderId="170" xfId="0" applyNumberFormat="1" applyFont="1" applyFill="1" applyBorder="1" applyAlignment="1" applyProtection="1">
      <alignment vertical="top"/>
      <protection/>
    </xf>
    <xf numFmtId="0" fontId="4" fillId="17" borderId="0" xfId="0" applyFont="1" applyFill="1" applyBorder="1" applyAlignment="1" applyProtection="1">
      <alignment horizontal="left" vertical="center"/>
      <protection/>
    </xf>
    <xf numFmtId="3" fontId="4" fillId="17" borderId="208" xfId="0" applyNumberFormat="1" applyFont="1" applyFill="1" applyBorder="1" applyAlignment="1" applyProtection="1">
      <alignment wrapText="1"/>
      <protection/>
    </xf>
    <xf numFmtId="3" fontId="4" fillId="17" borderId="123" xfId="0" applyNumberFormat="1" applyFont="1" applyFill="1" applyBorder="1" applyAlignment="1" applyProtection="1">
      <alignment horizontal="right"/>
      <protection/>
    </xf>
    <xf numFmtId="3" fontId="4" fillId="17" borderId="0" xfId="0" applyNumberFormat="1" applyFont="1" applyFill="1" applyBorder="1" applyAlignment="1" applyProtection="1">
      <alignment horizontal="right"/>
      <protection/>
    </xf>
    <xf numFmtId="3" fontId="4" fillId="17" borderId="36" xfId="53" applyNumberFormat="1" applyFont="1" applyFill="1" applyBorder="1" applyAlignment="1" applyProtection="1">
      <alignment vertical="top"/>
      <protection/>
    </xf>
    <xf numFmtId="3" fontId="39" fillId="17" borderId="111" xfId="0" applyNumberFormat="1" applyFont="1" applyFill="1" applyBorder="1" applyAlignment="1" applyProtection="1">
      <alignment horizontal="right"/>
      <protection/>
    </xf>
    <xf numFmtId="3" fontId="4" fillId="17" borderId="49" xfId="0" applyNumberFormat="1" applyFont="1" applyFill="1" applyBorder="1" applyAlignment="1" applyProtection="1">
      <alignment horizontal="right"/>
      <protection/>
    </xf>
    <xf numFmtId="3" fontId="4" fillId="17" borderId="66" xfId="0" applyNumberFormat="1" applyFont="1" applyFill="1" applyBorder="1" applyAlignment="1" applyProtection="1">
      <alignment horizontal="left"/>
      <protection/>
    </xf>
    <xf numFmtId="3" fontId="4" fillId="17" borderId="36" xfId="53" applyNumberFormat="1" applyFont="1" applyFill="1" applyBorder="1" applyAlignment="1" applyProtection="1">
      <alignment vertical="top" wrapText="1"/>
      <protection/>
    </xf>
    <xf numFmtId="0" fontId="0" fillId="0" borderId="36" xfId="0" applyBorder="1" applyAlignment="1">
      <alignment vertical="top" wrapText="1"/>
    </xf>
    <xf numFmtId="0" fontId="0" fillId="0" borderId="196" xfId="0" applyBorder="1" applyAlignment="1">
      <alignment vertical="top" wrapText="1"/>
    </xf>
    <xf numFmtId="3" fontId="4" fillId="17" borderId="207" xfId="53" applyNumberFormat="1" applyFont="1" applyFill="1" applyBorder="1" applyAlignment="1" applyProtection="1">
      <alignment vertical="top" wrapText="1"/>
      <protection/>
    </xf>
    <xf numFmtId="0" fontId="2" fillId="0" borderId="36" xfId="0" applyFont="1" applyBorder="1" applyAlignment="1">
      <alignment wrapText="1"/>
    </xf>
    <xf numFmtId="3" fontId="4" fillId="17" borderId="0" xfId="0" applyNumberFormat="1" applyFont="1" applyFill="1" applyBorder="1" applyAlignment="1" applyProtection="1">
      <alignment vertical="center" wrapText="1"/>
      <protection/>
    </xf>
    <xf numFmtId="3" fontId="4" fillId="17" borderId="64" xfId="0" applyNumberFormat="1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 wrapText="1"/>
    </xf>
    <xf numFmtId="0" fontId="0" fillId="0" borderId="122" xfId="0" applyBorder="1" applyAlignment="1">
      <alignment wrapText="1"/>
    </xf>
    <xf numFmtId="3" fontId="4" fillId="17" borderId="193" xfId="53" applyNumberFormat="1" applyFont="1" applyFill="1" applyBorder="1" applyAlignment="1" applyProtection="1">
      <alignment vertical="top" wrapText="1"/>
      <protection/>
    </xf>
    <xf numFmtId="0" fontId="0" fillId="17" borderId="0" xfId="0" applyFill="1" applyAlignment="1">
      <alignment/>
    </xf>
    <xf numFmtId="0" fontId="4" fillId="17" borderId="24" xfId="0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116" xfId="0" applyNumberFormat="1" applyFont="1" applyFill="1" applyBorder="1" applyAlignment="1" applyProtection="1">
      <alignment horizontal="right"/>
      <protection locked="0"/>
    </xf>
    <xf numFmtId="9" fontId="39" fillId="17" borderId="125" xfId="0" applyNumberFormat="1" applyFont="1" applyFill="1" applyBorder="1" applyAlignment="1" applyProtection="1" quotePrefix="1">
      <alignment horizontal="right"/>
      <protection/>
    </xf>
    <xf numFmtId="9" fontId="39" fillId="17" borderId="15" xfId="0" applyNumberFormat="1" applyFont="1" applyFill="1" applyBorder="1" applyAlignment="1" applyProtection="1" quotePrefix="1">
      <alignment horizontal="right"/>
      <protection/>
    </xf>
    <xf numFmtId="3" fontId="39" fillId="17" borderId="178" xfId="0" applyNumberFormat="1" applyFont="1" applyFill="1" applyBorder="1" applyAlignment="1" applyProtection="1">
      <alignment horizontal="right"/>
      <protection/>
    </xf>
    <xf numFmtId="9" fontId="39" fillId="17" borderId="19" xfId="0" applyNumberFormat="1" applyFont="1" applyFill="1" applyBorder="1" applyAlignment="1" applyProtection="1" quotePrefix="1">
      <alignment horizontal="right"/>
      <protection/>
    </xf>
    <xf numFmtId="9" fontId="39" fillId="17" borderId="83" xfId="0" applyNumberFormat="1" applyFont="1" applyFill="1" applyBorder="1" applyAlignment="1" applyProtection="1" quotePrefix="1">
      <alignment horizontal="right"/>
      <protection/>
    </xf>
    <xf numFmtId="0" fontId="0" fillId="27" borderId="0" xfId="0" applyFill="1" applyAlignment="1" applyProtection="1">
      <alignment horizontal="center"/>
      <protection/>
    </xf>
    <xf numFmtId="0" fontId="6" fillId="17" borderId="133" xfId="0" applyFont="1" applyFill="1" applyBorder="1" applyAlignment="1" applyProtection="1">
      <alignment/>
      <protection/>
    </xf>
    <xf numFmtId="0" fontId="6" fillId="17" borderId="112" xfId="0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3" fontId="3" fillId="17" borderId="55" xfId="0" applyNumberFormat="1" applyFont="1" applyFill="1" applyBorder="1" applyAlignment="1" applyProtection="1">
      <alignment horizontal="right"/>
      <protection/>
    </xf>
    <xf numFmtId="3" fontId="3" fillId="17" borderId="169" xfId="0" applyNumberFormat="1" applyFont="1" applyFill="1" applyBorder="1" applyAlignment="1" applyProtection="1">
      <alignment horizontal="right"/>
      <protection/>
    </xf>
    <xf numFmtId="3" fontId="3" fillId="17" borderId="54" xfId="0" applyNumberFormat="1" applyFont="1" applyFill="1" applyBorder="1" applyAlignment="1" applyProtection="1">
      <alignment horizontal="right"/>
      <protection/>
    </xf>
    <xf numFmtId="0" fontId="9" fillId="17" borderId="169" xfId="0" applyFont="1" applyFill="1" applyBorder="1" applyAlignment="1" applyProtection="1">
      <alignment/>
      <protection/>
    </xf>
    <xf numFmtId="3" fontId="3" fillId="17" borderId="58" xfId="0" applyNumberFormat="1" applyFont="1" applyFill="1" applyBorder="1" applyAlignment="1" applyProtection="1">
      <alignment horizontal="right"/>
      <protection/>
    </xf>
    <xf numFmtId="3" fontId="3" fillId="17" borderId="145" xfId="0" applyNumberFormat="1" applyFont="1" applyFill="1" applyBorder="1" applyAlignment="1" applyProtection="1">
      <alignment horizontal="right"/>
      <protection/>
    </xf>
    <xf numFmtId="3" fontId="3" fillId="17" borderId="38" xfId="0" applyNumberFormat="1" applyFont="1" applyFill="1" applyBorder="1" applyAlignment="1" applyProtection="1">
      <alignment horizontal="right" vertical="top" wrapText="1"/>
      <protection/>
    </xf>
    <xf numFmtId="3" fontId="3" fillId="42" borderId="55" xfId="0" applyNumberFormat="1" applyFont="1" applyFill="1" applyBorder="1" applyAlignment="1" applyProtection="1">
      <alignment horizontal="left"/>
      <protection/>
    </xf>
    <xf numFmtId="3" fontId="3" fillId="42" borderId="53" xfId="0" applyNumberFormat="1" applyFont="1" applyFill="1" applyBorder="1" applyAlignment="1" applyProtection="1">
      <alignment horizontal="right"/>
      <protection/>
    </xf>
    <xf numFmtId="3" fontId="105" fillId="17" borderId="37" xfId="0" applyNumberFormat="1" applyFont="1" applyFill="1" applyBorder="1" applyAlignment="1" applyProtection="1">
      <alignment horizontal="right"/>
      <protection/>
    </xf>
    <xf numFmtId="3" fontId="3" fillId="17" borderId="39" xfId="0" applyNumberFormat="1" applyFont="1" applyFill="1" applyBorder="1" applyAlignment="1" applyProtection="1">
      <alignment horizontal="right"/>
      <protection/>
    </xf>
    <xf numFmtId="3" fontId="3" fillId="17" borderId="118" xfId="0" applyNumberFormat="1" applyFont="1" applyFill="1" applyBorder="1" applyAlignment="1" applyProtection="1">
      <alignment horizontal="right"/>
      <protection/>
    </xf>
    <xf numFmtId="0" fontId="4" fillId="17" borderId="141" xfId="0" applyFont="1" applyFill="1" applyBorder="1" applyAlignment="1" applyProtection="1">
      <alignment vertical="top" wrapText="1"/>
      <protection/>
    </xf>
    <xf numFmtId="0" fontId="28" fillId="17" borderId="64" xfId="0" applyFont="1" applyFill="1" applyBorder="1" applyAlignment="1" applyProtection="1">
      <alignment/>
      <protection/>
    </xf>
    <xf numFmtId="3" fontId="29" fillId="17" borderId="49" xfId="0" applyNumberFormat="1" applyFont="1" applyFill="1" applyBorder="1" applyAlignment="1" applyProtection="1">
      <alignment/>
      <protection/>
    </xf>
    <xf numFmtId="3" fontId="29" fillId="17" borderId="66" xfId="0" applyNumberFormat="1" applyFont="1" applyFill="1" applyBorder="1" applyAlignment="1" applyProtection="1">
      <alignment/>
      <protection/>
    </xf>
    <xf numFmtId="0" fontId="4" fillId="17" borderId="132" xfId="53" applyFont="1" applyFill="1" applyBorder="1" applyAlignment="1" applyProtection="1">
      <alignment/>
      <protection/>
    </xf>
    <xf numFmtId="0" fontId="4" fillId="17" borderId="166" xfId="53" applyFont="1" applyFill="1" applyBorder="1" applyAlignment="1" applyProtection="1">
      <alignment/>
      <protection/>
    </xf>
    <xf numFmtId="0" fontId="4" fillId="17" borderId="24" xfId="53" applyFont="1" applyFill="1" applyBorder="1" applyAlignment="1" applyProtection="1">
      <alignment/>
      <protection/>
    </xf>
    <xf numFmtId="3" fontId="29" fillId="0" borderId="44" xfId="53" applyNumberFormat="1" applyFont="1" applyFill="1" applyBorder="1" applyProtection="1">
      <alignment/>
      <protection/>
    </xf>
    <xf numFmtId="3" fontId="29" fillId="0" borderId="11" xfId="53" applyNumberFormat="1" applyFont="1" applyFill="1" applyBorder="1" applyProtection="1">
      <alignment/>
      <protection/>
    </xf>
    <xf numFmtId="3" fontId="29" fillId="0" borderId="14" xfId="53" applyNumberFormat="1" applyFont="1" applyFill="1" applyBorder="1" applyProtection="1">
      <alignment/>
      <protection/>
    </xf>
    <xf numFmtId="3" fontId="29" fillId="0" borderId="71" xfId="53" applyNumberFormat="1" applyFont="1" applyFill="1" applyBorder="1" applyProtection="1">
      <alignment/>
      <protection/>
    </xf>
    <xf numFmtId="3" fontId="29" fillId="0" borderId="141" xfId="53" applyNumberFormat="1" applyFont="1" applyFill="1" applyBorder="1" applyProtection="1">
      <alignment/>
      <protection/>
    </xf>
    <xf numFmtId="3" fontId="29" fillId="0" borderId="34" xfId="53" applyNumberFormat="1" applyFont="1" applyFill="1" applyBorder="1" applyProtection="1">
      <alignment/>
      <protection/>
    </xf>
    <xf numFmtId="0" fontId="0" fillId="17" borderId="36" xfId="0" applyFill="1" applyBorder="1" applyAlignment="1">
      <alignment/>
    </xf>
    <xf numFmtId="0" fontId="0" fillId="35" borderId="139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69" xfId="0" applyFill="1" applyBorder="1" applyAlignment="1">
      <alignment/>
    </xf>
    <xf numFmtId="0" fontId="4" fillId="17" borderId="93" xfId="53" applyFont="1" applyFill="1" applyBorder="1" applyProtection="1">
      <alignment/>
      <protection/>
    </xf>
    <xf numFmtId="0" fontId="4" fillId="17" borderId="17" xfId="53" applyFont="1" applyFill="1" applyBorder="1" applyProtection="1">
      <alignment/>
      <protection/>
    </xf>
    <xf numFmtId="0" fontId="6" fillId="17" borderId="17" xfId="53" applyFont="1" applyFill="1" applyBorder="1" applyProtection="1">
      <alignment/>
      <protection/>
    </xf>
    <xf numFmtId="0" fontId="4" fillId="17" borderId="31" xfId="53" applyFont="1" applyFill="1" applyBorder="1" applyAlignment="1" applyProtection="1">
      <alignment horizontal="left"/>
      <protection/>
    </xf>
    <xf numFmtId="0" fontId="4" fillId="17" borderId="30" xfId="53" applyFont="1" applyFill="1" applyBorder="1" applyAlignment="1" applyProtection="1">
      <alignment horizontal="left"/>
      <protection/>
    </xf>
    <xf numFmtId="1" fontId="6" fillId="17" borderId="31" xfId="53" applyNumberFormat="1" applyFont="1" applyFill="1" applyBorder="1" applyAlignment="1" applyProtection="1">
      <alignment horizontal="left"/>
      <protection/>
    </xf>
    <xf numFmtId="0" fontId="6" fillId="17" borderId="147" xfId="53" applyFont="1" applyFill="1" applyBorder="1" applyAlignment="1" applyProtection="1">
      <alignment horizontal="left"/>
      <protection/>
    </xf>
    <xf numFmtId="0" fontId="6" fillId="17" borderId="32" xfId="53" applyFont="1" applyFill="1" applyBorder="1" applyAlignment="1" applyProtection="1">
      <alignment horizontal="left"/>
      <protection/>
    </xf>
    <xf numFmtId="3" fontId="4" fillId="17" borderId="66" xfId="0" applyNumberFormat="1" applyFont="1" applyFill="1" applyBorder="1" applyAlignment="1" applyProtection="1">
      <alignment vertical="top" wrapText="1"/>
      <protection/>
    </xf>
    <xf numFmtId="0" fontId="5" fillId="17" borderId="127" xfId="0" applyFont="1" applyFill="1" applyBorder="1" applyAlignment="1" applyProtection="1">
      <alignment/>
      <protection/>
    </xf>
    <xf numFmtId="0" fontId="4" fillId="17" borderId="71" xfId="0" applyFont="1" applyFill="1" applyBorder="1" applyAlignment="1" applyProtection="1">
      <alignment vertical="top"/>
      <protection/>
    </xf>
    <xf numFmtId="1" fontId="4" fillId="17" borderId="137" xfId="0" applyNumberFormat="1" applyFont="1" applyFill="1" applyBorder="1" applyAlignment="1" applyProtection="1">
      <alignment horizontal="left" vertical="top"/>
      <protection/>
    </xf>
    <xf numFmtId="49" fontId="4" fillId="17" borderId="156" xfId="0" applyNumberFormat="1" applyFont="1" applyFill="1" applyBorder="1" applyAlignment="1" applyProtection="1">
      <alignment horizontal="center" wrapText="1"/>
      <protection/>
    </xf>
    <xf numFmtId="49" fontId="4" fillId="17" borderId="30" xfId="0" applyNumberFormat="1" applyFont="1" applyFill="1" applyBorder="1" applyAlignment="1" applyProtection="1">
      <alignment horizontal="center" wrapText="1"/>
      <protection/>
    </xf>
    <xf numFmtId="49" fontId="4" fillId="17" borderId="33" xfId="0" applyNumberFormat="1" applyFont="1" applyFill="1" applyBorder="1" applyAlignment="1" applyProtection="1">
      <alignment horizontal="center" wrapText="1"/>
      <protection/>
    </xf>
    <xf numFmtId="0" fontId="94" fillId="35" borderId="0" xfId="0" applyFont="1" applyFill="1" applyBorder="1" applyAlignment="1">
      <alignment wrapText="1"/>
    </xf>
    <xf numFmtId="0" fontId="95" fillId="35" borderId="0" xfId="0" applyFont="1" applyFill="1" applyBorder="1" applyAlignment="1">
      <alignment/>
    </xf>
    <xf numFmtId="0" fontId="69" fillId="35" borderId="193" xfId="0" applyFont="1" applyFill="1" applyBorder="1" applyAlignment="1">
      <alignment wrapText="1"/>
    </xf>
    <xf numFmtId="0" fontId="69" fillId="35" borderId="123" xfId="0" applyFont="1" applyFill="1" applyBorder="1" applyAlignment="1">
      <alignment wrapText="1"/>
    </xf>
    <xf numFmtId="0" fontId="104" fillId="35" borderId="36" xfId="0" applyFont="1" applyFill="1" applyBorder="1" applyAlignment="1">
      <alignment wrapText="1"/>
    </xf>
    <xf numFmtId="0" fontId="104" fillId="35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17" borderId="149" xfId="0" applyFont="1" applyFill="1" applyBorder="1" applyAlignment="1" applyProtection="1">
      <alignment wrapText="1"/>
      <protection/>
    </xf>
    <xf numFmtId="0" fontId="0" fillId="17" borderId="90" xfId="0" applyFill="1" applyBorder="1" applyAlignment="1">
      <alignment wrapText="1"/>
    </xf>
    <xf numFmtId="0" fontId="4" fillId="17" borderId="58" xfId="0" applyFont="1" applyFill="1" applyBorder="1" applyAlignment="1" applyProtection="1">
      <alignment wrapText="1"/>
      <protection/>
    </xf>
    <xf numFmtId="0" fontId="0" fillId="17" borderId="59" xfId="0" applyFill="1" applyBorder="1" applyAlignment="1">
      <alignment wrapText="1"/>
    </xf>
    <xf numFmtId="0" fontId="6" fillId="17" borderId="45" xfId="0" applyFont="1" applyFill="1" applyBorder="1" applyAlignment="1" applyProtection="1">
      <alignment horizontal="center" vertical="center"/>
      <protection/>
    </xf>
    <xf numFmtId="0" fontId="2" fillId="17" borderId="133" xfId="0" applyFont="1" applyFill="1" applyBorder="1" applyAlignment="1" applyProtection="1">
      <alignment/>
      <protection/>
    </xf>
    <xf numFmtId="3" fontId="39" fillId="42" borderId="144" xfId="0" applyNumberFormat="1" applyFont="1" applyFill="1" applyBorder="1" applyAlignment="1" applyProtection="1">
      <alignment/>
      <protection/>
    </xf>
    <xf numFmtId="3" fontId="39" fillId="42" borderId="30" xfId="0" applyNumberFormat="1" applyFont="1" applyFill="1" applyBorder="1" applyAlignment="1" applyProtection="1">
      <alignment/>
      <protection/>
    </xf>
    <xf numFmtId="3" fontId="39" fillId="42" borderId="80" xfId="0" applyNumberFormat="1" applyFont="1" applyFill="1" applyBorder="1" applyAlignment="1" applyProtection="1">
      <alignment/>
      <protection/>
    </xf>
    <xf numFmtId="3" fontId="39" fillId="42" borderId="27" xfId="0" applyNumberFormat="1" applyFont="1" applyFill="1" applyBorder="1" applyAlignment="1" applyProtection="1">
      <alignment/>
      <protection/>
    </xf>
    <xf numFmtId="0" fontId="6" fillId="17" borderId="133" xfId="0" applyFont="1" applyFill="1" applyBorder="1" applyAlignment="1" applyProtection="1">
      <alignment/>
      <protection/>
    </xf>
    <xf numFmtId="3" fontId="6" fillId="17" borderId="45" xfId="0" applyNumberFormat="1" applyFont="1" applyFill="1" applyBorder="1" applyAlignment="1" applyProtection="1">
      <alignment horizontal="center" vertical="center"/>
      <protection/>
    </xf>
    <xf numFmtId="0" fontId="8" fillId="17" borderId="133" xfId="0" applyFont="1" applyFill="1" applyBorder="1" applyAlignment="1" applyProtection="1">
      <alignment/>
      <protection/>
    </xf>
    <xf numFmtId="0" fontId="4" fillId="17" borderId="190" xfId="0" applyFont="1" applyFill="1" applyBorder="1" applyAlignment="1" applyProtection="1">
      <alignment horizontal="left" wrapText="1"/>
      <protection/>
    </xf>
    <xf numFmtId="0" fontId="0" fillId="17" borderId="200" xfId="0" applyFill="1" applyBorder="1" applyAlignment="1" applyProtection="1">
      <alignment/>
      <protection/>
    </xf>
    <xf numFmtId="0" fontId="0" fillId="17" borderId="192" xfId="0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 wrapText="1"/>
    </xf>
    <xf numFmtId="1" fontId="3" fillId="17" borderId="24" xfId="0" applyNumberFormat="1" applyFont="1" applyFill="1" applyBorder="1" applyAlignment="1" applyProtection="1">
      <alignment horizontal="left" wrapText="1"/>
      <protection/>
    </xf>
    <xf numFmtId="0" fontId="9" fillId="17" borderId="71" xfId="0" applyFont="1" applyFill="1" applyBorder="1" applyAlignment="1">
      <alignment horizontal="left" wrapText="1"/>
    </xf>
    <xf numFmtId="49" fontId="4" fillId="17" borderId="21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vertical="top" wrapText="1"/>
    </xf>
    <xf numFmtId="0" fontId="4" fillId="27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27" borderId="0" xfId="0" applyFont="1" applyFill="1" applyBorder="1" applyAlignment="1" applyProtection="1">
      <alignment vertical="top" wrapText="1"/>
      <protection locked="0"/>
    </xf>
    <xf numFmtId="0" fontId="9" fillId="17" borderId="24" xfId="0" applyFont="1" applyFill="1" applyBorder="1" applyAlignment="1">
      <alignment wrapText="1"/>
    </xf>
    <xf numFmtId="0" fontId="16" fillId="27" borderId="0" xfId="0" applyFont="1" applyFill="1" applyAlignment="1" applyProtection="1">
      <alignment vertical="top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1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 locked="0"/>
    </xf>
    <xf numFmtId="0" fontId="4" fillId="17" borderId="130" xfId="0" applyFont="1" applyFill="1" applyBorder="1" applyAlignment="1" applyProtection="1">
      <alignment horizontal="left" vertical="top" wrapText="1"/>
      <protection/>
    </xf>
    <xf numFmtId="0" fontId="0" fillId="0" borderId="71" xfId="0" applyBorder="1" applyAlignment="1">
      <alignment/>
    </xf>
    <xf numFmtId="0" fontId="13" fillId="27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Border="1" applyAlignment="1" applyProtection="1">
      <alignment vertical="top" wrapText="1"/>
      <protection locked="0"/>
    </xf>
    <xf numFmtId="0" fontId="4" fillId="17" borderId="57" xfId="0" applyFont="1" applyFill="1" applyBorder="1" applyAlignment="1" applyProtection="1">
      <alignment horizontal="center" vertical="top"/>
      <protection/>
    </xf>
    <xf numFmtId="0" fontId="4" fillId="17" borderId="177" xfId="0" applyFont="1" applyFill="1" applyBorder="1" applyAlignment="1" applyProtection="1">
      <alignment horizontal="center" vertical="top"/>
      <protection/>
    </xf>
    <xf numFmtId="3" fontId="4" fillId="17" borderId="57" xfId="0" applyNumberFormat="1" applyFont="1" applyFill="1" applyBorder="1" applyAlignment="1" applyProtection="1">
      <alignment horizontal="center" vertical="top"/>
      <protection/>
    </xf>
    <xf numFmtId="3" fontId="4" fillId="17" borderId="56" xfId="0" applyNumberFormat="1" applyFont="1" applyFill="1" applyBorder="1" applyAlignment="1" applyProtection="1">
      <alignment horizontal="center" vertical="top"/>
      <protection/>
    </xf>
    <xf numFmtId="3" fontId="4" fillId="17" borderId="177" xfId="0" applyNumberFormat="1" applyFont="1" applyFill="1" applyBorder="1" applyAlignment="1" applyProtection="1">
      <alignment horizontal="center" vertical="top"/>
      <protection/>
    </xf>
    <xf numFmtId="0" fontId="3" fillId="17" borderId="209" xfId="0" applyFont="1" applyFill="1" applyBorder="1" applyAlignment="1" applyProtection="1">
      <alignment horizontal="center" vertical="top"/>
      <protection/>
    </xf>
    <xf numFmtId="0" fontId="3" fillId="17" borderId="56" xfId="0" applyFont="1" applyFill="1" applyBorder="1" applyAlignment="1" applyProtection="1">
      <alignment horizontal="center" vertical="top"/>
      <protection/>
    </xf>
    <xf numFmtId="0" fontId="3" fillId="17" borderId="177" xfId="0" applyFont="1" applyFill="1" applyBorder="1" applyAlignment="1" applyProtection="1">
      <alignment horizontal="center" vertical="top"/>
      <protection/>
    </xf>
    <xf numFmtId="3" fontId="4" fillId="17" borderId="57" xfId="0" applyNumberFormat="1" applyFont="1" applyFill="1" applyBorder="1" applyAlignment="1" applyProtection="1">
      <alignment horizontal="left" vertical="top" wrapText="1"/>
      <protection/>
    </xf>
    <xf numFmtId="0" fontId="0" fillId="17" borderId="51" xfId="0" applyFont="1" applyFill="1" applyBorder="1" applyAlignment="1" applyProtection="1">
      <alignment vertical="top" wrapText="1"/>
      <protection/>
    </xf>
    <xf numFmtId="0" fontId="4" fillId="27" borderId="219" xfId="0" applyFont="1" applyFill="1" applyBorder="1" applyAlignment="1" applyProtection="1">
      <alignment horizontal="right"/>
      <protection/>
    </xf>
    <xf numFmtId="0" fontId="0" fillId="0" borderId="175" xfId="0" applyBorder="1" applyAlignment="1">
      <alignment horizontal="right"/>
    </xf>
    <xf numFmtId="0" fontId="0" fillId="0" borderId="115" xfId="0" applyBorder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3" fontId="4" fillId="17" borderId="131" xfId="0" applyNumberFormat="1" applyFont="1" applyFill="1" applyBorder="1" applyAlignment="1" applyProtection="1">
      <alignment vertical="top" wrapText="1"/>
      <protection/>
    </xf>
    <xf numFmtId="0" fontId="0" fillId="17" borderId="171" xfId="0" applyFill="1" applyBorder="1" applyAlignment="1">
      <alignment vertical="top" wrapText="1"/>
    </xf>
    <xf numFmtId="0" fontId="4" fillId="17" borderId="209" xfId="0" applyFont="1" applyFill="1" applyBorder="1" applyAlignment="1" applyProtection="1">
      <alignment horizontal="center" vertical="top"/>
      <protection/>
    </xf>
    <xf numFmtId="0" fontId="0" fillId="17" borderId="56" xfId="0" applyFont="1" applyFill="1" applyBorder="1" applyAlignment="1" applyProtection="1">
      <alignment horizontal="center" vertical="top"/>
      <protection/>
    </xf>
    <xf numFmtId="0" fontId="0" fillId="17" borderId="51" xfId="0" applyFont="1" applyFill="1" applyBorder="1" applyAlignment="1" applyProtection="1">
      <alignment horizontal="center" vertical="top"/>
      <protection/>
    </xf>
    <xf numFmtId="0" fontId="4" fillId="17" borderId="219" xfId="0" applyFont="1" applyFill="1" applyBorder="1" applyAlignment="1" applyProtection="1">
      <alignment horizontal="center" vertical="top"/>
      <protection/>
    </xf>
    <xf numFmtId="0" fontId="4" fillId="17" borderId="175" xfId="0" applyFont="1" applyFill="1" applyBorder="1" applyAlignment="1" applyProtection="1">
      <alignment horizontal="center" vertical="top"/>
      <protection/>
    </xf>
    <xf numFmtId="0" fontId="4" fillId="17" borderId="228" xfId="0" applyFont="1" applyFill="1" applyBorder="1" applyAlignment="1" applyProtection="1">
      <alignment horizontal="center" vertical="top"/>
      <protection/>
    </xf>
    <xf numFmtId="3" fontId="4" fillId="17" borderId="86" xfId="0" applyNumberFormat="1" applyFont="1" applyFill="1" applyBorder="1" applyAlignment="1" applyProtection="1">
      <alignment horizontal="left" wrapText="1"/>
      <protection/>
    </xf>
    <xf numFmtId="0" fontId="0" fillId="17" borderId="87" xfId="0" applyFill="1" applyBorder="1" applyAlignment="1" applyProtection="1">
      <alignment horizontal="left" wrapText="1"/>
      <protection/>
    </xf>
    <xf numFmtId="0" fontId="0" fillId="17" borderId="106" xfId="0" applyFill="1" applyBorder="1" applyAlignment="1" applyProtection="1">
      <alignment horizontal="left" wrapText="1"/>
      <protection/>
    </xf>
    <xf numFmtId="3" fontId="4" fillId="17" borderId="86" xfId="0" applyNumberFormat="1" applyFont="1" applyFill="1" applyBorder="1" applyAlignment="1" applyProtection="1">
      <alignment horizontal="left" vertical="top" wrapText="1"/>
      <protection/>
    </xf>
    <xf numFmtId="0" fontId="0" fillId="17" borderId="87" xfId="0" applyFill="1" applyBorder="1" applyAlignment="1" applyProtection="1">
      <alignment horizontal="left" vertical="top" wrapText="1"/>
      <protection/>
    </xf>
    <xf numFmtId="0" fontId="0" fillId="17" borderId="106" xfId="0" applyFill="1" applyBorder="1" applyAlignment="1" applyProtection="1">
      <alignment horizontal="left" vertical="top" wrapText="1"/>
      <protection/>
    </xf>
    <xf numFmtId="3" fontId="4" fillId="17" borderId="86" xfId="0" applyNumberFormat="1" applyFont="1" applyFill="1" applyBorder="1" applyAlignment="1" applyProtection="1">
      <alignment vertical="center" wrapText="1"/>
      <protection/>
    </xf>
    <xf numFmtId="0" fontId="0" fillId="17" borderId="87" xfId="0" applyFill="1" applyBorder="1" applyAlignment="1" applyProtection="1">
      <alignment vertical="center"/>
      <protection/>
    </xf>
    <xf numFmtId="0" fontId="0" fillId="17" borderId="106" xfId="0" applyFill="1" applyBorder="1" applyAlignment="1" applyProtection="1">
      <alignment vertical="center"/>
      <protection/>
    </xf>
    <xf numFmtId="3" fontId="4" fillId="17" borderId="169" xfId="0" applyNumberFormat="1" applyFont="1" applyFill="1" applyBorder="1" applyAlignment="1" applyProtection="1">
      <alignment horizontal="left" vertical="top" wrapText="1"/>
      <protection/>
    </xf>
    <xf numFmtId="0" fontId="0" fillId="0" borderId="169" xfId="0" applyBorder="1" applyAlignment="1">
      <alignment horizontal="left" wrapText="1"/>
    </xf>
    <xf numFmtId="3" fontId="36" fillId="0" borderId="0" xfId="53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3" fontId="36" fillId="0" borderId="0" xfId="53" applyNumberFormat="1" applyFont="1" applyFill="1" applyBorder="1" applyAlignment="1" applyProtection="1" quotePrefix="1">
      <alignment/>
      <protection/>
    </xf>
    <xf numFmtId="3" fontId="36" fillId="0" borderId="0" xfId="53" applyNumberFormat="1" applyFont="1" applyFill="1" applyBorder="1" applyAlignment="1" applyProtection="1" quotePrefix="1">
      <alignment horizontal="right"/>
      <protection/>
    </xf>
    <xf numFmtId="0" fontId="12" fillId="50" borderId="104" xfId="0" applyFont="1" applyFill="1" applyBorder="1" applyAlignment="1" applyProtection="1">
      <alignment horizontal="center" vertical="center" wrapText="1"/>
      <protection/>
    </xf>
    <xf numFmtId="0" fontId="0" fillId="50" borderId="217" xfId="0" applyFill="1" applyBorder="1" applyAlignment="1">
      <alignment horizontal="center" vertical="center"/>
    </xf>
    <xf numFmtId="0" fontId="4" fillId="50" borderId="113" xfId="0" applyFont="1" applyFill="1" applyBorder="1" applyAlignment="1" applyProtection="1">
      <alignment vertical="center"/>
      <protection/>
    </xf>
    <xf numFmtId="0" fontId="0" fillId="50" borderId="215" xfId="0" applyFill="1" applyBorder="1" applyAlignment="1">
      <alignment vertical="center"/>
    </xf>
    <xf numFmtId="0" fontId="4" fillId="50" borderId="96" xfId="0" applyFont="1" applyFill="1" applyBorder="1" applyAlignment="1" applyProtection="1">
      <alignment vertical="center"/>
      <protection/>
    </xf>
    <xf numFmtId="0" fontId="0" fillId="50" borderId="216" xfId="0" applyFill="1" applyBorder="1" applyAlignment="1">
      <alignment vertical="center"/>
    </xf>
    <xf numFmtId="0" fontId="4" fillId="50" borderId="76" xfId="0" applyFont="1" applyFill="1" applyBorder="1" applyAlignment="1" applyProtection="1">
      <alignment horizontal="left" vertical="center"/>
      <protection/>
    </xf>
    <xf numFmtId="0" fontId="0" fillId="50" borderId="10" xfId="0" applyFill="1" applyBorder="1" applyAlignment="1">
      <alignment horizontal="left" vertical="center"/>
    </xf>
    <xf numFmtId="0" fontId="4" fillId="50" borderId="132" xfId="0" applyFont="1" applyFill="1" applyBorder="1" applyAlignment="1" applyProtection="1">
      <alignment horizontal="left" vertical="center"/>
      <protection/>
    </xf>
    <xf numFmtId="0" fontId="0" fillId="50" borderId="100" xfId="0" applyFill="1" applyBorder="1" applyAlignment="1">
      <alignment horizontal="left" vertical="center"/>
    </xf>
    <xf numFmtId="0" fontId="4" fillId="50" borderId="99" xfId="0" applyFont="1" applyFill="1" applyBorder="1" applyAlignment="1" applyProtection="1">
      <alignment horizontal="left" wrapText="1"/>
      <protection/>
    </xf>
    <xf numFmtId="0" fontId="0" fillId="50" borderId="73" xfId="0" applyFill="1" applyBorder="1" applyAlignment="1">
      <alignment horizontal="left" wrapText="1"/>
    </xf>
    <xf numFmtId="0" fontId="4" fillId="50" borderId="45" xfId="0" applyFont="1" applyFill="1" applyBorder="1" applyAlignment="1" applyProtection="1">
      <alignment horizontal="left" vertical="center"/>
      <protection/>
    </xf>
    <xf numFmtId="0" fontId="0" fillId="50" borderId="152" xfId="0" applyFill="1" applyBorder="1" applyAlignment="1">
      <alignment horizontal="left" vertical="center"/>
    </xf>
    <xf numFmtId="0" fontId="4" fillId="50" borderId="96" xfId="0" applyFont="1" applyFill="1" applyBorder="1" applyAlignment="1" applyProtection="1">
      <alignment vertical="center" wrapText="1"/>
      <protection/>
    </xf>
    <xf numFmtId="0" fontId="0" fillId="50" borderId="216" xfId="0" applyFill="1" applyBorder="1" applyAlignment="1">
      <alignment vertical="center" wrapText="1"/>
    </xf>
    <xf numFmtId="0" fontId="53" fillId="0" borderId="0" xfId="0" applyFont="1" applyFill="1" applyBorder="1" applyAlignment="1" applyProtection="1">
      <alignment horizontal="left" wrapText="1"/>
      <protection/>
    </xf>
    <xf numFmtId="0" fontId="6" fillId="17" borderId="76" xfId="0" applyFont="1" applyFill="1" applyBorder="1" applyAlignment="1" applyProtection="1">
      <alignment vertical="top" wrapText="1"/>
      <protection/>
    </xf>
    <xf numFmtId="0" fontId="11" fillId="17" borderId="110" xfId="0" applyFont="1" applyFill="1" applyBorder="1" applyAlignment="1" applyProtection="1">
      <alignment vertical="top" wrapText="1"/>
      <protection/>
    </xf>
    <xf numFmtId="0" fontId="11" fillId="17" borderId="0" xfId="0" applyFont="1" applyFill="1" applyBorder="1" applyAlignment="1" applyProtection="1">
      <alignment vertical="top" wrapText="1"/>
      <protection/>
    </xf>
    <xf numFmtId="0" fontId="11" fillId="17" borderId="52" xfId="0" applyFont="1" applyFill="1" applyBorder="1" applyAlignment="1" applyProtection="1">
      <alignment vertical="top" wrapText="1"/>
      <protection/>
    </xf>
    <xf numFmtId="0" fontId="11" fillId="17" borderId="10" xfId="0" applyFont="1" applyFill="1" applyBorder="1" applyAlignment="1" applyProtection="1">
      <alignment/>
      <protection/>
    </xf>
    <xf numFmtId="0" fontId="11" fillId="17" borderId="69" xfId="0" applyFont="1" applyFill="1" applyBorder="1" applyAlignment="1" applyProtection="1">
      <alignment/>
      <protection/>
    </xf>
    <xf numFmtId="0" fontId="6" fillId="17" borderId="133" xfId="0" applyFont="1" applyFill="1" applyBorder="1" applyAlignment="1" applyProtection="1">
      <alignment vertical="top" wrapText="1"/>
      <protection/>
    </xf>
    <xf numFmtId="0" fontId="46" fillId="17" borderId="64" xfId="0" applyFont="1" applyFill="1" applyBorder="1" applyAlignment="1" applyProtection="1">
      <alignment vertical="top" wrapText="1"/>
      <protection/>
    </xf>
    <xf numFmtId="0" fontId="6" fillId="17" borderId="76" xfId="0" applyFont="1" applyFill="1" applyBorder="1" applyAlignment="1" applyProtection="1">
      <alignment horizontal="left" vertical="top" wrapText="1"/>
      <protection/>
    </xf>
    <xf numFmtId="0" fontId="0" fillId="17" borderId="76" xfId="0" applyFill="1" applyBorder="1" applyAlignment="1" applyProtection="1">
      <alignment vertical="top"/>
      <protection/>
    </xf>
    <xf numFmtId="0" fontId="0" fillId="17" borderId="133" xfId="0" applyFill="1" applyBorder="1" applyAlignment="1" applyProtection="1">
      <alignment vertical="top"/>
      <protection/>
    </xf>
    <xf numFmtId="0" fontId="0" fillId="17" borderId="10" xfId="0" applyFill="1" applyBorder="1" applyAlignment="1" applyProtection="1">
      <alignment vertical="top"/>
      <protection/>
    </xf>
    <xf numFmtId="0" fontId="0" fillId="17" borderId="153" xfId="0" applyFill="1" applyBorder="1" applyAlignment="1" applyProtection="1">
      <alignment vertical="top"/>
      <protection/>
    </xf>
    <xf numFmtId="0" fontId="4" fillId="17" borderId="24" xfId="0" applyFont="1" applyFill="1" applyBorder="1" applyAlignment="1" applyProtection="1">
      <alignment vertical="top" wrapText="1"/>
      <protection/>
    </xf>
    <xf numFmtId="0" fontId="0" fillId="17" borderId="24" xfId="0" applyFill="1" applyBorder="1" applyAlignment="1" applyProtection="1">
      <alignment vertical="top" wrapText="1"/>
      <protection/>
    </xf>
    <xf numFmtId="0" fontId="0" fillId="17" borderId="71" xfId="0" applyFill="1" applyBorder="1" applyAlignment="1" applyProtection="1">
      <alignment vertical="top" wrapText="1"/>
      <protection/>
    </xf>
    <xf numFmtId="0" fontId="4" fillId="17" borderId="67" xfId="0" applyFont="1" applyFill="1" applyBorder="1" applyAlignment="1" applyProtection="1">
      <alignment vertical="top" wrapText="1"/>
      <protection/>
    </xf>
    <xf numFmtId="0" fontId="0" fillId="17" borderId="67" xfId="0" applyFill="1" applyBorder="1" applyAlignment="1" applyProtection="1">
      <alignment vertical="top" wrapText="1"/>
      <protection/>
    </xf>
    <xf numFmtId="0" fontId="0" fillId="17" borderId="73" xfId="0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4" fillId="17" borderId="130" xfId="53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3" fontId="4" fillId="17" borderId="25" xfId="53" applyNumberFormat="1" applyFont="1" applyFill="1" applyBorder="1" applyAlignment="1" applyProtection="1">
      <alignment vertical="top" wrapText="1"/>
      <protection/>
    </xf>
    <xf numFmtId="0" fontId="0" fillId="0" borderId="25" xfId="0" applyBorder="1" applyAlignment="1">
      <alignment wrapText="1"/>
    </xf>
    <xf numFmtId="3" fontId="4" fillId="17" borderId="24" xfId="53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 wrapText="1"/>
    </xf>
    <xf numFmtId="0" fontId="4" fillId="17" borderId="24" xfId="53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wrapText="1"/>
    </xf>
    <xf numFmtId="0" fontId="0" fillId="0" borderId="71" xfId="0" applyBorder="1" applyAlignment="1">
      <alignment wrapText="1"/>
    </xf>
    <xf numFmtId="0" fontId="4" fillId="17" borderId="24" xfId="53" applyFont="1" applyFill="1" applyBorder="1" applyAlignment="1" applyProtection="1">
      <alignment vertical="center" wrapText="1"/>
      <protection/>
    </xf>
    <xf numFmtId="3" fontId="4" fillId="17" borderId="170" xfId="53" applyNumberFormat="1" applyFont="1" applyFill="1" applyBorder="1" applyAlignment="1" applyProtection="1">
      <alignment wrapText="1"/>
      <protection/>
    </xf>
    <xf numFmtId="0" fontId="0" fillId="0" borderId="170" xfId="0" applyBorder="1" applyAlignment="1">
      <alignment wrapText="1"/>
    </xf>
    <xf numFmtId="3" fontId="4" fillId="17" borderId="170" xfId="53" applyNumberFormat="1" applyFont="1" applyFill="1" applyBorder="1" applyAlignment="1" applyProtection="1">
      <alignment vertical="center" wrapText="1"/>
      <protection/>
    </xf>
    <xf numFmtId="0" fontId="0" fillId="0" borderId="128" xfId="0" applyBorder="1" applyAlignment="1">
      <alignment vertical="center" wrapText="1"/>
    </xf>
    <xf numFmtId="3" fontId="4" fillId="17" borderId="180" xfId="53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3" fontId="4" fillId="17" borderId="36" xfId="53" applyNumberFormat="1" applyFont="1" applyFill="1" applyBorder="1" applyAlignment="1" applyProtection="1">
      <alignment vertical="top" wrapText="1"/>
      <protection/>
    </xf>
    <xf numFmtId="0" fontId="0" fillId="17" borderId="64" xfId="53" applyFill="1" applyBorder="1" applyAlignment="1" applyProtection="1">
      <alignment/>
      <protection/>
    </xf>
    <xf numFmtId="0" fontId="0" fillId="17" borderId="36" xfId="53" applyFill="1" applyBorder="1" applyAlignment="1" applyProtection="1">
      <alignment/>
      <protection/>
    </xf>
    <xf numFmtId="0" fontId="46" fillId="17" borderId="45" xfId="53" applyFont="1" applyFill="1" applyBorder="1" applyAlignment="1" applyProtection="1">
      <alignment vertical="center" wrapText="1"/>
      <protection/>
    </xf>
    <xf numFmtId="0" fontId="0" fillId="17" borderId="110" xfId="53" applyFill="1" applyBorder="1" applyAlignment="1" applyProtection="1">
      <alignment wrapText="1"/>
      <protection/>
    </xf>
    <xf numFmtId="0" fontId="0" fillId="17" borderId="65" xfId="53" applyFill="1" applyBorder="1" applyAlignment="1" applyProtection="1">
      <alignment wrapText="1"/>
      <protection/>
    </xf>
    <xf numFmtId="0" fontId="0" fillId="17" borderId="52" xfId="53" applyFill="1" applyBorder="1" applyAlignment="1" applyProtection="1">
      <alignment wrapText="1"/>
      <protection/>
    </xf>
    <xf numFmtId="0" fontId="0" fillId="17" borderId="152" xfId="53" applyFill="1" applyBorder="1" applyAlignment="1" applyProtection="1">
      <alignment wrapText="1"/>
      <protection/>
    </xf>
    <xf numFmtId="0" fontId="0" fillId="17" borderId="69" xfId="53" applyFill="1" applyBorder="1" applyAlignment="1" applyProtection="1">
      <alignment wrapText="1"/>
      <protection/>
    </xf>
    <xf numFmtId="0" fontId="3" fillId="0" borderId="0" xfId="53" applyFont="1" applyFill="1" applyBorder="1" applyAlignment="1" applyProtection="1">
      <alignment vertical="top" wrapText="1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3" fontId="4" fillId="17" borderId="170" xfId="53" applyNumberFormat="1" applyFont="1" applyFill="1" applyBorder="1" applyAlignment="1" applyProtection="1">
      <alignment vertical="top" wrapText="1"/>
      <protection/>
    </xf>
    <xf numFmtId="0" fontId="0" fillId="0" borderId="170" xfId="0" applyBorder="1" applyAlignment="1">
      <alignment vertical="top" wrapText="1"/>
    </xf>
    <xf numFmtId="0" fontId="4" fillId="17" borderId="170" xfId="53" applyFont="1" applyFill="1" applyBorder="1" applyAlignment="1" applyProtection="1">
      <alignment horizontal="left" wrapText="1"/>
      <protection/>
    </xf>
    <xf numFmtId="0" fontId="2" fillId="0" borderId="170" xfId="0" applyFont="1" applyBorder="1" applyAlignment="1">
      <alignment wrapText="1"/>
    </xf>
    <xf numFmtId="0" fontId="2" fillId="0" borderId="188" xfId="0" applyFont="1" applyBorder="1" applyAlignment="1">
      <alignment wrapText="1"/>
    </xf>
    <xf numFmtId="3" fontId="4" fillId="17" borderId="170" xfId="0" applyNumberFormat="1" applyFont="1" applyFill="1" applyBorder="1" applyAlignment="1" applyProtection="1">
      <alignment vertical="top" wrapText="1"/>
      <protection/>
    </xf>
    <xf numFmtId="0" fontId="4" fillId="17" borderId="170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vertical="top" wrapText="1"/>
    </xf>
    <xf numFmtId="0" fontId="40" fillId="0" borderId="181" xfId="0" applyNumberFormat="1" applyFont="1" applyFill="1" applyBorder="1" applyAlignment="1" applyProtection="1">
      <alignment horizontal="right"/>
      <protection/>
    </xf>
    <xf numFmtId="3" fontId="40" fillId="52" borderId="66" xfId="0" applyNumberFormat="1" applyFont="1" applyFill="1" applyBorder="1" applyAlignment="1" applyProtection="1">
      <alignment horizontal="right"/>
      <protection/>
    </xf>
    <xf numFmtId="3" fontId="3" fillId="34" borderId="92" xfId="0" applyNumberFormat="1" applyFont="1" applyFill="1" applyBorder="1" applyAlignment="1" applyProtection="1">
      <alignment horizontal="right"/>
      <protection/>
    </xf>
    <xf numFmtId="3" fontId="29" fillId="28" borderId="89" xfId="0" applyNumberFormat="1" applyFont="1" applyFill="1" applyBorder="1" applyAlignment="1" applyProtection="1">
      <alignment horizontal="right"/>
      <protection/>
    </xf>
    <xf numFmtId="3" fontId="28" fillId="0" borderId="181" xfId="0" applyNumberFormat="1" applyFont="1" applyFill="1" applyBorder="1" applyAlignment="1" applyProtection="1">
      <alignment/>
      <protection/>
    </xf>
    <xf numFmtId="0" fontId="8" fillId="0" borderId="66" xfId="0" applyFont="1" applyFill="1" applyBorder="1" applyAlignment="1" applyProtection="1">
      <alignment/>
      <protection/>
    </xf>
    <xf numFmtId="49" fontId="4" fillId="17" borderId="143" xfId="0" applyNumberFormat="1" applyFont="1" applyFill="1" applyBorder="1" applyAlignment="1" applyProtection="1">
      <alignment horizontal="left"/>
      <protection/>
    </xf>
    <xf numFmtId="3" fontId="10" fillId="17" borderId="49" xfId="0" applyNumberFormat="1" applyFont="1" applyFill="1" applyBorder="1" applyAlignment="1" applyProtection="1">
      <alignment/>
      <protection/>
    </xf>
    <xf numFmtId="3" fontId="39" fillId="17" borderId="197" xfId="0" applyNumberFormat="1" applyFont="1" applyFill="1" applyBorder="1" applyAlignment="1" applyProtection="1">
      <alignment/>
      <protection/>
    </xf>
    <xf numFmtId="49" fontId="3" fillId="35" borderId="206" xfId="0" applyNumberFormat="1" applyFont="1" applyFill="1" applyBorder="1" applyAlignment="1" applyProtection="1">
      <alignment/>
      <protection/>
    </xf>
    <xf numFmtId="49" fontId="3" fillId="35" borderId="151" xfId="0" applyNumberFormat="1" applyFont="1" applyFill="1" applyBorder="1" applyAlignment="1" applyProtection="1">
      <alignment/>
      <protection/>
    </xf>
    <xf numFmtId="0" fontId="28" fillId="17" borderId="154" xfId="0" applyFont="1" applyFill="1" applyBorder="1" applyAlignment="1" applyProtection="1">
      <alignment/>
      <protection/>
    </xf>
  </cellXfs>
  <cellStyles count="6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2" xfId="34"/>
    <cellStyle name="Beräkning" xfId="35"/>
    <cellStyle name="Bra" xfId="36"/>
    <cellStyle name="Dålig" xfId="37"/>
    <cellStyle name="Dålig 2" xfId="38"/>
    <cellStyle name="Färg1" xfId="39"/>
    <cellStyle name="Färg2" xfId="40"/>
    <cellStyle name="Färg3" xfId="41"/>
    <cellStyle name="Färg4" xfId="42"/>
    <cellStyle name="Färg5" xfId="43"/>
    <cellStyle name="Färg6" xfId="44"/>
    <cellStyle name="Followed Hyperlink" xfId="45"/>
    <cellStyle name="Följde hyperlänken" xfId="46"/>
    <cellStyle name="Förklarande text" xfId="47"/>
    <cellStyle name="Hyperlink" xfId="48"/>
    <cellStyle name="Indata" xfId="49"/>
    <cellStyle name="Kontrollcell" xfId="50"/>
    <cellStyle name="Länkad cell" xfId="51"/>
    <cellStyle name="Neutral" xfId="52"/>
    <cellStyle name="Normal 2" xfId="53"/>
    <cellStyle name="Normal 3" xfId="54"/>
    <cellStyle name="Normal 4" xfId="55"/>
    <cellStyle name="Normal_Kontrollblad" xfId="56"/>
    <cellStyle name="Normal_skolkostn" xfId="57"/>
    <cellStyle name="Normal_skolkostn 2" xfId="58"/>
    <cellStyle name="Percent" xfId="59"/>
    <cellStyle name="Procent 2" xfId="60"/>
    <cellStyle name="Rubrik" xfId="61"/>
    <cellStyle name="Rubrik 1" xfId="62"/>
    <cellStyle name="Rubrik 2" xfId="63"/>
    <cellStyle name="Rubrik 3" xfId="64"/>
    <cellStyle name="Rubrik 4" xfId="65"/>
    <cellStyle name="Summa" xfId="66"/>
    <cellStyle name="Comma" xfId="67"/>
    <cellStyle name="Tusental (0)_Kommunägda företag" xfId="68"/>
    <cellStyle name="Comma [0]" xfId="69"/>
    <cellStyle name="Utdata" xfId="70"/>
    <cellStyle name="Currency" xfId="71"/>
    <cellStyle name="Valuta (0)_Kommunägda företag" xfId="72"/>
    <cellStyle name="Currency [0]" xfId="73"/>
    <cellStyle name="Varningstext" xfId="74"/>
  </cellStyles>
  <dxfs count="59"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10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indexed="10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85725</xdr:colOff>
      <xdr:row>20</xdr:row>
      <xdr:rowOff>19050</xdr:rowOff>
    </xdr:from>
    <xdr:ext cx="180975" cy="266700"/>
    <xdr:sp fLocksText="0">
      <xdr:nvSpPr>
        <xdr:cNvPr id="1" name="textruta 3"/>
        <xdr:cNvSpPr txBox="1">
          <a:spLocks noChangeArrowheads="1"/>
        </xdr:cNvSpPr>
      </xdr:nvSpPr>
      <xdr:spPr>
        <a:xfrm>
          <a:off x="4762500" y="350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76200</xdr:rowOff>
    </xdr:from>
    <xdr:to>
      <xdr:col>5</xdr:col>
      <xdr:colOff>619125</xdr:colOff>
      <xdr:row>12</xdr:row>
      <xdr:rowOff>76200</xdr:rowOff>
    </xdr:to>
    <xdr:sp>
      <xdr:nvSpPr>
        <xdr:cNvPr id="1" name="AutoShape 242"/>
        <xdr:cNvSpPr>
          <a:spLocks/>
        </xdr:cNvSpPr>
      </xdr:nvSpPr>
      <xdr:spPr>
        <a:xfrm>
          <a:off x="4086225" y="1952625"/>
          <a:ext cx="12954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95250</xdr:rowOff>
    </xdr:from>
    <xdr:to>
      <xdr:col>6</xdr:col>
      <xdr:colOff>0</xdr:colOff>
      <xdr:row>14</xdr:row>
      <xdr:rowOff>95250</xdr:rowOff>
    </xdr:to>
    <xdr:sp>
      <xdr:nvSpPr>
        <xdr:cNvPr id="2" name="AutoShape 243"/>
        <xdr:cNvSpPr>
          <a:spLocks/>
        </xdr:cNvSpPr>
      </xdr:nvSpPr>
      <xdr:spPr>
        <a:xfrm>
          <a:off x="4095750" y="2295525"/>
          <a:ext cx="12858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66675</xdr:rowOff>
    </xdr:from>
    <xdr:to>
      <xdr:col>6</xdr:col>
      <xdr:colOff>9525</xdr:colOff>
      <xdr:row>21</xdr:row>
      <xdr:rowOff>66675</xdr:rowOff>
    </xdr:to>
    <xdr:sp>
      <xdr:nvSpPr>
        <xdr:cNvPr id="3" name="AutoShape 244"/>
        <xdr:cNvSpPr>
          <a:spLocks/>
        </xdr:cNvSpPr>
      </xdr:nvSpPr>
      <xdr:spPr>
        <a:xfrm flipV="1">
          <a:off x="4095750" y="3448050"/>
          <a:ext cx="12954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85725</xdr:rowOff>
    </xdr:from>
    <xdr:to>
      <xdr:col>6</xdr:col>
      <xdr:colOff>0</xdr:colOff>
      <xdr:row>46</xdr:row>
      <xdr:rowOff>85725</xdr:rowOff>
    </xdr:to>
    <xdr:sp>
      <xdr:nvSpPr>
        <xdr:cNvPr id="4" name="AutoShape 245"/>
        <xdr:cNvSpPr>
          <a:spLocks/>
        </xdr:cNvSpPr>
      </xdr:nvSpPr>
      <xdr:spPr>
        <a:xfrm>
          <a:off x="4105275" y="7648575"/>
          <a:ext cx="1276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95250</xdr:rowOff>
    </xdr:from>
    <xdr:to>
      <xdr:col>5</xdr:col>
      <xdr:colOff>619125</xdr:colOff>
      <xdr:row>55</xdr:row>
      <xdr:rowOff>95250</xdr:rowOff>
    </xdr:to>
    <xdr:sp>
      <xdr:nvSpPr>
        <xdr:cNvPr id="5" name="AutoShape 246"/>
        <xdr:cNvSpPr>
          <a:spLocks/>
        </xdr:cNvSpPr>
      </xdr:nvSpPr>
      <xdr:spPr>
        <a:xfrm flipV="1">
          <a:off x="4086225" y="9153525"/>
          <a:ext cx="12954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152400</xdr:rowOff>
    </xdr:from>
    <xdr:to>
      <xdr:col>6</xdr:col>
      <xdr:colOff>0</xdr:colOff>
      <xdr:row>56</xdr:row>
      <xdr:rowOff>152400</xdr:rowOff>
    </xdr:to>
    <xdr:sp>
      <xdr:nvSpPr>
        <xdr:cNvPr id="6" name="AutoShape 248"/>
        <xdr:cNvSpPr>
          <a:spLocks/>
        </xdr:cNvSpPr>
      </xdr:nvSpPr>
      <xdr:spPr>
        <a:xfrm flipV="1">
          <a:off x="4095750" y="9372600"/>
          <a:ext cx="12858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123825</xdr:rowOff>
    </xdr:from>
    <xdr:to>
      <xdr:col>6</xdr:col>
      <xdr:colOff>0</xdr:colOff>
      <xdr:row>23</xdr:row>
      <xdr:rowOff>104775</xdr:rowOff>
    </xdr:to>
    <xdr:sp>
      <xdr:nvSpPr>
        <xdr:cNvPr id="7" name="AutoShape 249"/>
        <xdr:cNvSpPr>
          <a:spLocks/>
        </xdr:cNvSpPr>
      </xdr:nvSpPr>
      <xdr:spPr>
        <a:xfrm>
          <a:off x="4086225" y="3733800"/>
          <a:ext cx="1295400" cy="171450"/>
        </a:xfrm>
        <a:prstGeom prst="bentConnector3">
          <a:avLst>
            <a:gd name="adj" fmla="val 56736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38100</xdr:rowOff>
    </xdr:from>
    <xdr:to>
      <xdr:col>5</xdr:col>
      <xdr:colOff>619125</xdr:colOff>
      <xdr:row>54</xdr:row>
      <xdr:rowOff>47625</xdr:rowOff>
    </xdr:to>
    <xdr:sp>
      <xdr:nvSpPr>
        <xdr:cNvPr id="8" name="AutoShape 250"/>
        <xdr:cNvSpPr>
          <a:spLocks/>
        </xdr:cNvSpPr>
      </xdr:nvSpPr>
      <xdr:spPr>
        <a:xfrm flipV="1">
          <a:off x="4762500" y="8763000"/>
          <a:ext cx="619125" cy="171450"/>
        </a:xfrm>
        <a:prstGeom prst="bentConnector3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5</xdr:col>
      <xdr:colOff>600075</xdr:colOff>
      <xdr:row>60</xdr:row>
      <xdr:rowOff>57150</xdr:rowOff>
    </xdr:to>
    <xdr:sp>
      <xdr:nvSpPr>
        <xdr:cNvPr id="9" name="AutoShape 245"/>
        <xdr:cNvSpPr>
          <a:spLocks/>
        </xdr:cNvSpPr>
      </xdr:nvSpPr>
      <xdr:spPr>
        <a:xfrm>
          <a:off x="4086225" y="10001250"/>
          <a:ext cx="1276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19</xdr:row>
      <xdr:rowOff>57150</xdr:rowOff>
    </xdr:from>
    <xdr:to>
      <xdr:col>3</xdr:col>
      <xdr:colOff>352425</xdr:colOff>
      <xdr:row>20</xdr:row>
      <xdr:rowOff>9525</xdr:rowOff>
    </xdr:to>
    <xdr:sp>
      <xdr:nvSpPr>
        <xdr:cNvPr id="10" name="AutoShape 245"/>
        <xdr:cNvSpPr>
          <a:spLocks/>
        </xdr:cNvSpPr>
      </xdr:nvSpPr>
      <xdr:spPr>
        <a:xfrm flipH="1" flipV="1">
          <a:off x="3733800" y="3086100"/>
          <a:ext cx="0" cy="14287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19</xdr:row>
      <xdr:rowOff>66675</xdr:rowOff>
    </xdr:from>
    <xdr:to>
      <xdr:col>6</xdr:col>
      <xdr:colOff>0</xdr:colOff>
      <xdr:row>19</xdr:row>
      <xdr:rowOff>66675</xdr:rowOff>
    </xdr:to>
    <xdr:sp>
      <xdr:nvSpPr>
        <xdr:cNvPr id="11" name="AutoShape 244"/>
        <xdr:cNvSpPr>
          <a:spLocks/>
        </xdr:cNvSpPr>
      </xdr:nvSpPr>
      <xdr:spPr>
        <a:xfrm flipV="1">
          <a:off x="3733800" y="3095625"/>
          <a:ext cx="16478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123825</xdr:rowOff>
    </xdr:from>
    <xdr:to>
      <xdr:col>6</xdr:col>
      <xdr:colOff>28575</xdr:colOff>
      <xdr:row>78</xdr:row>
      <xdr:rowOff>133350</xdr:rowOff>
    </xdr:to>
    <xdr:sp>
      <xdr:nvSpPr>
        <xdr:cNvPr id="12" name="AutoShape 245"/>
        <xdr:cNvSpPr>
          <a:spLocks/>
        </xdr:cNvSpPr>
      </xdr:nvSpPr>
      <xdr:spPr>
        <a:xfrm>
          <a:off x="4772025" y="13430250"/>
          <a:ext cx="6381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200025</xdr:rowOff>
    </xdr:from>
    <xdr:to>
      <xdr:col>4</xdr:col>
      <xdr:colOff>638175</xdr:colOff>
      <xdr:row>39</xdr:row>
      <xdr:rowOff>76200</xdr:rowOff>
    </xdr:to>
    <xdr:sp>
      <xdr:nvSpPr>
        <xdr:cNvPr id="1" name="AutoShape 184"/>
        <xdr:cNvSpPr>
          <a:spLocks/>
        </xdr:cNvSpPr>
      </xdr:nvSpPr>
      <xdr:spPr>
        <a:xfrm flipV="1">
          <a:off x="3686175" y="7124700"/>
          <a:ext cx="638175" cy="104775"/>
        </a:xfrm>
        <a:prstGeom prst="bentConnector3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219075</xdr:rowOff>
    </xdr:from>
    <xdr:to>
      <xdr:col>5</xdr:col>
      <xdr:colOff>19050</xdr:colOff>
      <xdr:row>41</xdr:row>
      <xdr:rowOff>95250</xdr:rowOff>
    </xdr:to>
    <xdr:sp>
      <xdr:nvSpPr>
        <xdr:cNvPr id="2" name="AutoShape 187"/>
        <xdr:cNvSpPr>
          <a:spLocks/>
        </xdr:cNvSpPr>
      </xdr:nvSpPr>
      <xdr:spPr>
        <a:xfrm flipV="1">
          <a:off x="3686175" y="7543800"/>
          <a:ext cx="666750" cy="104775"/>
        </a:xfrm>
        <a:prstGeom prst="bentConnector3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161925</xdr:rowOff>
    </xdr:from>
    <xdr:to>
      <xdr:col>5</xdr:col>
      <xdr:colOff>9525</xdr:colOff>
      <xdr:row>44</xdr:row>
      <xdr:rowOff>161925</xdr:rowOff>
    </xdr:to>
    <xdr:sp>
      <xdr:nvSpPr>
        <xdr:cNvPr id="3" name="AutoShape 191"/>
        <xdr:cNvSpPr>
          <a:spLocks/>
        </xdr:cNvSpPr>
      </xdr:nvSpPr>
      <xdr:spPr>
        <a:xfrm>
          <a:off x="3686175" y="8220075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67</xdr:row>
      <xdr:rowOff>142875</xdr:rowOff>
    </xdr:from>
    <xdr:to>
      <xdr:col>5</xdr:col>
      <xdr:colOff>9525</xdr:colOff>
      <xdr:row>67</xdr:row>
      <xdr:rowOff>142875</xdr:rowOff>
    </xdr:to>
    <xdr:sp>
      <xdr:nvSpPr>
        <xdr:cNvPr id="4" name="AutoShape 199"/>
        <xdr:cNvSpPr>
          <a:spLocks/>
        </xdr:cNvSpPr>
      </xdr:nvSpPr>
      <xdr:spPr>
        <a:xfrm>
          <a:off x="3676650" y="12230100"/>
          <a:ext cx="6667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42</xdr:row>
      <xdr:rowOff>85725</xdr:rowOff>
    </xdr:from>
    <xdr:to>
      <xdr:col>5</xdr:col>
      <xdr:colOff>0</xdr:colOff>
      <xdr:row>42</xdr:row>
      <xdr:rowOff>95250</xdr:rowOff>
    </xdr:to>
    <xdr:sp>
      <xdr:nvSpPr>
        <xdr:cNvPr id="5" name="AutoShape 191"/>
        <xdr:cNvSpPr>
          <a:spLocks/>
        </xdr:cNvSpPr>
      </xdr:nvSpPr>
      <xdr:spPr>
        <a:xfrm flipV="1">
          <a:off x="3657600" y="7810500"/>
          <a:ext cx="6762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76200</xdr:rowOff>
    </xdr:from>
    <xdr:to>
      <xdr:col>5</xdr:col>
      <xdr:colOff>9525</xdr:colOff>
      <xdr:row>25</xdr:row>
      <xdr:rowOff>76200</xdr:rowOff>
    </xdr:to>
    <xdr:sp>
      <xdr:nvSpPr>
        <xdr:cNvPr id="6" name="AutoShape 197"/>
        <xdr:cNvSpPr>
          <a:spLocks/>
        </xdr:cNvSpPr>
      </xdr:nvSpPr>
      <xdr:spPr>
        <a:xfrm>
          <a:off x="3686175" y="4591050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24</xdr:row>
      <xdr:rowOff>95250</xdr:rowOff>
    </xdr:from>
    <xdr:to>
      <xdr:col>5</xdr:col>
      <xdr:colOff>0</xdr:colOff>
      <xdr:row>24</xdr:row>
      <xdr:rowOff>95250</xdr:rowOff>
    </xdr:to>
    <xdr:sp>
      <xdr:nvSpPr>
        <xdr:cNvPr id="7" name="AutoShape 197"/>
        <xdr:cNvSpPr>
          <a:spLocks/>
        </xdr:cNvSpPr>
      </xdr:nvSpPr>
      <xdr:spPr>
        <a:xfrm>
          <a:off x="3676650" y="4448175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133350</xdr:rowOff>
    </xdr:from>
    <xdr:to>
      <xdr:col>5</xdr:col>
      <xdr:colOff>19050</xdr:colOff>
      <xdr:row>45</xdr:row>
      <xdr:rowOff>133350</xdr:rowOff>
    </xdr:to>
    <xdr:sp>
      <xdr:nvSpPr>
        <xdr:cNvPr id="8" name="AutoShape 191"/>
        <xdr:cNvSpPr>
          <a:spLocks/>
        </xdr:cNvSpPr>
      </xdr:nvSpPr>
      <xdr:spPr>
        <a:xfrm>
          <a:off x="3695700" y="8467725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123825</xdr:rowOff>
    </xdr:from>
    <xdr:to>
      <xdr:col>5</xdr:col>
      <xdr:colOff>9525</xdr:colOff>
      <xdr:row>47</xdr:row>
      <xdr:rowOff>123825</xdr:rowOff>
    </xdr:to>
    <xdr:sp>
      <xdr:nvSpPr>
        <xdr:cNvPr id="9" name="AutoShape 191"/>
        <xdr:cNvSpPr>
          <a:spLocks/>
        </xdr:cNvSpPr>
      </xdr:nvSpPr>
      <xdr:spPr>
        <a:xfrm>
          <a:off x="3686175" y="8905875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95250</xdr:rowOff>
    </xdr:from>
    <xdr:to>
      <xdr:col>5</xdr:col>
      <xdr:colOff>9525</xdr:colOff>
      <xdr:row>52</xdr:row>
      <xdr:rowOff>95250</xdr:rowOff>
    </xdr:to>
    <xdr:sp>
      <xdr:nvSpPr>
        <xdr:cNvPr id="10" name="AutoShape 191"/>
        <xdr:cNvSpPr>
          <a:spLocks/>
        </xdr:cNvSpPr>
      </xdr:nvSpPr>
      <xdr:spPr>
        <a:xfrm>
          <a:off x="3686175" y="9696450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85725</xdr:rowOff>
    </xdr:from>
    <xdr:to>
      <xdr:col>5</xdr:col>
      <xdr:colOff>9525</xdr:colOff>
      <xdr:row>55</xdr:row>
      <xdr:rowOff>85725</xdr:rowOff>
    </xdr:to>
    <xdr:sp>
      <xdr:nvSpPr>
        <xdr:cNvPr id="11" name="AutoShape 191"/>
        <xdr:cNvSpPr>
          <a:spLocks/>
        </xdr:cNvSpPr>
      </xdr:nvSpPr>
      <xdr:spPr>
        <a:xfrm>
          <a:off x="3686175" y="10172700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13</xdr:row>
      <xdr:rowOff>76200</xdr:rowOff>
    </xdr:from>
    <xdr:to>
      <xdr:col>12</xdr:col>
      <xdr:colOff>19050</xdr:colOff>
      <xdr:row>13</xdr:row>
      <xdr:rowOff>76200</xdr:rowOff>
    </xdr:to>
    <xdr:sp>
      <xdr:nvSpPr>
        <xdr:cNvPr id="1" name="AutoShape 191"/>
        <xdr:cNvSpPr>
          <a:spLocks/>
        </xdr:cNvSpPr>
      </xdr:nvSpPr>
      <xdr:spPr>
        <a:xfrm>
          <a:off x="8181975" y="2343150"/>
          <a:ext cx="5238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12</xdr:col>
      <xdr:colOff>9525</xdr:colOff>
      <xdr:row>14</xdr:row>
      <xdr:rowOff>76200</xdr:rowOff>
    </xdr:to>
    <xdr:sp>
      <xdr:nvSpPr>
        <xdr:cNvPr id="2" name="AutoShape 250"/>
        <xdr:cNvSpPr>
          <a:spLocks/>
        </xdr:cNvSpPr>
      </xdr:nvSpPr>
      <xdr:spPr>
        <a:xfrm>
          <a:off x="8181975" y="2352675"/>
          <a:ext cx="514350" cy="161925"/>
        </a:xfrm>
        <a:prstGeom prst="bentConnector3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8</xdr:row>
      <xdr:rowOff>47625</xdr:rowOff>
    </xdr:from>
    <xdr:ext cx="0" cy="114300"/>
    <xdr:sp>
      <xdr:nvSpPr>
        <xdr:cNvPr id="1" name="Text 1"/>
        <xdr:cNvSpPr txBox="1">
          <a:spLocks noChangeArrowheads="1"/>
        </xdr:cNvSpPr>
      </xdr:nvSpPr>
      <xdr:spPr>
        <a:xfrm>
          <a:off x="19050" y="18097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Gå till avd:</a:t>
          </a:r>
        </a:p>
      </xdr:txBody>
    </xdr:sp>
    <xdr:clientData fPrintsWithSheet="0"/>
  </xdr:oneCellAnchor>
  <xdr:oneCellAnchor>
    <xdr:from>
      <xdr:col>0</xdr:col>
      <xdr:colOff>19050</xdr:colOff>
      <xdr:row>18</xdr:row>
      <xdr:rowOff>47625</xdr:rowOff>
    </xdr:from>
    <xdr:ext cx="0" cy="114300"/>
    <xdr:sp>
      <xdr:nvSpPr>
        <xdr:cNvPr id="2" name="Text 1"/>
        <xdr:cNvSpPr txBox="1">
          <a:spLocks noChangeArrowheads="1"/>
        </xdr:cNvSpPr>
      </xdr:nvSpPr>
      <xdr:spPr>
        <a:xfrm>
          <a:off x="19050" y="35052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Gå till avd: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47625</xdr:rowOff>
    </xdr:from>
    <xdr:ext cx="0" cy="142875"/>
    <xdr:sp>
      <xdr:nvSpPr>
        <xdr:cNvPr id="1" name="txtGoTo"/>
        <xdr:cNvSpPr txBox="1">
          <a:spLocks noChangeArrowheads="1"/>
        </xdr:cNvSpPr>
      </xdr:nvSpPr>
      <xdr:spPr>
        <a:xfrm>
          <a:off x="352425" y="4857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Gå till avd:</a:t>
          </a:r>
        </a:p>
      </xdr:txBody>
    </xdr:sp>
    <xdr:clientData fPrintsWithSheet="0"/>
  </xdr:oneCellAnchor>
  <xdr:oneCellAnchor>
    <xdr:from>
      <xdr:col>0</xdr:col>
      <xdr:colOff>38100</xdr:colOff>
      <xdr:row>2</xdr:row>
      <xdr:rowOff>47625</xdr:rowOff>
    </xdr:from>
    <xdr:ext cx="0" cy="142875"/>
    <xdr:sp>
      <xdr:nvSpPr>
        <xdr:cNvPr id="2" name="txtGoTo"/>
        <xdr:cNvSpPr txBox="1">
          <a:spLocks noChangeArrowheads="1"/>
        </xdr:cNvSpPr>
      </xdr:nvSpPr>
      <xdr:spPr>
        <a:xfrm>
          <a:off x="38100" y="4857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Gå till avd: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</xdr:row>
      <xdr:rowOff>47625</xdr:rowOff>
    </xdr:from>
    <xdr:ext cx="0" cy="142875"/>
    <xdr:sp>
      <xdr:nvSpPr>
        <xdr:cNvPr id="1" name="txtGoTo"/>
        <xdr:cNvSpPr txBox="1">
          <a:spLocks noChangeArrowheads="1"/>
        </xdr:cNvSpPr>
      </xdr:nvSpPr>
      <xdr:spPr>
        <a:xfrm>
          <a:off x="38100" y="485775"/>
          <a:ext cx="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Gå till avd:</a:t>
          </a:r>
        </a:p>
      </xdr:txBody>
    </xdr:sp>
    <xdr:clientData fPrintsWithSheet="0"/>
  </xdr:oneCellAnchor>
  <xdr:twoCellAnchor>
    <xdr:from>
      <xdr:col>255</xdr:col>
      <xdr:colOff>0</xdr:colOff>
      <xdr:row>65535</xdr:row>
      <xdr:rowOff>0</xdr:rowOff>
    </xdr:from>
    <xdr:to>
      <xdr:col>255</xdr:col>
      <xdr:colOff>0</xdr:colOff>
      <xdr:row>65535</xdr:row>
      <xdr:rowOff>0</xdr:rowOff>
    </xdr:to>
    <xdr:sp fLocksText="0">
      <xdr:nvSpPr>
        <xdr:cNvPr id="2" name="Entreprenad"/>
        <xdr:cNvSpPr txBox="1">
          <a:spLocks noChangeArrowheads="1"/>
        </xdr:cNvSpPr>
      </xdr:nvSpPr>
      <xdr:spPr>
        <a:xfrm>
          <a:off x="11049000" y="6629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0</xdr:colOff>
      <xdr:row>65535</xdr:row>
      <xdr:rowOff>0</xdr:rowOff>
    </xdr:from>
    <xdr:to>
      <xdr:col>255</xdr:col>
      <xdr:colOff>0</xdr:colOff>
      <xdr:row>65535</xdr:row>
      <xdr:rowOff>0</xdr:rowOff>
    </xdr:to>
    <xdr:sp fLocksText="0">
      <xdr:nvSpPr>
        <xdr:cNvPr id="3" name="Entreprenad"/>
        <xdr:cNvSpPr txBox="1">
          <a:spLocks noChangeArrowheads="1"/>
        </xdr:cNvSpPr>
      </xdr:nvSpPr>
      <xdr:spPr>
        <a:xfrm>
          <a:off x="11049000" y="6629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KS_06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n Information"/>
      <sheetName val="RR"/>
      <sheetName val="BR"/>
      <sheetName val="Verks int o kostn"/>
      <sheetName val="Skatter, bidrag o fin poster"/>
      <sheetName val="Investeringar"/>
      <sheetName val="Drift"/>
      <sheetName val="Motpart"/>
      <sheetName val="Pedagogisk verksamhet"/>
      <sheetName val="Äldre o personer funktionsn"/>
      <sheetName val="IFO"/>
      <sheetName val="Kontrollblad"/>
      <sheetName val="Felkontroll"/>
    </sheetNames>
    <sheetDataSet>
      <sheetData sheetId="7">
        <row r="9">
          <cell r="Y9">
            <v>83</v>
          </cell>
          <cell r="Z9">
            <v>1</v>
          </cell>
        </row>
        <row r="10">
          <cell r="Y10">
            <v>252</v>
          </cell>
          <cell r="Z10">
            <v>17</v>
          </cell>
        </row>
        <row r="11">
          <cell r="Y11">
            <v>8</v>
          </cell>
          <cell r="Z11">
            <v>12</v>
          </cell>
        </row>
        <row r="12">
          <cell r="Y12">
            <v>3</v>
          </cell>
          <cell r="Z12">
            <v>0</v>
          </cell>
        </row>
        <row r="13">
          <cell r="Y13">
            <v>271</v>
          </cell>
          <cell r="Z13">
            <v>4</v>
          </cell>
        </row>
        <row r="14">
          <cell r="Y14">
            <v>7</v>
          </cell>
          <cell r="Z14">
            <v>0</v>
          </cell>
        </row>
        <row r="15">
          <cell r="Y15">
            <v>112</v>
          </cell>
          <cell r="Z15">
            <v>0</v>
          </cell>
        </row>
        <row r="16">
          <cell r="Y16">
            <v>1</v>
          </cell>
          <cell r="Z16">
            <v>1</v>
          </cell>
        </row>
        <row r="17">
          <cell r="Y17">
            <v>33</v>
          </cell>
          <cell r="Z17">
            <v>0</v>
          </cell>
        </row>
        <row r="18">
          <cell r="Y18">
            <v>1166</v>
          </cell>
          <cell r="Z18">
            <v>3</v>
          </cell>
        </row>
        <row r="19">
          <cell r="Y19">
            <v>249</v>
          </cell>
          <cell r="Z19">
            <v>0</v>
          </cell>
        </row>
        <row r="20">
          <cell r="Y20">
            <v>6441</v>
          </cell>
          <cell r="Z20">
            <v>9</v>
          </cell>
        </row>
        <row r="21">
          <cell r="Y21">
            <v>558</v>
          </cell>
          <cell r="Z21">
            <v>0</v>
          </cell>
        </row>
        <row r="22">
          <cell r="Y22">
            <v>27</v>
          </cell>
          <cell r="Z22">
            <v>0</v>
          </cell>
        </row>
        <row r="23">
          <cell r="Y23">
            <v>266</v>
          </cell>
          <cell r="Z23">
            <v>0</v>
          </cell>
        </row>
        <row r="24">
          <cell r="Y24">
            <v>14</v>
          </cell>
          <cell r="Z24">
            <v>0</v>
          </cell>
        </row>
        <row r="25">
          <cell r="Y25">
            <v>92</v>
          </cell>
          <cell r="Z25">
            <v>3</v>
          </cell>
        </row>
        <row r="26">
          <cell r="Y26">
            <v>0</v>
          </cell>
          <cell r="Z26">
            <v>103</v>
          </cell>
        </row>
        <row r="27">
          <cell r="Y27">
            <v>144</v>
          </cell>
          <cell r="Z27">
            <v>186</v>
          </cell>
        </row>
        <row r="28">
          <cell r="Y28">
            <v>29</v>
          </cell>
          <cell r="Z28">
            <v>17</v>
          </cell>
        </row>
        <row r="29">
          <cell r="Y29">
            <v>261</v>
          </cell>
          <cell r="Z29">
            <v>33</v>
          </cell>
        </row>
        <row r="30">
          <cell r="Y30">
            <v>32</v>
          </cell>
          <cell r="Z30">
            <v>5</v>
          </cell>
        </row>
        <row r="31">
          <cell r="Y31">
            <v>67</v>
          </cell>
          <cell r="Z31">
            <v>5</v>
          </cell>
        </row>
        <row r="33">
          <cell r="Y33">
            <v>127</v>
          </cell>
          <cell r="Z33">
            <v>44</v>
          </cell>
        </row>
        <row r="36">
          <cell r="Y36">
            <v>60</v>
          </cell>
          <cell r="Z36">
            <v>0</v>
          </cell>
        </row>
        <row r="37">
          <cell r="Y37">
            <v>14</v>
          </cell>
          <cell r="Z37">
            <v>1</v>
          </cell>
        </row>
        <row r="38">
          <cell r="Y38">
            <v>119</v>
          </cell>
          <cell r="Z38">
            <v>15</v>
          </cell>
        </row>
      </sheetData>
      <sheetData sheetId="10">
        <row r="29">
          <cell r="E29">
            <v>30</v>
          </cell>
        </row>
        <row r="30">
          <cell r="E30">
            <v>7</v>
          </cell>
        </row>
        <row r="31">
          <cell r="E31">
            <v>280</v>
          </cell>
        </row>
        <row r="33">
          <cell r="E33">
            <v>16</v>
          </cell>
        </row>
        <row r="34">
          <cell r="E34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7" sqref="A7:D7"/>
    </sheetView>
  </sheetViews>
  <sheetFormatPr defaultColWidth="0" defaultRowHeight="12.75" zeroHeight="1"/>
  <cols>
    <col min="1" max="1" width="21.28125" style="494" customWidth="1"/>
    <col min="2" max="2" width="26.7109375" style="494" customWidth="1"/>
    <col min="3" max="3" width="20.57421875" style="494" customWidth="1"/>
    <col min="4" max="4" width="26.7109375" style="494" customWidth="1"/>
    <col min="5" max="5" width="12.421875" style="487" customWidth="1"/>
    <col min="6" max="6" width="9.140625" style="0" customWidth="1"/>
    <col min="7" max="16384" width="9.140625" style="0" hidden="1" customWidth="1"/>
  </cols>
  <sheetData>
    <row r="1" spans="1:6" s="495" customFormat="1" ht="15.75">
      <c r="A1" s="2157" t="s">
        <v>583</v>
      </c>
      <c r="B1" s="2158"/>
      <c r="C1" s="2158"/>
      <c r="D1" s="2158"/>
      <c r="E1" s="2137"/>
      <c r="F1" s="157"/>
    </row>
    <row r="2" spans="1:6" s="494" customFormat="1" ht="15.75">
      <c r="A2" s="486" t="s">
        <v>586</v>
      </c>
      <c r="B2" s="484" t="s">
        <v>1189</v>
      </c>
      <c r="C2" s="157"/>
      <c r="D2" s="157"/>
      <c r="E2" s="2138"/>
      <c r="F2" s="157"/>
    </row>
    <row r="3" spans="1:6" s="494" customFormat="1" ht="15.75">
      <c r="A3" s="486" t="s">
        <v>587</v>
      </c>
      <c r="B3" s="485"/>
      <c r="C3" s="157"/>
      <c r="D3" s="157"/>
      <c r="E3" s="2138"/>
      <c r="F3" s="157"/>
    </row>
    <row r="4" spans="1:6" s="494" customFormat="1" ht="15.75">
      <c r="A4" s="486" t="s">
        <v>584</v>
      </c>
      <c r="B4" s="488">
        <v>9747355</v>
      </c>
      <c r="C4" s="157"/>
      <c r="D4" s="157"/>
      <c r="E4" s="2138"/>
      <c r="F4" s="157"/>
    </row>
    <row r="5" spans="1:6" s="494" customFormat="1" ht="15.75">
      <c r="A5" s="489" t="s">
        <v>585</v>
      </c>
      <c r="B5" s="488">
        <v>963888</v>
      </c>
      <c r="C5" s="158"/>
      <c r="D5" s="157"/>
      <c r="E5" s="2138"/>
      <c r="F5" s="157"/>
    </row>
    <row r="6" spans="1:6" s="494" customFormat="1" ht="42.75" customHeight="1">
      <c r="A6" s="2159"/>
      <c r="B6" s="2160"/>
      <c r="C6" s="2160"/>
      <c r="D6" s="2160"/>
      <c r="E6" s="2138"/>
      <c r="F6" s="157"/>
    </row>
    <row r="7" spans="1:6" s="494" customFormat="1" ht="26.25">
      <c r="A7" s="2159"/>
      <c r="B7" s="2160"/>
      <c r="C7" s="2160"/>
      <c r="D7" s="2160"/>
      <c r="E7" s="2138"/>
      <c r="F7" s="157"/>
    </row>
    <row r="8" spans="1:6" s="494" customFormat="1" ht="22.5" customHeight="1">
      <c r="A8" s="490"/>
      <c r="B8" s="157"/>
      <c r="C8" s="157"/>
      <c r="D8" s="157"/>
      <c r="E8" s="2138"/>
      <c r="F8" s="157"/>
    </row>
    <row r="9" spans="1:6" s="494" customFormat="1" ht="12.75" customHeight="1">
      <c r="A9" s="2159"/>
      <c r="B9" s="2160"/>
      <c r="C9" s="2160"/>
      <c r="D9" s="2160"/>
      <c r="E9" s="2138"/>
      <c r="F9" s="157"/>
    </row>
    <row r="10" spans="1:6" s="494" customFormat="1" ht="26.25">
      <c r="A10" s="2159"/>
      <c r="B10" s="2160"/>
      <c r="C10" s="2160"/>
      <c r="D10" s="2160"/>
      <c r="E10" s="2138"/>
      <c r="F10" s="157"/>
    </row>
    <row r="11" spans="1:6" s="494" customFormat="1" ht="26.25">
      <c r="A11" s="2159"/>
      <c r="B11" s="2160"/>
      <c r="C11" s="2160"/>
      <c r="D11" s="2160"/>
      <c r="E11" s="2138"/>
      <c r="F11" s="157"/>
    </row>
    <row r="12" spans="1:6" s="494" customFormat="1" ht="26.25">
      <c r="A12" s="2159" t="s">
        <v>1195</v>
      </c>
      <c r="B12" s="2160"/>
      <c r="C12" s="2160"/>
      <c r="D12" s="2160"/>
      <c r="E12" s="2138"/>
      <c r="F12" s="157"/>
    </row>
    <row r="13" spans="1:6" s="494" customFormat="1" ht="26.25">
      <c r="A13" s="2159" t="s">
        <v>1196</v>
      </c>
      <c r="B13" s="2160"/>
      <c r="C13" s="2160"/>
      <c r="D13" s="2160"/>
      <c r="E13" s="2138"/>
      <c r="F13" s="157"/>
    </row>
    <row r="14" spans="1:6" s="494" customFormat="1" ht="15.75">
      <c r="A14" s="2136"/>
      <c r="B14" s="2093"/>
      <c r="C14" s="2093"/>
      <c r="D14" s="2093"/>
      <c r="E14" s="2138"/>
      <c r="F14" s="157"/>
    </row>
    <row r="15" spans="1:6" s="494" customFormat="1" ht="15.75">
      <c r="A15" s="2136"/>
      <c r="B15" s="2093"/>
      <c r="C15" s="2093"/>
      <c r="D15" s="2093"/>
      <c r="E15" s="2138"/>
      <c r="F15" s="157"/>
    </row>
    <row r="16" spans="1:6" s="494" customFormat="1" ht="15.75">
      <c r="A16" s="2136"/>
      <c r="B16" s="2093"/>
      <c r="C16" s="2093"/>
      <c r="D16" s="2093"/>
      <c r="E16" s="2138"/>
      <c r="F16" s="157"/>
    </row>
    <row r="17" spans="1:6" s="494" customFormat="1" ht="15.75">
      <c r="A17" s="2136"/>
      <c r="B17" s="2093"/>
      <c r="C17" s="2093"/>
      <c r="D17" s="2093"/>
      <c r="E17" s="2138"/>
      <c r="F17" s="157"/>
    </row>
    <row r="18" spans="1:6" s="494" customFormat="1" ht="15.75">
      <c r="A18" s="2136"/>
      <c r="B18" s="2093"/>
      <c r="C18" s="2093"/>
      <c r="D18" s="2093"/>
      <c r="E18" s="2138"/>
      <c r="F18" s="157"/>
    </row>
    <row r="19" spans="1:6" s="494" customFormat="1" ht="15.75">
      <c r="A19" s="2136"/>
      <c r="B19" s="2093"/>
      <c r="C19" s="2093"/>
      <c r="D19" s="2093"/>
      <c r="E19" s="2138"/>
      <c r="F19" s="157"/>
    </row>
    <row r="20" spans="1:6" s="494" customFormat="1" ht="15.75">
      <c r="A20" s="2136"/>
      <c r="B20" s="2093"/>
      <c r="C20" s="2093"/>
      <c r="D20" s="2093"/>
      <c r="E20" s="2138"/>
      <c r="F20" s="157"/>
    </row>
    <row r="21" spans="1:6" s="494" customFormat="1" ht="15.75">
      <c r="A21" s="2136"/>
      <c r="B21" s="2093"/>
      <c r="C21" s="2093"/>
      <c r="D21" s="2093"/>
      <c r="E21" s="2138"/>
      <c r="F21" s="157"/>
    </row>
    <row r="22" spans="1:6" s="494" customFormat="1" ht="15.75">
      <c r="A22" s="2136"/>
      <c r="B22" s="2093"/>
      <c r="C22" s="2093"/>
      <c r="D22" s="2093"/>
      <c r="E22" s="2138"/>
      <c r="F22" s="157"/>
    </row>
    <row r="23" spans="1:6" s="494" customFormat="1" ht="15.75">
      <c r="A23" s="2136"/>
      <c r="B23" s="2093"/>
      <c r="C23" s="2093"/>
      <c r="D23" s="2093"/>
      <c r="E23" s="2138"/>
      <c r="F23" s="157"/>
    </row>
    <row r="24" spans="1:6" s="494" customFormat="1" ht="15.75">
      <c r="A24" s="2136"/>
      <c r="B24" s="2093"/>
      <c r="C24" s="2093"/>
      <c r="D24" s="2093"/>
      <c r="E24" s="2138"/>
      <c r="F24" s="157"/>
    </row>
    <row r="25" spans="1:6" s="494" customFormat="1" ht="15.75">
      <c r="A25" s="2136"/>
      <c r="B25" s="2093"/>
      <c r="C25" s="2093"/>
      <c r="D25" s="2093"/>
      <c r="E25" s="2138"/>
      <c r="F25" s="157"/>
    </row>
    <row r="26" spans="1:6" s="494" customFormat="1" ht="15.75">
      <c r="A26" s="2136"/>
      <c r="B26" s="2093"/>
      <c r="C26" s="2093"/>
      <c r="D26" s="2093"/>
      <c r="E26" s="2138"/>
      <c r="F26" s="157"/>
    </row>
    <row r="27" spans="1:6" s="494" customFormat="1" ht="15.75">
      <c r="A27" s="2136"/>
      <c r="B27" s="2093"/>
      <c r="C27" s="2093"/>
      <c r="D27" s="2093"/>
      <c r="E27" s="2138"/>
      <c r="F27" s="157"/>
    </row>
    <row r="28" spans="1:6" s="494" customFormat="1" ht="15.75">
      <c r="A28" s="2136"/>
      <c r="B28" s="2093"/>
      <c r="C28" s="2093"/>
      <c r="D28" s="2093"/>
      <c r="E28" s="2138"/>
      <c r="F28" s="157"/>
    </row>
    <row r="29" spans="1:6" s="494" customFormat="1" ht="15.75">
      <c r="A29" s="2136"/>
      <c r="B29" s="2093"/>
      <c r="C29" s="2093"/>
      <c r="D29" s="2093"/>
      <c r="E29" s="2138"/>
      <c r="F29" s="157"/>
    </row>
    <row r="30" spans="1:6" s="494" customFormat="1" ht="15.75">
      <c r="A30" s="2136"/>
      <c r="B30" s="2093"/>
      <c r="C30" s="2093"/>
      <c r="D30" s="2093"/>
      <c r="E30" s="2138"/>
      <c r="F30" s="157"/>
    </row>
    <row r="31" spans="1:6" s="494" customFormat="1" ht="15.75">
      <c r="A31" s="2136"/>
      <c r="B31" s="2093"/>
      <c r="C31" s="2093"/>
      <c r="D31" s="2093"/>
      <c r="E31" s="2138"/>
      <c r="F31" s="157"/>
    </row>
    <row r="32" spans="1:6" s="494" customFormat="1" ht="15.75">
      <c r="A32" s="2136"/>
      <c r="B32" s="2093"/>
      <c r="C32" s="2093"/>
      <c r="D32" s="2093"/>
      <c r="E32" s="2138"/>
      <c r="F32" s="157"/>
    </row>
    <row r="33" spans="1:6" s="494" customFormat="1" ht="15.75">
      <c r="A33" s="2136"/>
      <c r="B33" s="2093"/>
      <c r="C33" s="2093"/>
      <c r="D33" s="2093"/>
      <c r="E33" s="2138"/>
      <c r="F33" s="157"/>
    </row>
    <row r="34" spans="1:6" s="494" customFormat="1" ht="15.75">
      <c r="A34" s="2136"/>
      <c r="B34" s="2093"/>
      <c r="C34" s="2093"/>
      <c r="D34" s="2093"/>
      <c r="E34" s="2138"/>
      <c r="F34" s="157"/>
    </row>
    <row r="35" spans="1:6" s="494" customFormat="1" ht="15.75">
      <c r="A35" s="2136"/>
      <c r="B35" s="2093"/>
      <c r="C35" s="2093"/>
      <c r="D35" s="2093"/>
      <c r="E35" s="2138"/>
      <c r="F35" s="157"/>
    </row>
    <row r="36" spans="1:6" s="494" customFormat="1" ht="15.75">
      <c r="A36" s="2136"/>
      <c r="B36" s="2093"/>
      <c r="C36" s="2093"/>
      <c r="D36" s="2093"/>
      <c r="E36" s="2138"/>
      <c r="F36" s="157"/>
    </row>
    <row r="37" spans="1:6" s="494" customFormat="1" ht="15.75">
      <c r="A37" s="491"/>
      <c r="B37" s="487"/>
      <c r="C37" s="487"/>
      <c r="D37" s="487"/>
      <c r="E37" s="2138"/>
      <c r="F37" s="157"/>
    </row>
    <row r="38" spans="1:6" s="494" customFormat="1" ht="15.75">
      <c r="A38" s="491"/>
      <c r="B38" s="487"/>
      <c r="C38" s="487"/>
      <c r="D38" s="487"/>
      <c r="E38" s="2138"/>
      <c r="F38" s="157"/>
    </row>
    <row r="39" spans="1:6" s="494" customFormat="1" ht="15.75">
      <c r="A39" s="491"/>
      <c r="B39" s="2155"/>
      <c r="C39" s="2155"/>
      <c r="D39" s="487"/>
      <c r="E39" s="2138"/>
      <c r="F39" s="157"/>
    </row>
    <row r="40" spans="1:6" s="494" customFormat="1" ht="15.75">
      <c r="A40" s="491"/>
      <c r="B40" s="2155"/>
      <c r="C40" s="2155"/>
      <c r="D40" s="487"/>
      <c r="E40" s="2138"/>
      <c r="F40" s="157"/>
    </row>
    <row r="41" spans="1:6" s="494" customFormat="1" ht="15.75">
      <c r="A41" s="491"/>
      <c r="B41" s="2156"/>
      <c r="C41" s="2156"/>
      <c r="D41" s="487"/>
      <c r="E41" s="2138"/>
      <c r="F41" s="157"/>
    </row>
    <row r="42" spans="1:6" s="494" customFormat="1" ht="15.75">
      <c r="A42" s="491"/>
      <c r="B42" s="487"/>
      <c r="C42" s="487"/>
      <c r="D42" s="487"/>
      <c r="E42" s="2138"/>
      <c r="F42" s="157"/>
    </row>
    <row r="43" spans="1:6" s="494" customFormat="1" ht="15.75">
      <c r="A43" s="491"/>
      <c r="B43" s="487"/>
      <c r="C43" s="487"/>
      <c r="D43" s="487"/>
      <c r="E43" s="2138"/>
      <c r="F43" s="157"/>
    </row>
    <row r="44" spans="1:6" s="494" customFormat="1" ht="15.75">
      <c r="A44" s="491"/>
      <c r="B44" s="487"/>
      <c r="C44" s="487"/>
      <c r="D44" s="487"/>
      <c r="E44" s="2138"/>
      <c r="F44" s="157"/>
    </row>
    <row r="45" spans="1:6" s="494" customFormat="1" ht="15.75">
      <c r="A45" s="491"/>
      <c r="B45" s="487"/>
      <c r="C45" s="487"/>
      <c r="D45" s="487"/>
      <c r="E45" s="2138"/>
      <c r="F45" s="157"/>
    </row>
    <row r="46" spans="1:6" s="494" customFormat="1" ht="15.75">
      <c r="A46" s="491"/>
      <c r="B46" s="487"/>
      <c r="C46" s="487"/>
      <c r="D46" s="487"/>
      <c r="E46" s="2138"/>
      <c r="F46" s="157"/>
    </row>
    <row r="47" spans="1:6" s="494" customFormat="1" ht="15.75">
      <c r="A47" s="491"/>
      <c r="B47" s="487"/>
      <c r="C47" s="487"/>
      <c r="D47" s="487"/>
      <c r="E47" s="2138"/>
      <c r="F47" s="157"/>
    </row>
    <row r="48" spans="1:6" s="494" customFormat="1" ht="15.75">
      <c r="A48" s="491"/>
      <c r="B48" s="487"/>
      <c r="C48" s="487"/>
      <c r="D48" s="487"/>
      <c r="E48" s="2138"/>
      <c r="F48" s="157"/>
    </row>
    <row r="49" spans="1:6" s="494" customFormat="1" ht="15.75">
      <c r="A49" s="491"/>
      <c r="B49" s="487"/>
      <c r="C49" s="487"/>
      <c r="D49" s="487"/>
      <c r="E49" s="2138"/>
      <c r="F49" s="157"/>
    </row>
    <row r="50" spans="1:6" s="351" customFormat="1" ht="54.75" customHeight="1">
      <c r="A50" s="492"/>
      <c r="B50" s="493"/>
      <c r="C50" s="493"/>
      <c r="D50" s="493"/>
      <c r="E50" s="2139"/>
      <c r="F50" s="157"/>
    </row>
  </sheetData>
  <sheetProtection/>
  <mergeCells count="9">
    <mergeCell ref="B39:C41"/>
    <mergeCell ref="A1:D1"/>
    <mergeCell ref="A7:D7"/>
    <mergeCell ref="A6:D6"/>
    <mergeCell ref="A12:D12"/>
    <mergeCell ref="A13:D13"/>
    <mergeCell ref="A9:D9"/>
    <mergeCell ref="A10:D10"/>
    <mergeCell ref="A11:D11"/>
  </mergeCells>
  <printOptions/>
  <pageMargins left="0.7086614173228347" right="0.48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9"/>
  <sheetViews>
    <sheetView showGridLines="0" zoomScalePageLayoutView="0" workbookViewId="0" topLeftCell="A1">
      <pane xSplit="2" ySplit="11" topLeftCell="C12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B23" sqref="B23"/>
    </sheetView>
  </sheetViews>
  <sheetFormatPr defaultColWidth="9.140625" defaultRowHeight="0" customHeight="1" zeroHeight="1"/>
  <cols>
    <col min="1" max="1" width="5.28125" style="319" customWidth="1"/>
    <col min="2" max="2" width="32.7109375" style="323" customWidth="1"/>
    <col min="3" max="3" width="11.28125" style="326" customWidth="1"/>
    <col min="4" max="4" width="9.140625" style="326" customWidth="1"/>
    <col min="5" max="7" width="8.7109375" style="326" customWidth="1"/>
    <col min="8" max="8" width="10.00390625" style="326" customWidth="1"/>
    <col min="9" max="10" width="8.7109375" style="326" customWidth="1"/>
    <col min="11" max="11" width="9.140625" style="326" customWidth="1"/>
    <col min="12" max="12" width="8.7109375" style="326" customWidth="1"/>
    <col min="13" max="13" width="7.8515625" style="326" customWidth="1"/>
    <col min="14" max="14" width="14.8515625" style="326" customWidth="1"/>
    <col min="15" max="15" width="6.00390625" style="324" customWidth="1"/>
    <col min="16" max="16" width="7.7109375" style="319" customWidth="1"/>
    <col min="17" max="17" width="4.00390625" style="325" customWidth="1"/>
    <col min="18" max="19" width="9.140625" style="319" customWidth="1"/>
    <col min="20" max="20" width="9.00390625" style="319" customWidth="1"/>
    <col min="21" max="21" width="9.140625" style="319" customWidth="1"/>
    <col min="22" max="16384" width="9.140625" style="315" customWidth="1"/>
  </cols>
  <sheetData>
    <row r="1" spans="1:21" ht="21.75">
      <c r="A1" s="151" t="str">
        <f>"Specificering vård och omsorg om äldre och personer med funktionsnedsättning "&amp;År&amp;", miljoner kronor"</f>
        <v>Specificering vård och omsorg om äldre och personer med funktionsnedsättning 2014, miljoner kronor</v>
      </c>
      <c r="B1" s="152"/>
      <c r="C1" s="15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596" t="s">
        <v>502</v>
      </c>
      <c r="P1" s="597" t="str">
        <f>'Kn Information'!B2</f>
        <v>RIKSTOTAL</v>
      </c>
      <c r="Q1" s="314"/>
      <c r="R1" s="313"/>
      <c r="S1" s="313"/>
      <c r="T1" s="313"/>
      <c r="U1" s="313"/>
    </row>
    <row r="2" spans="1:21" ht="12.75">
      <c r="A2" s="1549"/>
      <c r="B2" s="153"/>
      <c r="C2" s="318"/>
      <c r="D2" s="318"/>
      <c r="E2" s="318"/>
      <c r="F2" s="318"/>
      <c r="G2" s="318"/>
      <c r="H2" s="318"/>
      <c r="I2" s="318"/>
      <c r="J2" s="316"/>
      <c r="K2" s="1666"/>
      <c r="M2" s="1662"/>
      <c r="N2" s="1664"/>
      <c r="O2" s="1661"/>
      <c r="P2" s="316"/>
      <c r="S2" s="316"/>
      <c r="T2" s="316"/>
      <c r="U2" s="316"/>
    </row>
    <row r="3" spans="1:21" ht="12.75" customHeight="1" thickBot="1">
      <c r="A3" s="317"/>
      <c r="B3" s="317"/>
      <c r="C3" s="318" t="s">
        <v>689</v>
      </c>
      <c r="D3" s="318" t="s">
        <v>694</v>
      </c>
      <c r="E3" s="318" t="s">
        <v>690</v>
      </c>
      <c r="F3" s="318" t="s">
        <v>589</v>
      </c>
      <c r="G3" s="318" t="s">
        <v>691</v>
      </c>
      <c r="H3" s="318" t="s">
        <v>590</v>
      </c>
      <c r="I3" s="318" t="s">
        <v>591</v>
      </c>
      <c r="J3" s="318" t="s">
        <v>693</v>
      </c>
      <c r="K3" s="318" t="s">
        <v>692</v>
      </c>
      <c r="L3" s="318"/>
      <c r="M3" s="318"/>
      <c r="N3" s="1665"/>
      <c r="O3" s="1663"/>
      <c r="P3" s="317"/>
      <c r="T3" s="317"/>
      <c r="U3" s="317"/>
    </row>
    <row r="4" spans="1:16" ht="12.75">
      <c r="A4" s="1367" t="s">
        <v>695</v>
      </c>
      <c r="B4" s="1368" t="s">
        <v>21</v>
      </c>
      <c r="C4" s="1369"/>
      <c r="D4" s="1370"/>
      <c r="E4" s="1735" t="s">
        <v>45</v>
      </c>
      <c r="F4" s="1372"/>
      <c r="G4" s="1372"/>
      <c r="H4" s="1370"/>
      <c r="I4" s="1737" t="s">
        <v>46</v>
      </c>
      <c r="J4" s="1736" t="s">
        <v>47</v>
      </c>
      <c r="K4" s="1374"/>
      <c r="L4" s="1373"/>
      <c r="M4" s="1373"/>
      <c r="N4" s="1668"/>
      <c r="O4" s="1371"/>
      <c r="P4" s="1375"/>
    </row>
    <row r="5" spans="1:21" ht="12.75" customHeight="1">
      <c r="A5" s="1376" t="s">
        <v>698</v>
      </c>
      <c r="B5" s="1377"/>
      <c r="C5" s="1378"/>
      <c r="D5" s="1379"/>
      <c r="E5" s="1380"/>
      <c r="F5" s="1381"/>
      <c r="G5" s="1381"/>
      <c r="H5" s="1382"/>
      <c r="I5" s="1738" t="s">
        <v>49</v>
      </c>
      <c r="J5" s="1384"/>
      <c r="K5" s="1385"/>
      <c r="L5" s="1386"/>
      <c r="M5" s="1386"/>
      <c r="N5" s="1667"/>
      <c r="O5" s="1950"/>
      <c r="P5" s="1987"/>
      <c r="Q5" s="1660"/>
      <c r="R5" s="166"/>
      <c r="S5" s="315"/>
      <c r="T5" s="315"/>
      <c r="U5" s="315"/>
    </row>
    <row r="6" spans="1:21" ht="33.75" customHeight="1">
      <c r="A6" s="1387"/>
      <c r="B6" s="1388"/>
      <c r="C6" s="1678" t="s">
        <v>48</v>
      </c>
      <c r="D6" s="2289" t="s">
        <v>990</v>
      </c>
      <c r="E6" s="2279" t="s">
        <v>779</v>
      </c>
      <c r="F6" s="2281" t="s">
        <v>985</v>
      </c>
      <c r="G6" s="2281" t="s">
        <v>517</v>
      </c>
      <c r="H6" s="2291" t="s">
        <v>983</v>
      </c>
      <c r="I6" s="1383"/>
      <c r="J6" s="2287" t="s">
        <v>1185</v>
      </c>
      <c r="K6" s="1388" t="s">
        <v>156</v>
      </c>
      <c r="L6" s="1386" t="s">
        <v>156</v>
      </c>
      <c r="M6" s="1386" t="s">
        <v>568</v>
      </c>
      <c r="N6" s="2304"/>
      <c r="O6" s="2293" t="str">
        <f>"Nämnare nyckeltal"</f>
        <v>Nämnare nyckeltal</v>
      </c>
      <c r="P6" s="2294"/>
      <c r="Q6" s="1660"/>
      <c r="R6" s="166"/>
      <c r="S6" s="315"/>
      <c r="T6" s="315"/>
      <c r="U6" s="315"/>
    </row>
    <row r="7" spans="1:21" ht="21" customHeight="1">
      <c r="A7" s="1390"/>
      <c r="B7" s="1388"/>
      <c r="C7" s="1678" t="s">
        <v>50</v>
      </c>
      <c r="D7" s="2290"/>
      <c r="E7" s="2280"/>
      <c r="F7" s="2282"/>
      <c r="G7" s="2284"/>
      <c r="H7" s="2292"/>
      <c r="I7" s="1383"/>
      <c r="J7" s="2288"/>
      <c r="K7" s="1388" t="s">
        <v>157</v>
      </c>
      <c r="L7" s="1386" t="s">
        <v>157</v>
      </c>
      <c r="M7" s="1386" t="str">
        <f>År-1&amp;"-"&amp;År</f>
        <v>2013-2014</v>
      </c>
      <c r="N7" s="2305"/>
      <c r="O7" s="2295"/>
      <c r="P7" s="2294"/>
      <c r="Q7" s="1707"/>
      <c r="R7" s="166"/>
      <c r="S7" s="315"/>
      <c r="T7" s="315"/>
      <c r="U7" s="315"/>
    </row>
    <row r="8" spans="1:21" ht="21" customHeight="1">
      <c r="A8" s="1390"/>
      <c r="B8" s="1391"/>
      <c r="C8" s="1383"/>
      <c r="D8" s="1743" t="s">
        <v>989</v>
      </c>
      <c r="E8" s="1389" t="s">
        <v>989</v>
      </c>
      <c r="F8" s="1926" t="s">
        <v>54</v>
      </c>
      <c r="G8" s="1926" t="s">
        <v>984</v>
      </c>
      <c r="H8" s="1744" t="s">
        <v>989</v>
      </c>
      <c r="I8" s="1383"/>
      <c r="J8" s="2067" t="s">
        <v>1186</v>
      </c>
      <c r="K8" s="1392">
        <f>År</f>
        <v>2014</v>
      </c>
      <c r="L8" s="1393">
        <f>År-1</f>
        <v>2013</v>
      </c>
      <c r="M8" s="1386"/>
      <c r="N8" s="2305"/>
      <c r="O8" s="1385"/>
      <c r="P8" s="1988"/>
      <c r="Q8" s="1945"/>
      <c r="R8" s="166"/>
      <c r="S8" s="1946"/>
      <c r="T8" s="1946"/>
      <c r="U8" s="315"/>
    </row>
    <row r="9" spans="1:21" ht="20.25" customHeight="1">
      <c r="A9" s="1390"/>
      <c r="B9" s="1388"/>
      <c r="C9" s="1383"/>
      <c r="D9" s="2068" t="s">
        <v>942</v>
      </c>
      <c r="E9" s="1762" t="s">
        <v>1004</v>
      </c>
      <c r="F9" s="2283"/>
      <c r="G9" s="2286"/>
      <c r="H9" s="2069" t="s">
        <v>986</v>
      </c>
      <c r="I9" s="1386"/>
      <c r="J9" s="1677"/>
      <c r="K9" s="1388"/>
      <c r="L9" s="1386"/>
      <c r="M9" s="1386"/>
      <c r="N9" s="2306"/>
      <c r="O9" s="1989"/>
      <c r="P9" s="1990"/>
      <c r="Q9" s="1945"/>
      <c r="R9" s="166"/>
      <c r="S9" s="315"/>
      <c r="T9" s="315"/>
      <c r="U9" s="315"/>
    </row>
    <row r="10" spans="1:21" ht="3" customHeight="1">
      <c r="A10" s="1390"/>
      <c r="B10" s="1395"/>
      <c r="C10" s="1383"/>
      <c r="D10" s="2070"/>
      <c r="E10" s="1762"/>
      <c r="F10" s="2284"/>
      <c r="G10" s="2284"/>
      <c r="H10" s="2072"/>
      <c r="I10" s="1386"/>
      <c r="J10" s="1384"/>
      <c r="K10" s="1396"/>
      <c r="L10" s="1397"/>
      <c r="M10" s="1397"/>
      <c r="N10" s="2307"/>
      <c r="O10" s="1991"/>
      <c r="P10" s="1992"/>
      <c r="Q10" s="1947"/>
      <c r="R10" s="315"/>
      <c r="S10" s="315"/>
      <c r="T10" s="315"/>
      <c r="U10" s="315"/>
    </row>
    <row r="11" spans="1:20" ht="3" customHeight="1">
      <c r="A11" s="1398"/>
      <c r="B11" s="1764"/>
      <c r="C11" s="1399"/>
      <c r="D11" s="2071"/>
      <c r="E11" s="1762"/>
      <c r="F11" s="2285"/>
      <c r="G11" s="2285"/>
      <c r="H11" s="2073"/>
      <c r="I11" s="1401"/>
      <c r="J11" s="1402"/>
      <c r="K11" s="1403"/>
      <c r="L11" s="1404"/>
      <c r="M11" s="1405"/>
      <c r="N11" s="2308"/>
      <c r="O11" s="1406"/>
      <c r="P11" s="1407"/>
      <c r="Q11" s="320"/>
      <c r="R11" s="329"/>
      <c r="S11" s="321"/>
      <c r="T11" s="321"/>
    </row>
    <row r="12" spans="1:21" ht="12.75">
      <c r="A12" s="2146">
        <v>510</v>
      </c>
      <c r="B12" s="1408" t="s">
        <v>545</v>
      </c>
      <c r="C12" s="387">
        <f>Drift!P73</f>
        <v>120827.98504183117</v>
      </c>
      <c r="D12" s="387">
        <f>Drift!F73</f>
        <v>18497</v>
      </c>
      <c r="E12" s="387">
        <f>Drift!R73</f>
        <v>4246</v>
      </c>
      <c r="F12" s="387">
        <f>Drift!S73</f>
        <v>4068</v>
      </c>
      <c r="G12" s="387">
        <f>Drift!T73</f>
        <v>5723</v>
      </c>
      <c r="H12" s="387">
        <f>Motpart!Y27+Motpart!Z27</f>
        <v>330</v>
      </c>
      <c r="I12" s="387">
        <f>Drift!V73</f>
        <v>11261</v>
      </c>
      <c r="J12" s="1423">
        <f aca="true" t="shared" si="0" ref="J12:J18">C12-H12-I12</f>
        <v>109236.98504183117</v>
      </c>
      <c r="K12" s="1424">
        <f>IF(C12&gt;0,J12*1000/O12,"")</f>
        <v>57105.91182833416</v>
      </c>
      <c r="L12" s="1425">
        <v>49813</v>
      </c>
      <c r="M12" s="1425"/>
      <c r="N12" s="1582"/>
      <c r="O12" s="1426">
        <v>1912.884</v>
      </c>
      <c r="P12" s="1427" t="s">
        <v>571</v>
      </c>
      <c r="Q12" s="320"/>
      <c r="R12" s="2302"/>
      <c r="S12" s="2161"/>
      <c r="T12" s="2161"/>
      <c r="U12" s="321"/>
    </row>
    <row r="13" spans="1:21" ht="12.75">
      <c r="A13" s="2143">
        <v>5101</v>
      </c>
      <c r="B13" s="2140" t="s">
        <v>485</v>
      </c>
      <c r="C13" s="154">
        <f>40350+11</f>
        <v>40361</v>
      </c>
      <c r="D13" s="154">
        <v>5704</v>
      </c>
      <c r="E13" s="154">
        <v>1955</v>
      </c>
      <c r="F13" s="154">
        <v>55</v>
      </c>
      <c r="G13" s="154">
        <v>1322</v>
      </c>
      <c r="H13" s="154">
        <f>125+1</f>
        <v>126</v>
      </c>
      <c r="I13" s="154">
        <v>4642</v>
      </c>
      <c r="J13" s="1428">
        <f t="shared" si="0"/>
        <v>35593</v>
      </c>
      <c r="K13" s="1429">
        <f>IF(C13&gt;0,J13*1000/O12,"")</f>
        <v>18606.98296394345</v>
      </c>
      <c r="L13" s="1429">
        <v>12401</v>
      </c>
      <c r="M13" s="1430">
        <f>IF(ISERROR((K13-L13)/L13),"",((K13-L13)/L13))</f>
        <v>0.5004421388552093</v>
      </c>
      <c r="N13" s="1431"/>
      <c r="O13" s="1432"/>
      <c r="P13" s="1433"/>
      <c r="Q13" s="320"/>
      <c r="R13" s="2161"/>
      <c r="S13" s="2161"/>
      <c r="T13" s="2161"/>
      <c r="U13" s="321"/>
    </row>
    <row r="14" spans="1:21" ht="12.75">
      <c r="A14" s="2144">
        <v>5103</v>
      </c>
      <c r="B14" s="2140" t="s">
        <v>859</v>
      </c>
      <c r="C14" s="327">
        <f>7076+2</f>
        <v>7078</v>
      </c>
      <c r="D14" s="154">
        <v>938</v>
      </c>
      <c r="E14" s="154">
        <v>181</v>
      </c>
      <c r="F14" s="154">
        <v>48</v>
      </c>
      <c r="G14" s="154">
        <v>262</v>
      </c>
      <c r="H14" s="154">
        <v>29</v>
      </c>
      <c r="I14" s="154">
        <v>643</v>
      </c>
      <c r="J14" s="1428">
        <f t="shared" si="0"/>
        <v>6406</v>
      </c>
      <c r="K14" s="1429">
        <f>IF(C14&gt;0,J14*1000/O12,"")</f>
        <v>3348.870083078744</v>
      </c>
      <c r="L14" s="1434">
        <v>2938</v>
      </c>
      <c r="M14" s="1430">
        <f>IF(ISERROR((K14-L14)/L14),"",((K14-L14)/L14))</f>
        <v>0.13984686285866027</v>
      </c>
      <c r="N14" s="1431"/>
      <c r="O14" s="1432"/>
      <c r="P14" s="1433"/>
      <c r="Q14" s="320"/>
      <c r="R14" s="2161"/>
      <c r="S14" s="2161"/>
      <c r="T14" s="2161"/>
      <c r="U14" s="321"/>
    </row>
    <row r="15" spans="1:21" ht="12.75">
      <c r="A15" s="2144">
        <v>5104</v>
      </c>
      <c r="B15" s="2140" t="s">
        <v>486</v>
      </c>
      <c r="C15" s="327">
        <v>1277</v>
      </c>
      <c r="D15" s="154">
        <v>100</v>
      </c>
      <c r="E15" s="154">
        <v>45</v>
      </c>
      <c r="F15" s="154">
        <v>3</v>
      </c>
      <c r="G15" s="154">
        <v>56</v>
      </c>
      <c r="H15" s="154">
        <v>1</v>
      </c>
      <c r="I15" s="327">
        <v>121</v>
      </c>
      <c r="J15" s="1428">
        <f t="shared" si="0"/>
        <v>1155</v>
      </c>
      <c r="K15" s="1429">
        <f>IF(C15&gt;0,J15*1000/O12,"")</f>
        <v>603.8003349915625</v>
      </c>
      <c r="L15" s="1434"/>
      <c r="M15" s="1430">
        <f>IF(ISERROR((K15-L15)/L15),"",((K15-L15)/L15))</f>
      </c>
      <c r="N15" s="1431"/>
      <c r="O15" s="1432"/>
      <c r="P15" s="1433"/>
      <c r="Q15" s="320"/>
      <c r="R15" s="2161"/>
      <c r="S15" s="2161"/>
      <c r="T15" s="2161"/>
      <c r="U15" s="321"/>
    </row>
    <row r="16" spans="1:21" ht="12.75">
      <c r="A16" s="2144">
        <v>5105</v>
      </c>
      <c r="B16" s="2140" t="s">
        <v>535</v>
      </c>
      <c r="C16" s="327">
        <f>68490+19</f>
        <v>68509</v>
      </c>
      <c r="D16" s="328">
        <f>11614-1</f>
        <v>11613</v>
      </c>
      <c r="E16" s="328">
        <v>2019</v>
      </c>
      <c r="F16" s="328">
        <f>3865+1</f>
        <v>3866</v>
      </c>
      <c r="G16" s="328">
        <v>3778</v>
      </c>
      <c r="H16" s="328">
        <v>122</v>
      </c>
      <c r="I16" s="328">
        <f>5613+1</f>
        <v>5614</v>
      </c>
      <c r="J16" s="1428">
        <f t="shared" si="0"/>
        <v>62773</v>
      </c>
      <c r="K16" s="1429">
        <f>IF(C16&gt;0,J16*1000/O12,"")</f>
        <v>32815.89474322541</v>
      </c>
      <c r="L16" s="1435">
        <v>30490</v>
      </c>
      <c r="M16" s="1430">
        <f>IF(ISERROR((K16-L16)/L16),"",((K16-L16)/L16))</f>
        <v>0.07628385514022347</v>
      </c>
      <c r="N16" s="1431"/>
      <c r="O16" s="1432"/>
      <c r="P16" s="1433"/>
      <c r="Q16" s="320"/>
      <c r="R16" s="321"/>
      <c r="S16" s="321"/>
      <c r="T16" s="321"/>
      <c r="U16" s="321"/>
    </row>
    <row r="17" spans="1:21" ht="12.75">
      <c r="A17" s="2144">
        <v>5106</v>
      </c>
      <c r="B17" s="2141" t="s">
        <v>112</v>
      </c>
      <c r="C17" s="327">
        <v>1758</v>
      </c>
      <c r="D17" s="154">
        <v>46</v>
      </c>
      <c r="E17" s="154">
        <v>34</v>
      </c>
      <c r="F17" s="154">
        <v>26</v>
      </c>
      <c r="G17" s="154">
        <v>227</v>
      </c>
      <c r="H17" s="154">
        <v>36</v>
      </c>
      <c r="I17" s="154">
        <v>154</v>
      </c>
      <c r="J17" s="1428">
        <f t="shared" si="0"/>
        <v>1568</v>
      </c>
      <c r="K17" s="1429">
        <f>IF(C17&gt;0,J17*1000/O12,"")</f>
        <v>819.7046972006666</v>
      </c>
      <c r="L17" s="1429">
        <v>811</v>
      </c>
      <c r="M17" s="1430">
        <f>IF(ISERROR((K17-L17)/L17),"",((K17-L17)/L17))</f>
        <v>0.010733288780106784</v>
      </c>
      <c r="N17" s="1431"/>
      <c r="O17" s="1432"/>
      <c r="P17" s="1433"/>
      <c r="Q17" s="320"/>
      <c r="R17" s="321"/>
      <c r="S17" s="321"/>
      <c r="T17" s="321"/>
      <c r="U17" s="321"/>
    </row>
    <row r="18" spans="1:21" ht="12.75">
      <c r="A18" s="2144">
        <v>5109</v>
      </c>
      <c r="B18" s="2140" t="s">
        <v>405</v>
      </c>
      <c r="C18" s="327">
        <v>1845</v>
      </c>
      <c r="D18" s="154">
        <v>96</v>
      </c>
      <c r="E18" s="154">
        <v>12</v>
      </c>
      <c r="F18" s="154">
        <v>70</v>
      </c>
      <c r="G18" s="154">
        <v>78</v>
      </c>
      <c r="H18" s="154">
        <v>16</v>
      </c>
      <c r="I18" s="154">
        <v>87</v>
      </c>
      <c r="J18" s="1428">
        <f t="shared" si="0"/>
        <v>1742</v>
      </c>
      <c r="K18" s="1436"/>
      <c r="L18" s="1436"/>
      <c r="M18" s="1436"/>
      <c r="N18" s="1437"/>
      <c r="O18" s="1438"/>
      <c r="P18" s="1433"/>
      <c r="Q18" s="320"/>
      <c r="R18" s="321"/>
      <c r="S18" s="321"/>
      <c r="T18" s="321"/>
      <c r="U18" s="321"/>
    </row>
    <row r="19" spans="1:21" ht="12.75">
      <c r="A19" s="2145">
        <v>51099</v>
      </c>
      <c r="B19" s="2142" t="s">
        <v>177</v>
      </c>
      <c r="C19" s="368">
        <f>SUM(C13:C18)</f>
        <v>120828</v>
      </c>
      <c r="D19" s="368">
        <f aca="true" t="shared" si="1" ref="D19:I19">SUM(D13:D18)</f>
        <v>18497</v>
      </c>
      <c r="E19" s="368">
        <f t="shared" si="1"/>
        <v>4246</v>
      </c>
      <c r="F19" s="368">
        <f t="shared" si="1"/>
        <v>4068</v>
      </c>
      <c r="G19" s="368">
        <f>SUM(G13:G18)</f>
        <v>5723</v>
      </c>
      <c r="H19" s="368">
        <f t="shared" si="1"/>
        <v>330</v>
      </c>
      <c r="I19" s="368">
        <f t="shared" si="1"/>
        <v>11261</v>
      </c>
      <c r="J19" s="1439"/>
      <c r="K19" s="1440"/>
      <c r="L19" s="1440"/>
      <c r="M19" s="1440"/>
      <c r="N19" s="1583"/>
      <c r="O19" s="1438"/>
      <c r="P19" s="1433"/>
      <c r="Q19" s="322"/>
      <c r="R19" s="321"/>
      <c r="S19" s="321"/>
      <c r="T19" s="321"/>
      <c r="U19" s="321"/>
    </row>
    <row r="20" spans="1:21" ht="13.5" thickBot="1">
      <c r="A20" s="1412"/>
      <c r="B20" s="1413"/>
      <c r="C20" s="1442"/>
      <c r="D20" s="1442"/>
      <c r="E20" s="1442"/>
      <c r="F20" s="1442"/>
      <c r="G20" s="1442"/>
      <c r="H20" s="1442"/>
      <c r="I20" s="1442"/>
      <c r="J20" s="1441"/>
      <c r="K20" s="1442"/>
      <c r="L20" s="1442"/>
      <c r="M20" s="1442"/>
      <c r="N20" s="1443"/>
      <c r="O20" s="1444"/>
      <c r="P20" s="1445"/>
      <c r="Q20" s="322"/>
      <c r="R20" s="321"/>
      <c r="S20" s="321"/>
      <c r="T20" s="321"/>
      <c r="U20" s="321"/>
    </row>
    <row r="21" spans="1:21" ht="22.5" customHeight="1">
      <c r="A21" s="2147">
        <v>520</v>
      </c>
      <c r="B21" s="1414" t="s">
        <v>121</v>
      </c>
      <c r="C21" s="388">
        <f>Drift!P74</f>
        <v>13292.460436642226</v>
      </c>
      <c r="D21" s="388">
        <f>Drift!F74</f>
        <v>2890</v>
      </c>
      <c r="E21" s="388">
        <f>Drift!R74</f>
        <v>227</v>
      </c>
      <c r="F21" s="388">
        <f>Drift!S74</f>
        <v>297</v>
      </c>
      <c r="G21" s="388">
        <f>Drift!T74</f>
        <v>669</v>
      </c>
      <c r="H21" s="388">
        <f>Motpart!Y28+Motpart!Z28</f>
        <v>46</v>
      </c>
      <c r="I21" s="388">
        <f>Drift!V74</f>
        <v>1111</v>
      </c>
      <c r="J21" s="1446">
        <f>C21-H21-I21</f>
        <v>12135.460436642226</v>
      </c>
      <c r="K21" s="1447">
        <f>IF(C21&gt;0,J21*1000/O21,"")</f>
        <v>1548.9827502893593</v>
      </c>
      <c r="L21" s="1447">
        <v>1137</v>
      </c>
      <c r="M21" s="1448"/>
      <c r="N21" s="1584"/>
      <c r="O21" s="1449">
        <v>7834.471</v>
      </c>
      <c r="P21" s="1450" t="s">
        <v>572</v>
      </c>
      <c r="Q21" s="320"/>
      <c r="R21" s="329"/>
      <c r="S21" s="321"/>
      <c r="T21" s="321"/>
      <c r="U21" s="321"/>
    </row>
    <row r="22" spans="1:21" ht="12.75">
      <c r="A22" s="2143">
        <v>5201</v>
      </c>
      <c r="B22" s="1409" t="s">
        <v>487</v>
      </c>
      <c r="C22" s="154">
        <f>3872+1</f>
        <v>3873</v>
      </c>
      <c r="D22" s="154">
        <v>653</v>
      </c>
      <c r="E22" s="154">
        <f>112-1</f>
        <v>111</v>
      </c>
      <c r="F22" s="154">
        <v>7</v>
      </c>
      <c r="G22" s="154">
        <v>157</v>
      </c>
      <c r="H22" s="154">
        <v>7</v>
      </c>
      <c r="I22" s="154">
        <v>426</v>
      </c>
      <c r="J22" s="1451">
        <f aca="true" t="shared" si="2" ref="J22:J27">C22-H22-I22</f>
        <v>3440</v>
      </c>
      <c r="K22" s="1434">
        <f>IF(C22&gt;0,J22*1000/O21,"")</f>
        <v>439.08516605652125</v>
      </c>
      <c r="L22" s="1434">
        <v>375</v>
      </c>
      <c r="M22" s="1430">
        <f>IF(ISERROR((K22-L22)/L22),"",((K22-L22)/L22))</f>
        <v>0.17089377615072332</v>
      </c>
      <c r="N22" s="1452"/>
      <c r="O22" s="1432"/>
      <c r="P22" s="1453"/>
      <c r="Q22" s="320"/>
      <c r="R22" s="2303"/>
      <c r="S22" s="2303"/>
      <c r="T22" s="2303"/>
      <c r="U22" s="321"/>
    </row>
    <row r="23" spans="1:21" ht="12.75">
      <c r="A23" s="2144">
        <v>5202</v>
      </c>
      <c r="B23" s="1409" t="s">
        <v>488</v>
      </c>
      <c r="C23" s="327">
        <f>2093+1</f>
        <v>2094</v>
      </c>
      <c r="D23" s="154">
        <v>178</v>
      </c>
      <c r="E23" s="154">
        <v>13</v>
      </c>
      <c r="F23" s="154">
        <v>29</v>
      </c>
      <c r="G23" s="154">
        <v>45</v>
      </c>
      <c r="H23" s="154">
        <v>2</v>
      </c>
      <c r="I23" s="154">
        <v>171</v>
      </c>
      <c r="J23" s="1451">
        <f t="shared" si="2"/>
        <v>1921</v>
      </c>
      <c r="K23" s="1434">
        <f>IF(C23&gt;0,J23*1000/O21,"")</f>
        <v>245.1984313937725</v>
      </c>
      <c r="L23" s="1434"/>
      <c r="M23" s="1430">
        <f>IF(ISERROR((K23-L23)/L23),"",((K23-L23)/L23))</f>
      </c>
      <c r="N23" s="1452"/>
      <c r="O23" s="1432"/>
      <c r="P23" s="1453"/>
      <c r="Q23" s="320"/>
      <c r="R23" s="2303"/>
      <c r="S23" s="2303"/>
      <c r="T23" s="2303"/>
      <c r="U23" s="321"/>
    </row>
    <row r="24" spans="1:21" ht="12.75">
      <c r="A24" s="2144">
        <v>5203</v>
      </c>
      <c r="B24" s="1409" t="s">
        <v>859</v>
      </c>
      <c r="C24" s="327">
        <v>652</v>
      </c>
      <c r="D24" s="154">
        <v>272</v>
      </c>
      <c r="E24" s="154">
        <v>10</v>
      </c>
      <c r="F24" s="154">
        <v>2</v>
      </c>
      <c r="G24" s="154">
        <v>35</v>
      </c>
      <c r="H24" s="154">
        <v>7</v>
      </c>
      <c r="I24" s="327">
        <v>47</v>
      </c>
      <c r="J24" s="1451">
        <f t="shared" si="2"/>
        <v>598</v>
      </c>
      <c r="K24" s="1434">
        <f>IF(C24&gt;0,J24*1000/O21,"")</f>
        <v>76.32933991331387</v>
      </c>
      <c r="L24" s="1434">
        <v>65</v>
      </c>
      <c r="M24" s="1430">
        <f>IF(ISERROR((K24-L24)/L24),"",((K24-L24)/L24))</f>
        <v>0.17429753712790574</v>
      </c>
      <c r="N24" s="1452"/>
      <c r="O24" s="1432"/>
      <c r="P24" s="1453"/>
      <c r="Q24" s="320"/>
      <c r="R24" s="2303"/>
      <c r="S24" s="2303"/>
      <c r="T24" s="2303"/>
      <c r="U24" s="321"/>
    </row>
    <row r="25" spans="1:21" ht="12.75">
      <c r="A25" s="2144">
        <v>5205</v>
      </c>
      <c r="B25" s="1409" t="s">
        <v>535</v>
      </c>
      <c r="C25" s="327">
        <f>4589+2</f>
        <v>4591</v>
      </c>
      <c r="D25" s="328">
        <f>1608+1</f>
        <v>1609</v>
      </c>
      <c r="E25" s="328">
        <v>78</v>
      </c>
      <c r="F25" s="328">
        <f>249+1</f>
        <v>250</v>
      </c>
      <c r="G25" s="328">
        <v>236</v>
      </c>
      <c r="H25" s="328">
        <v>10</v>
      </c>
      <c r="I25" s="328">
        <v>281</v>
      </c>
      <c r="J25" s="1451">
        <f t="shared" si="2"/>
        <v>4300</v>
      </c>
      <c r="K25" s="1434">
        <f>IF(C25&gt;0,J25*1000/O21,"")</f>
        <v>548.8564575706516</v>
      </c>
      <c r="L25" s="1434">
        <v>444</v>
      </c>
      <c r="M25" s="1430">
        <f>IF(ISERROR((K25-L25)/L25),"",((K25-L25)/L25))</f>
        <v>0.23616319272669287</v>
      </c>
      <c r="N25" s="1452"/>
      <c r="O25" s="1432"/>
      <c r="P25" s="1453"/>
      <c r="Q25" s="320"/>
      <c r="R25" s="2303"/>
      <c r="S25" s="2303"/>
      <c r="T25" s="2303"/>
      <c r="U25" s="321"/>
    </row>
    <row r="26" spans="1:21" ht="12.75">
      <c r="A26" s="2144">
        <v>5206</v>
      </c>
      <c r="B26" s="1409" t="s">
        <v>112</v>
      </c>
      <c r="C26" s="327">
        <v>782</v>
      </c>
      <c r="D26" s="154">
        <v>44</v>
      </c>
      <c r="E26" s="154">
        <v>9</v>
      </c>
      <c r="F26" s="154">
        <v>5</v>
      </c>
      <c r="G26" s="154">
        <v>81</v>
      </c>
      <c r="H26" s="154">
        <v>6</v>
      </c>
      <c r="I26" s="154">
        <v>56</v>
      </c>
      <c r="J26" s="1454">
        <f t="shared" si="2"/>
        <v>720</v>
      </c>
      <c r="K26" s="1429">
        <f>IF(C26&gt;0,J26*1000/O21,"")</f>
        <v>91.90154638392306</v>
      </c>
      <c r="L26" s="1429">
        <v>92</v>
      </c>
      <c r="M26" s="1430">
        <f>IF(ISERROR((K26-L26)/L26),"",((K26-L26)/L26))</f>
        <v>-0.001070148000836283</v>
      </c>
      <c r="N26" s="1437"/>
      <c r="O26" s="1432"/>
      <c r="P26" s="1453"/>
      <c r="Q26" s="320"/>
      <c r="R26" s="321"/>
      <c r="S26" s="321"/>
      <c r="T26" s="321"/>
      <c r="U26" s="321"/>
    </row>
    <row r="27" spans="1:21" ht="12.75">
      <c r="A27" s="2144">
        <v>5209</v>
      </c>
      <c r="B27" s="1409" t="s">
        <v>405</v>
      </c>
      <c r="C27" s="327">
        <f>1299+1</f>
        <v>1300</v>
      </c>
      <c r="D27" s="154">
        <v>134</v>
      </c>
      <c r="E27" s="154">
        <v>6</v>
      </c>
      <c r="F27" s="154">
        <v>4</v>
      </c>
      <c r="G27" s="154">
        <v>115</v>
      </c>
      <c r="H27" s="154">
        <f>13+1</f>
        <v>14</v>
      </c>
      <c r="I27" s="154">
        <v>130</v>
      </c>
      <c r="J27" s="1451">
        <f t="shared" si="2"/>
        <v>1156</v>
      </c>
      <c r="K27" s="1439"/>
      <c r="L27" s="1436"/>
      <c r="M27" s="1436"/>
      <c r="N27" s="1437"/>
      <c r="O27" s="1438"/>
      <c r="P27" s="1433"/>
      <c r="Q27" s="320"/>
      <c r="R27" s="321"/>
      <c r="S27" s="321"/>
      <c r="T27" s="321"/>
      <c r="U27" s="321"/>
    </row>
    <row r="28" spans="1:21" ht="21.75" customHeight="1">
      <c r="A28" s="2145">
        <v>52099</v>
      </c>
      <c r="B28" s="1415" t="s">
        <v>681</v>
      </c>
      <c r="C28" s="155">
        <f>SUM(C22:C27)</f>
        <v>13292</v>
      </c>
      <c r="D28" s="155">
        <f aca="true" t="shared" si="3" ref="D28:I28">SUM(D22:D27)</f>
        <v>2890</v>
      </c>
      <c r="E28" s="155">
        <f t="shared" si="3"/>
        <v>227</v>
      </c>
      <c r="F28" s="155">
        <f t="shared" si="3"/>
        <v>297</v>
      </c>
      <c r="G28" s="155">
        <f t="shared" si="3"/>
        <v>669</v>
      </c>
      <c r="H28" s="155">
        <f t="shared" si="3"/>
        <v>46</v>
      </c>
      <c r="I28" s="155">
        <f t="shared" si="3"/>
        <v>1111</v>
      </c>
      <c r="J28" s="1439"/>
      <c r="K28" s="1440"/>
      <c r="L28" s="1440"/>
      <c r="M28" s="1440"/>
      <c r="N28" s="1583"/>
      <c r="O28" s="1438"/>
      <c r="P28" s="1433"/>
      <c r="Q28" s="320"/>
      <c r="R28" s="321"/>
      <c r="S28" s="321"/>
      <c r="T28" s="321"/>
      <c r="U28" s="321"/>
    </row>
    <row r="29" spans="1:21" ht="13.5" thickBot="1">
      <c r="A29" s="1416"/>
      <c r="B29" s="1417"/>
      <c r="C29" s="1442"/>
      <c r="D29" s="1442"/>
      <c r="E29" s="1442"/>
      <c r="F29" s="1442"/>
      <c r="G29" s="1442"/>
      <c r="H29" s="1442"/>
      <c r="I29" s="1442"/>
      <c r="J29" s="1442"/>
      <c r="K29" s="1442"/>
      <c r="L29" s="1442"/>
      <c r="M29" s="1442"/>
      <c r="N29" s="1443"/>
      <c r="O29" s="1444"/>
      <c r="P29" s="1445"/>
      <c r="Q29" s="320"/>
      <c r="R29" s="321"/>
      <c r="S29" s="321"/>
      <c r="T29" s="321"/>
      <c r="U29" s="321"/>
    </row>
    <row r="30" spans="1:21" ht="12.75">
      <c r="A30" s="1418">
        <v>513</v>
      </c>
      <c r="B30" s="1419" t="s">
        <v>682</v>
      </c>
      <c r="C30" s="387">
        <f>Drift!P75</f>
        <v>56525.29924562888</v>
      </c>
      <c r="D30" s="387">
        <f>Drift!F75</f>
        <v>9278</v>
      </c>
      <c r="E30" s="387">
        <f>Drift!R75</f>
        <v>159</v>
      </c>
      <c r="F30" s="387">
        <f>Drift!S75</f>
        <v>1025</v>
      </c>
      <c r="G30" s="388">
        <f>Drift!T75</f>
        <v>9415</v>
      </c>
      <c r="H30" s="388">
        <f>Motpart!Y29+Motpart!Z29</f>
        <v>294</v>
      </c>
      <c r="I30" s="387">
        <f>Drift!V75</f>
        <v>3565</v>
      </c>
      <c r="J30" s="1455">
        <f>C30-H30-I30-G40-G42</f>
        <v>44927.29924562888</v>
      </c>
      <c r="K30" s="1456">
        <f>IF(C30&gt;0,J30*1000/O30,"")</f>
        <v>4609.178515159126</v>
      </c>
      <c r="L30" s="1456">
        <v>3695</v>
      </c>
      <c r="M30" s="1430">
        <f>IF(ISERROR((K30-L30)/L30),"",((K30-L30)/L30))</f>
        <v>0.24740961168041292</v>
      </c>
      <c r="N30" s="1584"/>
      <c r="O30" s="1457">
        <v>9747.355</v>
      </c>
      <c r="P30" s="1450" t="s">
        <v>576</v>
      </c>
      <c r="Q30" s="320"/>
      <c r="R30" s="329"/>
      <c r="S30" s="321"/>
      <c r="T30" s="321"/>
      <c r="U30" s="321"/>
    </row>
    <row r="31" spans="1:21" ht="12.75">
      <c r="A31" s="1420">
        <v>5131</v>
      </c>
      <c r="B31" s="1421" t="s">
        <v>223</v>
      </c>
      <c r="C31" s="154">
        <f>23980+32</f>
        <v>24012</v>
      </c>
      <c r="D31" s="154">
        <v>4409</v>
      </c>
      <c r="E31" s="154">
        <v>64</v>
      </c>
      <c r="F31" s="154">
        <v>997</v>
      </c>
      <c r="G31" s="154">
        <v>670</v>
      </c>
      <c r="H31" s="154">
        <v>58</v>
      </c>
      <c r="I31" s="154">
        <f>1479-1</f>
        <v>1478</v>
      </c>
      <c r="J31" s="1451">
        <f>C31-H31-I31</f>
        <v>22476</v>
      </c>
      <c r="K31" s="1434">
        <f>IF(C31&gt;0,J31*1000/O31,"")</f>
        <v>3144.281914335525</v>
      </c>
      <c r="L31" s="1434">
        <v>3024</v>
      </c>
      <c r="M31" s="1430">
        <f>IF(ISERROR((K31-L31)/L31),"",((K31-L31)/L31))</f>
        <v>0.039775765322594255</v>
      </c>
      <c r="N31" s="1452"/>
      <c r="O31" s="1458">
        <v>7148.214</v>
      </c>
      <c r="P31" s="1459" t="s">
        <v>645</v>
      </c>
      <c r="Q31" s="320"/>
      <c r="R31" s="2302"/>
      <c r="S31" s="2302"/>
      <c r="T31" s="2302"/>
      <c r="U31" s="321"/>
    </row>
    <row r="32" spans="1:21" ht="12.75">
      <c r="A32" s="1420">
        <v>5132</v>
      </c>
      <c r="B32" s="1422" t="s">
        <v>607</v>
      </c>
      <c r="C32" s="327">
        <f>1749+2</f>
        <v>1751</v>
      </c>
      <c r="D32" s="154">
        <v>930</v>
      </c>
      <c r="E32" s="154">
        <v>7</v>
      </c>
      <c r="F32" s="154">
        <v>10</v>
      </c>
      <c r="G32" s="154">
        <v>150</v>
      </c>
      <c r="H32" s="154">
        <v>65</v>
      </c>
      <c r="I32" s="154">
        <v>111</v>
      </c>
      <c r="J32" s="1451">
        <f>C32-H32-I32</f>
        <v>1575</v>
      </c>
      <c r="K32" s="1434">
        <f>IF(C32&gt;0,J32*1000/O32,"")</f>
        <v>605.9694337475343</v>
      </c>
      <c r="L32" s="1434">
        <v>633</v>
      </c>
      <c r="M32" s="1430">
        <f>IF(ISERROR((K32-L32)/L32),"",((K32-L32)/L32))</f>
        <v>-0.04270231635460624</v>
      </c>
      <c r="N32" s="1452"/>
      <c r="O32" s="1460">
        <v>2599.141</v>
      </c>
      <c r="P32" s="1461" t="s">
        <v>573</v>
      </c>
      <c r="Q32" s="320"/>
      <c r="R32" s="2302"/>
      <c r="S32" s="2302"/>
      <c r="T32" s="2302"/>
      <c r="U32" s="321"/>
    </row>
    <row r="33" spans="1:21" ht="12.75">
      <c r="A33" s="1420">
        <v>5133</v>
      </c>
      <c r="B33" s="1421" t="s">
        <v>683</v>
      </c>
      <c r="C33" s="327">
        <f>17449+23</f>
        <v>17472</v>
      </c>
      <c r="D33" s="154">
        <v>1916</v>
      </c>
      <c r="E33" s="154">
        <v>14</v>
      </c>
      <c r="F33" s="154">
        <v>7</v>
      </c>
      <c r="G33" s="154">
        <v>7955</v>
      </c>
      <c r="H33" s="154">
        <v>20</v>
      </c>
      <c r="I33" s="327">
        <v>455</v>
      </c>
      <c r="J33" s="1451">
        <f>C33-H33-I33</f>
        <v>16997</v>
      </c>
      <c r="K33" s="1434">
        <f>IF(C33&gt;0,J33*1000/O33,"")</f>
        <v>1743.7551007427144</v>
      </c>
      <c r="L33" s="1434">
        <v>1677</v>
      </c>
      <c r="M33" s="1430">
        <f>IF(ISERROR((K33-L33)/L33),"",((K33-L33)/L33))</f>
        <v>0.03980626162356254</v>
      </c>
      <c r="N33" s="1452"/>
      <c r="O33" s="1460">
        <v>9747.355</v>
      </c>
      <c r="P33" s="1461" t="s">
        <v>576</v>
      </c>
      <c r="Q33" s="320"/>
      <c r="R33" s="2302"/>
      <c r="S33" s="2302"/>
      <c r="T33" s="2302"/>
      <c r="U33" s="321"/>
    </row>
    <row r="34" spans="1:21" ht="12.75">
      <c r="A34" s="1420">
        <v>5135</v>
      </c>
      <c r="B34" s="1409" t="s">
        <v>178</v>
      </c>
      <c r="C34" s="327">
        <f>7980+11</f>
        <v>7991</v>
      </c>
      <c r="D34" s="328">
        <v>1325</v>
      </c>
      <c r="E34" s="328">
        <v>41</v>
      </c>
      <c r="F34" s="328">
        <v>3</v>
      </c>
      <c r="G34" s="328">
        <v>410</v>
      </c>
      <c r="H34" s="328">
        <v>40</v>
      </c>
      <c r="I34" s="328">
        <v>900</v>
      </c>
      <c r="J34" s="1451">
        <f>C34-H34-I34</f>
        <v>7051</v>
      </c>
      <c r="K34" s="1434">
        <f>IF(C34&gt;0,J34*1000/O34,"")</f>
        <v>1346.8109937673462</v>
      </c>
      <c r="L34" s="1434">
        <v>1065</v>
      </c>
      <c r="M34" s="1430">
        <f>IF(ISERROR((K34-L34)/L34),"",((K34-L34)/L34))</f>
        <v>0.2646112617533767</v>
      </c>
      <c r="N34" s="1452"/>
      <c r="O34" s="1460">
        <v>5235.33</v>
      </c>
      <c r="P34" s="1461" t="s">
        <v>679</v>
      </c>
      <c r="Q34" s="320"/>
      <c r="R34" s="2302"/>
      <c r="S34" s="2302"/>
      <c r="T34" s="2302"/>
      <c r="U34" s="321"/>
    </row>
    <row r="35" spans="1:21" ht="12.75">
      <c r="A35" s="1420">
        <v>5139</v>
      </c>
      <c r="B35" s="1409" t="s">
        <v>179</v>
      </c>
      <c r="C35" s="327">
        <f>5292+7</f>
        <v>5299</v>
      </c>
      <c r="D35" s="154">
        <v>698</v>
      </c>
      <c r="E35" s="154">
        <v>33</v>
      </c>
      <c r="F35" s="154">
        <v>8</v>
      </c>
      <c r="G35" s="154">
        <v>230</v>
      </c>
      <c r="H35" s="154">
        <f>110+1</f>
        <v>111</v>
      </c>
      <c r="I35" s="154">
        <v>621</v>
      </c>
      <c r="J35" s="1451">
        <f>C35-H35-I35</f>
        <v>4567</v>
      </c>
      <c r="K35" s="1439"/>
      <c r="L35" s="1436"/>
      <c r="M35" s="1436"/>
      <c r="N35" s="1437"/>
      <c r="O35" s="1438"/>
      <c r="P35" s="1462"/>
      <c r="Q35" s="320"/>
      <c r="R35" s="321"/>
      <c r="S35" s="321"/>
      <c r="T35" s="321"/>
      <c r="U35" s="321"/>
    </row>
    <row r="36" spans="1:21" ht="12.75">
      <c r="A36" s="1410">
        <v>51399</v>
      </c>
      <c r="B36" s="1411" t="s">
        <v>684</v>
      </c>
      <c r="C36" s="368">
        <f aca="true" t="shared" si="4" ref="C36:I36">SUM(C31:C35)</f>
        <v>56525</v>
      </c>
      <c r="D36" s="368">
        <f t="shared" si="4"/>
        <v>9278</v>
      </c>
      <c r="E36" s="368">
        <f t="shared" si="4"/>
        <v>159</v>
      </c>
      <c r="F36" s="368">
        <f t="shared" si="4"/>
        <v>1025</v>
      </c>
      <c r="G36" s="368">
        <f t="shared" si="4"/>
        <v>9415</v>
      </c>
      <c r="H36" s="368">
        <f t="shared" si="4"/>
        <v>294</v>
      </c>
      <c r="I36" s="369">
        <f t="shared" si="4"/>
        <v>3565</v>
      </c>
      <c r="J36" s="1439"/>
      <c r="K36" s="1440"/>
      <c r="L36" s="1440"/>
      <c r="M36" s="1440"/>
      <c r="N36" s="1583"/>
      <c r="O36" s="1438"/>
      <c r="P36" s="1463"/>
      <c r="Q36" s="322"/>
      <c r="R36" s="321"/>
      <c r="S36" s="321"/>
      <c r="T36" s="321"/>
      <c r="U36" s="321"/>
    </row>
    <row r="37" spans="1:21" ht="13.5" thickBot="1">
      <c r="A37" s="1412"/>
      <c r="B37" s="1417"/>
      <c r="C37" s="1442"/>
      <c r="D37" s="1442"/>
      <c r="E37" s="1442"/>
      <c r="F37" s="1442"/>
      <c r="G37" s="1442"/>
      <c r="H37" s="1442"/>
      <c r="I37" s="1442"/>
      <c r="J37" s="1442"/>
      <c r="K37" s="1442"/>
      <c r="L37" s="1442"/>
      <c r="M37" s="1442"/>
      <c r="N37" s="1443"/>
      <c r="O37" s="1444"/>
      <c r="P37" s="1464"/>
      <c r="Q37" s="322"/>
      <c r="R37" s="321"/>
      <c r="S37" s="321"/>
      <c r="T37" s="321"/>
      <c r="U37" s="321"/>
    </row>
    <row r="38" spans="1:21" ht="12.75">
      <c r="A38" s="323"/>
      <c r="B38" s="346" t="s">
        <v>687</v>
      </c>
      <c r="C38" s="346"/>
      <c r="D38" s="346"/>
      <c r="E38" s="346"/>
      <c r="F38" s="346"/>
      <c r="G38" s="346"/>
      <c r="H38" s="346"/>
      <c r="I38" s="346"/>
      <c r="J38" s="346"/>
      <c r="K38" s="323"/>
      <c r="L38" s="323"/>
      <c r="M38" s="323"/>
      <c r="N38" s="323"/>
      <c r="O38" s="323"/>
      <c r="P38" s="323"/>
      <c r="Q38" s="322"/>
      <c r="R38" s="321"/>
      <c r="S38" s="321"/>
      <c r="T38" s="321"/>
      <c r="U38" s="321"/>
    </row>
    <row r="39" spans="2:14" ht="12.75">
      <c r="B39" s="346" t="s">
        <v>685</v>
      </c>
      <c r="C39" s="347"/>
      <c r="D39" s="347"/>
      <c r="E39" s="347"/>
      <c r="F39" s="347"/>
      <c r="G39" s="348"/>
      <c r="H39" s="348"/>
      <c r="I39" s="348"/>
      <c r="J39" s="348"/>
      <c r="K39" s="323"/>
      <c r="L39" s="323"/>
      <c r="M39" s="323"/>
      <c r="N39" s="323"/>
    </row>
    <row r="40" spans="2:14" ht="12.75">
      <c r="B40" s="1465" t="s">
        <v>183</v>
      </c>
      <c r="C40" s="1466"/>
      <c r="D40" s="1466"/>
      <c r="E40" s="1467"/>
      <c r="F40" s="1468"/>
      <c r="G40" s="156">
        <f>'Verks int o kostn'!D20</f>
        <v>7725</v>
      </c>
      <c r="H40" s="364">
        <f>IF(C30=0,"",IF(G40=0,"Belopp saknas",IF(OR(G40&lt;100,G40&gt;G33),"Kontrollera belopp","")))</f>
      </c>
      <c r="I40" s="323"/>
      <c r="J40" s="323"/>
      <c r="K40" s="323"/>
      <c r="L40" s="323"/>
      <c r="M40" s="323"/>
      <c r="N40" s="323"/>
    </row>
    <row r="41" spans="2:14" ht="12.75">
      <c r="B41" s="1465" t="s">
        <v>184</v>
      </c>
      <c r="C41" s="1466"/>
      <c r="D41" s="1466"/>
      <c r="E41" s="1467"/>
      <c r="F41" s="1468"/>
      <c r="G41" s="156">
        <f>'Verks int o kostn'!I41</f>
        <v>4801</v>
      </c>
      <c r="H41" s="364">
        <f>IF(C30=0,"",IF(G41=0,"Belopp saknas",IF(OR(G41&lt;100,G41&gt;C33),"Kontrollera belopp","")))</f>
      </c>
      <c r="I41" s="323"/>
      <c r="J41" s="323"/>
      <c r="K41" s="323"/>
      <c r="L41" s="323"/>
      <c r="M41" s="323"/>
      <c r="N41" s="323"/>
    </row>
    <row r="42" spans="1:14" ht="12.75">
      <c r="A42" s="507">
        <v>51398</v>
      </c>
      <c r="B42" s="1469" t="s">
        <v>218</v>
      </c>
      <c r="C42" s="1466"/>
      <c r="D42" s="1466"/>
      <c r="E42" s="1467"/>
      <c r="F42" s="1468"/>
      <c r="G42" s="154">
        <v>14</v>
      </c>
      <c r="H42" s="365"/>
      <c r="I42" s="323"/>
      <c r="J42" s="323"/>
      <c r="K42" s="323"/>
      <c r="L42" s="323"/>
      <c r="M42" s="323"/>
      <c r="N42" s="323"/>
    </row>
    <row r="43" spans="5:13" ht="13.5" thickBot="1">
      <c r="E43" s="501" t="s">
        <v>820</v>
      </c>
      <c r="F43" s="501" t="s">
        <v>821</v>
      </c>
      <c r="G43" s="501" t="s">
        <v>822</v>
      </c>
      <c r="H43" s="501" t="s">
        <v>823</v>
      </c>
      <c r="I43" s="501" t="s">
        <v>824</v>
      </c>
      <c r="J43" s="501" t="s">
        <v>825</v>
      </c>
      <c r="K43" s="501" t="s">
        <v>826</v>
      </c>
      <c r="L43" s="501" t="s">
        <v>827</v>
      </c>
      <c r="M43" s="501" t="s">
        <v>828</v>
      </c>
    </row>
    <row r="44" spans="1:21" ht="14.25" customHeight="1">
      <c r="A44" s="2296" t="s">
        <v>959</v>
      </c>
      <c r="B44" s="2297"/>
      <c r="C44" s="1653" t="s">
        <v>919</v>
      </c>
      <c r="D44" s="1470" t="s">
        <v>139</v>
      </c>
      <c r="E44" s="2127" t="s">
        <v>225</v>
      </c>
      <c r="F44" s="2127" t="s">
        <v>549</v>
      </c>
      <c r="G44" s="2127" t="s">
        <v>226</v>
      </c>
      <c r="H44" s="2127" t="s">
        <v>136</v>
      </c>
      <c r="I44" s="1368" t="s">
        <v>503</v>
      </c>
      <c r="J44" s="2127" t="s">
        <v>138</v>
      </c>
      <c r="K44" s="2277" t="s">
        <v>979</v>
      </c>
      <c r="L44" s="2127" t="s">
        <v>137</v>
      </c>
      <c r="M44" s="2127" t="s">
        <v>169</v>
      </c>
      <c r="N44" s="1374"/>
      <c r="O44" s="1372"/>
      <c r="P44" s="1471"/>
      <c r="R44" s="329"/>
      <c r="S44" s="321"/>
      <c r="T44" s="321"/>
      <c r="U44" s="321"/>
    </row>
    <row r="45" spans="1:21" ht="0.75" customHeight="1">
      <c r="A45" s="2298"/>
      <c r="B45" s="2299"/>
      <c r="C45" s="1739" t="s">
        <v>944</v>
      </c>
      <c r="D45" s="1377"/>
      <c r="E45" s="2128" t="s">
        <v>140</v>
      </c>
      <c r="F45" s="2128" t="s">
        <v>224</v>
      </c>
      <c r="G45" s="2128" t="s">
        <v>141</v>
      </c>
      <c r="H45" s="2128"/>
      <c r="I45" s="2129"/>
      <c r="J45" s="2128" t="s">
        <v>143</v>
      </c>
      <c r="K45" s="2278"/>
      <c r="L45" s="2128" t="s">
        <v>142</v>
      </c>
      <c r="M45" s="2128"/>
      <c r="N45" s="1388"/>
      <c r="O45" s="1394"/>
      <c r="P45" s="1472"/>
      <c r="R45" s="2302"/>
      <c r="S45" s="2302"/>
      <c r="T45" s="2302"/>
      <c r="U45" s="321"/>
    </row>
    <row r="46" spans="1:21" ht="30" customHeight="1">
      <c r="A46" s="2298"/>
      <c r="B46" s="2299"/>
      <c r="C46" s="1740" t="s">
        <v>865</v>
      </c>
      <c r="D46" s="1654"/>
      <c r="E46" s="1866" t="s">
        <v>907</v>
      </c>
      <c r="F46" s="1867" t="s">
        <v>908</v>
      </c>
      <c r="G46" s="1867" t="s">
        <v>909</v>
      </c>
      <c r="H46" s="1867" t="s">
        <v>910</v>
      </c>
      <c r="I46" s="1867" t="s">
        <v>911</v>
      </c>
      <c r="J46" s="1867" t="s">
        <v>912</v>
      </c>
      <c r="K46" s="1867" t="s">
        <v>913</v>
      </c>
      <c r="L46" s="1867" t="s">
        <v>914</v>
      </c>
      <c r="M46" s="1867" t="s">
        <v>915</v>
      </c>
      <c r="N46" s="1388"/>
      <c r="O46" s="1394"/>
      <c r="P46" s="1472"/>
      <c r="R46" s="2302"/>
      <c r="S46" s="2302"/>
      <c r="T46" s="2302"/>
      <c r="U46" s="321"/>
    </row>
    <row r="47" spans="1:21" ht="20.25" customHeight="1">
      <c r="A47" s="2298"/>
      <c r="B47" s="2299"/>
      <c r="C47" s="1857"/>
      <c r="D47" s="1858"/>
      <c r="E47" s="1859"/>
      <c r="F47" s="1859"/>
      <c r="G47" s="1859"/>
      <c r="H47" s="1859"/>
      <c r="I47" s="1860"/>
      <c r="J47" s="1859"/>
      <c r="K47" s="1860"/>
      <c r="L47" s="1859"/>
      <c r="M47" s="1861"/>
      <c r="N47" s="1388"/>
      <c r="O47" s="1394"/>
      <c r="P47" s="1472"/>
      <c r="R47" s="2302"/>
      <c r="S47" s="2302"/>
      <c r="T47" s="2302"/>
      <c r="U47" s="321"/>
    </row>
    <row r="48" spans="1:21" ht="9" customHeight="1">
      <c r="A48" s="2300"/>
      <c r="B48" s="2301"/>
      <c r="C48" s="1862"/>
      <c r="D48" s="1863"/>
      <c r="E48" s="1864"/>
      <c r="F48" s="1864"/>
      <c r="G48" s="1864"/>
      <c r="H48" s="1864"/>
      <c r="I48" s="1865"/>
      <c r="J48" s="1864"/>
      <c r="K48" s="1865"/>
      <c r="L48" s="1864"/>
      <c r="M48" s="1864"/>
      <c r="N48" s="1388"/>
      <c r="O48" s="1473"/>
      <c r="P48" s="1472"/>
      <c r="R48" s="2302"/>
      <c r="S48" s="2302"/>
      <c r="T48" s="2302"/>
      <c r="U48" s="321"/>
    </row>
    <row r="49" spans="1:21" ht="12.75">
      <c r="A49" s="1474">
        <v>510</v>
      </c>
      <c r="B49" s="1475" t="s">
        <v>574</v>
      </c>
      <c r="C49" s="502">
        <f>D12</f>
        <v>18497</v>
      </c>
      <c r="D49" s="2130"/>
      <c r="E49" s="502">
        <f>Motpart!D27</f>
        <v>1473</v>
      </c>
      <c r="F49" s="502">
        <f>Motpart!E27</f>
        <v>577</v>
      </c>
      <c r="G49" s="502">
        <f>Motpart!F27</f>
        <v>15884</v>
      </c>
      <c r="H49" s="502">
        <f>Motpart!G27</f>
        <v>174</v>
      </c>
      <c r="I49" s="502">
        <f>Motpart!H27</f>
        <v>313</v>
      </c>
      <c r="J49" s="502">
        <f>Motpart!I27</f>
        <v>27</v>
      </c>
      <c r="K49" s="502">
        <f>Motpart!J27</f>
        <v>12</v>
      </c>
      <c r="L49" s="502">
        <f>Motpart!K27</f>
        <v>35</v>
      </c>
      <c r="M49" s="506">
        <f>Motpart!L27</f>
        <v>1</v>
      </c>
      <c r="N49" s="373" t="str">
        <f>IF(SUM(E50:E52)&gt;E49,"Kontrollera fördelning i kolumn Föreningar, stiftelser",IF(SUM(F50:F52)&gt;F49,"Kontrollera fördelningen i kolumn Kommunägda företag",IF(SUM(G50:G52)&gt;G49,"Kontrollera fördelningen i kolumn Privata företag",IF(SUM(H50:H52)&gt;H49,"Kontrollera fördelningen i kolumn Kommuner",IF(SUM(I50:I52)&gt;I49,"Kontrollera fördelningen i kolumn Landsting"," ")))))</f>
        <v> </v>
      </c>
      <c r="O49" s="374"/>
      <c r="P49" s="381"/>
      <c r="R49" s="321"/>
      <c r="S49" s="321"/>
      <c r="T49" s="321"/>
      <c r="U49" s="321"/>
    </row>
    <row r="50" spans="1:21" ht="12.75">
      <c r="A50" s="1420">
        <v>5101</v>
      </c>
      <c r="B50" s="1476" t="s">
        <v>485</v>
      </c>
      <c r="C50" s="503">
        <f>D13</f>
        <v>5704</v>
      </c>
      <c r="D50" s="2131"/>
      <c r="E50" s="154">
        <v>96</v>
      </c>
      <c r="F50" s="154">
        <v>60</v>
      </c>
      <c r="G50" s="154">
        <f>5408+1</f>
        <v>5409</v>
      </c>
      <c r="H50" s="154">
        <v>49</v>
      </c>
      <c r="I50" s="154">
        <v>52</v>
      </c>
      <c r="J50" s="154">
        <v>4</v>
      </c>
      <c r="K50" s="154">
        <v>7</v>
      </c>
      <c r="L50" s="154">
        <v>26</v>
      </c>
      <c r="M50" s="372">
        <v>1</v>
      </c>
      <c r="N50" s="375" t="str">
        <f>IF(SUM(J50:J52)&gt;J49,"Kontrollera fördelningen i kolumn Staten och staliga myndigheter",IF(SUM(K50:K52)&gt;K49,"Kontrollera fördelningen i kolumn Hushåll och individer",IF(SUM(L50:L52)&gt;L49,"Kontrollera fördelningen i kolumn Kommunalförbund",IF(SUM(M50:M52)&gt;M49,"Kontrollera fördelningen i kolumn Utlandet"," "))))</f>
        <v> </v>
      </c>
      <c r="O50" s="376"/>
      <c r="P50" s="382"/>
      <c r="R50" s="321"/>
      <c r="S50" s="321"/>
      <c r="T50" s="321"/>
      <c r="U50" s="321"/>
    </row>
    <row r="51" spans="1:21" ht="12.75">
      <c r="A51" s="1420">
        <v>5103</v>
      </c>
      <c r="B51" s="1477" t="s">
        <v>484</v>
      </c>
      <c r="C51" s="503">
        <f>D14</f>
        <v>938</v>
      </c>
      <c r="D51" s="2132"/>
      <c r="E51" s="154">
        <v>37</v>
      </c>
      <c r="F51" s="154">
        <v>59</v>
      </c>
      <c r="G51" s="154">
        <f>616+1</f>
        <v>617</v>
      </c>
      <c r="H51" s="154">
        <v>21</v>
      </c>
      <c r="I51" s="154">
        <v>201</v>
      </c>
      <c r="J51" s="154">
        <v>3</v>
      </c>
      <c r="K51" s="154">
        <v>0</v>
      </c>
      <c r="L51" s="154">
        <v>0</v>
      </c>
      <c r="M51" s="358">
        <v>0</v>
      </c>
      <c r="N51" s="377"/>
      <c r="O51" s="378"/>
      <c r="P51" s="382"/>
      <c r="R51" s="321"/>
      <c r="S51" s="321"/>
      <c r="T51" s="321"/>
      <c r="U51" s="321"/>
    </row>
    <row r="52" spans="1:16" ht="12.75">
      <c r="A52" s="1478">
        <v>5105</v>
      </c>
      <c r="B52" s="1400" t="s">
        <v>535</v>
      </c>
      <c r="C52" s="504">
        <f>D16</f>
        <v>11613</v>
      </c>
      <c r="D52" s="2133"/>
      <c r="E52" s="357">
        <v>1316</v>
      </c>
      <c r="F52" s="357">
        <v>437</v>
      </c>
      <c r="G52" s="357">
        <v>9696</v>
      </c>
      <c r="H52" s="357">
        <v>92</v>
      </c>
      <c r="I52" s="357">
        <v>48</v>
      </c>
      <c r="J52" s="357">
        <v>18</v>
      </c>
      <c r="K52" s="357">
        <v>4</v>
      </c>
      <c r="L52" s="357">
        <v>2</v>
      </c>
      <c r="M52" s="359">
        <v>0</v>
      </c>
      <c r="N52" s="582"/>
      <c r="O52" s="583"/>
      <c r="P52" s="584"/>
    </row>
    <row r="53" spans="1:16" ht="12.75">
      <c r="A53" s="1479">
        <v>520</v>
      </c>
      <c r="B53" s="1395" t="s">
        <v>495</v>
      </c>
      <c r="C53" s="502">
        <f>D21</f>
        <v>2890</v>
      </c>
      <c r="D53" s="2131"/>
      <c r="E53" s="1808">
        <f>Motpart!D28</f>
        <v>199</v>
      </c>
      <c r="F53" s="1808">
        <f>Motpart!E28</f>
        <v>55</v>
      </c>
      <c r="G53" s="1808">
        <f>Motpart!F28</f>
        <v>2524</v>
      </c>
      <c r="H53" s="1808">
        <f>Motpart!G28</f>
        <v>47</v>
      </c>
      <c r="I53" s="1808">
        <f>Motpart!H28</f>
        <v>40</v>
      </c>
      <c r="J53" s="1808">
        <f>Motpart!I28</f>
        <v>6</v>
      </c>
      <c r="K53" s="1808">
        <f>Motpart!J28</f>
        <v>13</v>
      </c>
      <c r="L53" s="1808">
        <f>Motpart!K28</f>
        <v>5</v>
      </c>
      <c r="M53" s="1808">
        <f>Motpart!L28</f>
        <v>0</v>
      </c>
      <c r="N53" s="373" t="str">
        <f>IF(SUM(E54:E56)&gt;E53,"Kontrollera fördelningen i kolumn Föreningar, stiftelser",IF(SUM(F54:F56)&gt;F53,"Kontrollera fördelningen i kolumn Kommunägda företag",IF(SUM(G54:G56)&gt;G53,"Kontrollera fördelningen i kolumn Privata företag",IF(SUM(H54:H56)&gt;H53,"Kontrollera fördelningen i kolumn Kommuner",IF(SUM(I54:I56)&gt;I53,"Kontrollera fördelningen i kolumn Landsting"," ")))))</f>
        <v> </v>
      </c>
      <c r="O53" s="374"/>
      <c r="P53" s="381"/>
    </row>
    <row r="54" spans="1:16" ht="12.75">
      <c r="A54" s="1420">
        <v>5201</v>
      </c>
      <c r="B54" s="1476" t="s">
        <v>487</v>
      </c>
      <c r="C54" s="503">
        <f>D22</f>
        <v>653</v>
      </c>
      <c r="D54" s="2132"/>
      <c r="E54" s="154">
        <v>12</v>
      </c>
      <c r="F54" s="154">
        <v>3</v>
      </c>
      <c r="G54" s="154">
        <f>623+1</f>
        <v>624</v>
      </c>
      <c r="H54" s="154">
        <v>6</v>
      </c>
      <c r="I54" s="154">
        <v>5</v>
      </c>
      <c r="J54" s="154">
        <v>1</v>
      </c>
      <c r="K54" s="154">
        <v>1</v>
      </c>
      <c r="L54" s="154">
        <v>1</v>
      </c>
      <c r="M54" s="358">
        <v>0</v>
      </c>
      <c r="N54" s="377" t="str">
        <f>IF(SUM(J54:J56)&gt;J53,"Kontrollera fördelningen i kolumn Staten och staliga myndigheter",IF(SUM(K54:K56)&gt;K53,"Kontrollera fördelningen i kolumn Hushåll och individer",IF(SUM(L54:L56)&gt;L53,"Kontrollera fördelningen i kolumn Kommunalförbund",IF(SUM(M54:M56)&gt;M53,"Kontrollera fördelningen i kolumn Utlandet"," "))))</f>
        <v> </v>
      </c>
      <c r="O54" s="378"/>
      <c r="P54" s="382"/>
    </row>
    <row r="55" spans="1:16" ht="12.75">
      <c r="A55" s="1420">
        <v>5203</v>
      </c>
      <c r="B55" s="1476" t="s">
        <v>484</v>
      </c>
      <c r="C55" s="503">
        <f>D24</f>
        <v>272</v>
      </c>
      <c r="D55" s="2132"/>
      <c r="E55" s="154">
        <v>25</v>
      </c>
      <c r="F55" s="154">
        <v>0</v>
      </c>
      <c r="G55" s="154">
        <f>231+1</f>
        <v>232</v>
      </c>
      <c r="H55" s="154">
        <v>1</v>
      </c>
      <c r="I55" s="154">
        <v>14</v>
      </c>
      <c r="J55" s="154">
        <v>0</v>
      </c>
      <c r="K55" s="154">
        <v>0</v>
      </c>
      <c r="L55" s="154">
        <v>0</v>
      </c>
      <c r="M55" s="358">
        <v>0</v>
      </c>
      <c r="N55" s="377"/>
      <c r="O55" s="378"/>
      <c r="P55" s="382"/>
    </row>
    <row r="56" spans="1:16" ht="12.75">
      <c r="A56" s="1480">
        <v>5205</v>
      </c>
      <c r="B56" s="1391" t="s">
        <v>535</v>
      </c>
      <c r="C56" s="504">
        <f>D25</f>
        <v>1609</v>
      </c>
      <c r="D56" s="2134"/>
      <c r="E56" s="154">
        <v>118</v>
      </c>
      <c r="F56" s="154">
        <v>29</v>
      </c>
      <c r="G56" s="154">
        <f>1413-1</f>
        <v>1412</v>
      </c>
      <c r="H56" s="154">
        <v>23</v>
      </c>
      <c r="I56" s="154">
        <v>14</v>
      </c>
      <c r="J56" s="154">
        <v>3</v>
      </c>
      <c r="K56" s="154">
        <v>9</v>
      </c>
      <c r="L56" s="154">
        <v>1</v>
      </c>
      <c r="M56" s="359">
        <v>0</v>
      </c>
      <c r="N56" s="582"/>
      <c r="O56" s="583"/>
      <c r="P56" s="584"/>
    </row>
    <row r="57" spans="1:16" ht="12.75">
      <c r="A57" s="1481">
        <v>513</v>
      </c>
      <c r="B57" s="1482" t="s">
        <v>494</v>
      </c>
      <c r="C57" s="502">
        <f>D30</f>
        <v>9278</v>
      </c>
      <c r="D57" s="2130"/>
      <c r="E57" s="1808">
        <f>Motpart!D29</f>
        <v>1201</v>
      </c>
      <c r="F57" s="1808">
        <f>Motpart!E29</f>
        <v>198</v>
      </c>
      <c r="G57" s="1808">
        <f>Motpart!F29</f>
        <v>7307</v>
      </c>
      <c r="H57" s="1808">
        <f>Motpart!G29</f>
        <v>341</v>
      </c>
      <c r="I57" s="1808">
        <f>Motpart!H29</f>
        <v>85</v>
      </c>
      <c r="J57" s="1808">
        <f>Motpart!I29</f>
        <v>25</v>
      </c>
      <c r="K57" s="1808">
        <f>Motpart!J29</f>
        <v>89</v>
      </c>
      <c r="L57" s="1808">
        <f>Motpart!K29</f>
        <v>32</v>
      </c>
      <c r="M57" s="1808">
        <f>Motpart!L29</f>
        <v>0</v>
      </c>
      <c r="N57" s="1686" t="str">
        <f>IF(E58&gt;E57,"Kontrollera fördelningen i kolumn Föreningar, stiftelser",IF(F58&gt;F57,"Kontrollera fördelningen i kolumn Kommunägda företag",IF(G58&gt;G57,"Kontrollera fördelningen i kolumn Privata företag",IF(H58&gt;H57,"Kontrollera fördelningen i kolumn Kommuner",IF(I58&gt;I57,"Kontrollera fördelningen i kolumn Landsting"," ")))))</f>
        <v> </v>
      </c>
      <c r="O57" s="585"/>
      <c r="P57" s="381"/>
    </row>
    <row r="58" spans="1:16" ht="13.5" thickBot="1">
      <c r="A58" s="1412">
        <v>5131</v>
      </c>
      <c r="B58" s="1483" t="s">
        <v>223</v>
      </c>
      <c r="C58" s="505">
        <f>D31</f>
        <v>4409</v>
      </c>
      <c r="D58" s="2135"/>
      <c r="E58" s="360">
        <v>638</v>
      </c>
      <c r="F58" s="360">
        <v>108</v>
      </c>
      <c r="G58" s="360">
        <f>3555+1</f>
        <v>3556</v>
      </c>
      <c r="H58" s="360">
        <v>70</v>
      </c>
      <c r="I58" s="360">
        <v>11</v>
      </c>
      <c r="J58" s="360">
        <v>4</v>
      </c>
      <c r="K58" s="360">
        <v>11</v>
      </c>
      <c r="L58" s="360">
        <v>11</v>
      </c>
      <c r="M58" s="361">
        <v>0</v>
      </c>
      <c r="N58" s="379" t="str">
        <f>IF(J58&gt;J57,"Kontrollera fördelningen i kolumn Staten och staliga myndigheter",IF(K58&gt;K57,"Kontrollera fördelningen i kolumn Hushåll och individer",IF(L58&gt;L57,"Kontrollera fördelningen i kolumn Kommunalförbund",IF(M58&gt;M57,"Kontrollera fördelningen i kolumn Utlandet"," "))))</f>
        <v> </v>
      </c>
      <c r="O58" s="380"/>
      <c r="P58" s="383"/>
    </row>
    <row r="59" spans="4:15" ht="12.75">
      <c r="D59" s="384">
        <f>IF(OR(COUNTIF(D49:D58,"&lt;-5")&gt;0,(COUNTIF(D49:D58,"&gt;5")&gt;0)),"Rätta differenserna i kolumn D","")</f>
      </c>
      <c r="N59" s="362"/>
      <c r="O59" s="363"/>
    </row>
  </sheetData>
  <sheetProtection/>
  <mergeCells count="17">
    <mergeCell ref="D6:D7"/>
    <mergeCell ref="H6:H7"/>
    <mergeCell ref="O6:P7"/>
    <mergeCell ref="A44:B48"/>
    <mergeCell ref="R12:T15"/>
    <mergeCell ref="R22:T25"/>
    <mergeCell ref="R31:T34"/>
    <mergeCell ref="R45:T48"/>
    <mergeCell ref="N6:N8"/>
    <mergeCell ref="N9:N11"/>
    <mergeCell ref="K44:K45"/>
    <mergeCell ref="E6:E7"/>
    <mergeCell ref="F6:F7"/>
    <mergeCell ref="F9:F11"/>
    <mergeCell ref="G6:G7"/>
    <mergeCell ref="G9:G11"/>
    <mergeCell ref="J6:J7"/>
  </mergeCells>
  <conditionalFormatting sqref="G33">
    <cfRule type="cellIs" priority="4" dxfId="0" operator="lessThan" stopIfTrue="1">
      <formula>0</formula>
    </cfRule>
    <cfRule type="cellIs" priority="5" dxfId="3" operator="lessThan" stopIfTrue="1">
      <formula>SUM(G40)</formula>
    </cfRule>
  </conditionalFormatting>
  <conditionalFormatting sqref="C33">
    <cfRule type="cellIs" priority="6" dxfId="0" operator="lessThan" stopIfTrue="1">
      <formula>0</formula>
    </cfRule>
    <cfRule type="cellIs" priority="7" dxfId="3" operator="lessThan" stopIfTrue="1">
      <formula>SUM(G41)</formula>
    </cfRule>
  </conditionalFormatting>
  <conditionalFormatting sqref="C13:I18 C22:I27 E58:M58 G42 G34:G35 H31:I35 G31:G32 D31:F35 C31:C32 C34:C35 E50:M52 E54:M56">
    <cfRule type="cellIs" priority="2" dxfId="0" operator="lessThan" stopIfTrue="1">
      <formula>0</formula>
    </cfRule>
  </conditionalFormatting>
  <dataValidations count="2">
    <dataValidation type="decimal" operator="lessThan" allowBlank="1" showInputMessage="1" showErrorMessage="1" error="Beloppen ska vara i 1000 tal kronor" sqref="E58:M58 H28:H29 I28:I30 H21 C28:G30 C13:I20 C22:I27 C31:I35 G42 E50:M56">
      <formula1>99999999</formula1>
    </dataValidation>
    <dataValidation type="decimal" operator="lessThan" allowBlank="1" showInputMessage="1" showErrorMessage="1" error="Beloppet ska vara i 1000 tal kr" sqref="H30">
      <formula1>99999999</formula1>
    </dataValidation>
  </dataValidations>
  <printOptions/>
  <pageMargins left="0.43" right="0.17" top="0.43" bottom="0.15748031496062992" header="0.21" footer="0.31496062992125984"/>
  <pageSetup horizontalDpi="600" verticalDpi="600" orientation="landscape" paperSize="9" scale="70" r:id="rId2"/>
  <headerFooter>
    <oddHeader>&amp;L&amp;8Statistiska Centralbyrån
Offentlig ekonomi&amp;R&amp;P</oddHeader>
  </headerFooter>
  <rowBreaks count="1" manualBreakCount="1">
    <brk id="42" max="255" man="1"/>
  </rowBreaks>
  <ignoredErrors>
    <ignoredError sqref="E53:F53 E57:F57 C13:I17 C22:H27 C31:I35 H53:M53 H57:M57 G57 G53 G50:G52 G54:G56 G5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8"/>
  <sheetViews>
    <sheetView showGridLines="0" zoomScalePageLayoutView="0" workbookViewId="0" topLeftCell="A1">
      <pane xSplit="2" ySplit="11" topLeftCell="C12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B3" sqref="B3"/>
    </sheetView>
  </sheetViews>
  <sheetFormatPr defaultColWidth="0" defaultRowHeight="12.75" zeroHeight="1"/>
  <cols>
    <col min="1" max="1" width="5.7109375" style="331" customWidth="1"/>
    <col min="2" max="2" width="34.140625" style="232" customWidth="1"/>
    <col min="3" max="3" width="9.421875" style="232" customWidth="1"/>
    <col min="4" max="4" width="8.7109375" style="232" customWidth="1"/>
    <col min="5" max="5" width="10.28125" style="232" customWidth="1"/>
    <col min="6" max="7" width="8.7109375" style="232" customWidth="1"/>
    <col min="8" max="8" width="8.57421875" style="232" customWidth="1"/>
    <col min="9" max="9" width="8.7109375" style="232" customWidth="1"/>
    <col min="10" max="10" width="1.28515625" style="232" hidden="1" customWidth="1"/>
    <col min="11" max="11" width="9.57421875" style="192" customWidth="1"/>
    <col min="12" max="12" width="9.140625" style="192" customWidth="1"/>
    <col min="13" max="13" width="7.421875" style="192" customWidth="1"/>
    <col min="14" max="17" width="9.140625" style="192" customWidth="1"/>
    <col min="18" max="16384" width="9.140625" style="192" hidden="1" customWidth="1"/>
  </cols>
  <sheetData>
    <row r="1" spans="1:17" s="4" customFormat="1" ht="21.75">
      <c r="A1" s="93" t="str">
        <f>"Specificering individ- och familjeomsorg "&amp;År&amp;", miljoner kronor"</f>
        <v>Specificering individ- och familjeomsorg 2014, miljoner kronor</v>
      </c>
      <c r="B1" s="94"/>
      <c r="C1" s="94"/>
      <c r="D1" s="94"/>
      <c r="E1" s="191"/>
      <c r="F1" s="191"/>
      <c r="G1" s="191"/>
      <c r="H1" s="191"/>
      <c r="I1" s="588" t="s">
        <v>502</v>
      </c>
      <c r="J1" s="589" t="str">
        <f>'Kn Information'!B2</f>
        <v>RIKSTOTAL</v>
      </c>
      <c r="K1" s="191"/>
      <c r="L1" s="191"/>
      <c r="M1" s="191"/>
      <c r="N1" s="191"/>
      <c r="O1" s="191"/>
      <c r="P1" s="191"/>
      <c r="Q1" s="191"/>
    </row>
    <row r="2" spans="1:15" s="230" customFormat="1" ht="12.75" customHeight="1">
      <c r="A2" s="1549"/>
      <c r="B2" s="95"/>
      <c r="C2" s="87"/>
      <c r="D2" s="87"/>
      <c r="O2" s="86"/>
    </row>
    <row r="3" spans="1:14" s="4" customFormat="1" ht="12.75" customHeight="1" thickBot="1">
      <c r="A3" s="298"/>
      <c r="B3" s="227"/>
      <c r="C3" s="227" t="s">
        <v>689</v>
      </c>
      <c r="D3" s="227" t="s">
        <v>694</v>
      </c>
      <c r="E3" s="227" t="s">
        <v>690</v>
      </c>
      <c r="F3" s="227" t="s">
        <v>693</v>
      </c>
      <c r="G3" s="227" t="s">
        <v>692</v>
      </c>
      <c r="H3" s="227"/>
      <c r="I3" s="227"/>
      <c r="J3" s="227"/>
      <c r="K3" s="230"/>
      <c r="L3" s="230"/>
      <c r="M3" s="230"/>
      <c r="N3" s="230"/>
    </row>
    <row r="4" spans="1:16" s="193" customFormat="1" ht="14.25" customHeight="1">
      <c r="A4" s="739" t="s">
        <v>695</v>
      </c>
      <c r="B4" s="1488" t="s">
        <v>21</v>
      </c>
      <c r="C4" s="1484"/>
      <c r="D4" s="1503"/>
      <c r="E4" s="1484"/>
      <c r="F4" s="1504"/>
      <c r="G4" s="1505"/>
      <c r="H4" s="1505"/>
      <c r="I4" s="1505"/>
      <c r="J4" s="1735"/>
      <c r="K4" s="1951"/>
      <c r="L4" s="1993"/>
      <c r="M4" s="1660"/>
      <c r="N4" s="166"/>
      <c r="O4" s="192"/>
      <c r="P4" s="230"/>
    </row>
    <row r="5" spans="1:16" s="193" customFormat="1" ht="15" customHeight="1">
      <c r="A5" s="740" t="s">
        <v>698</v>
      </c>
      <c r="B5" s="644"/>
      <c r="C5" s="1741" t="s">
        <v>48</v>
      </c>
      <c r="D5" s="1486"/>
      <c r="E5" s="1486"/>
      <c r="F5" s="1742" t="s">
        <v>47</v>
      </c>
      <c r="G5" s="1508"/>
      <c r="H5" s="1508"/>
      <c r="I5" s="1508"/>
      <c r="J5" s="2079"/>
      <c r="K5" s="1507"/>
      <c r="L5" s="1327"/>
      <c r="M5" s="1660"/>
      <c r="N5" s="166"/>
      <c r="O5" s="192"/>
      <c r="P5" s="230"/>
    </row>
    <row r="6" spans="1:16" s="193" customFormat="1" ht="22.5" customHeight="1">
      <c r="A6" s="1485"/>
      <c r="B6" s="1489"/>
      <c r="C6" s="1741" t="s">
        <v>50</v>
      </c>
      <c r="D6" s="2310" t="s">
        <v>160</v>
      </c>
      <c r="E6" s="2309" t="s">
        <v>987</v>
      </c>
      <c r="F6" s="2309" t="s">
        <v>1187</v>
      </c>
      <c r="G6" s="1386" t="s">
        <v>156</v>
      </c>
      <c r="H6" s="1386" t="s">
        <v>156</v>
      </c>
      <c r="I6" s="1386" t="s">
        <v>568</v>
      </c>
      <c r="J6" s="2083"/>
      <c r="K6" s="2088" t="str">
        <f>"Nämnare nyckeltal"</f>
        <v>Nämnare nyckeltal</v>
      </c>
      <c r="L6" s="2089"/>
      <c r="M6" s="192"/>
      <c r="N6" s="166"/>
      <c r="O6" s="192"/>
      <c r="P6" s="230"/>
    </row>
    <row r="7" spans="1:16" s="193" customFormat="1" ht="14.25" customHeight="1">
      <c r="A7" s="1262"/>
      <c r="B7" s="961"/>
      <c r="C7" s="1741"/>
      <c r="D7" s="2305"/>
      <c r="E7" s="2305"/>
      <c r="F7" s="2288"/>
      <c r="G7" s="1386" t="s">
        <v>157</v>
      </c>
      <c r="H7" s="1386" t="s">
        <v>157</v>
      </c>
      <c r="I7" s="1386" t="str">
        <f>År-1&amp;"-"&amp;År</f>
        <v>2013-2014</v>
      </c>
      <c r="J7" s="2084"/>
      <c r="K7" s="2088"/>
      <c r="L7" s="2089"/>
      <c r="M7" s="192"/>
      <c r="N7" s="166"/>
      <c r="O7" s="192"/>
      <c r="P7" s="230"/>
    </row>
    <row r="8" spans="1:16" s="193" customFormat="1" ht="16.5" customHeight="1">
      <c r="A8" s="1485"/>
      <c r="B8" s="1490"/>
      <c r="C8" s="1486"/>
      <c r="D8" s="2305"/>
      <c r="E8" s="2305"/>
      <c r="F8" s="2288"/>
      <c r="G8" s="1393">
        <f>År</f>
        <v>2014</v>
      </c>
      <c r="H8" s="1393">
        <f>År-1</f>
        <v>2013</v>
      </c>
      <c r="I8" s="1386"/>
      <c r="J8" s="2084"/>
      <c r="K8" s="1510"/>
      <c r="L8" s="1511"/>
      <c r="M8" s="230"/>
      <c r="N8" s="230"/>
      <c r="O8" s="230"/>
      <c r="P8" s="230"/>
    </row>
    <row r="9" spans="1:16" s="193" customFormat="1" ht="30.75" customHeight="1">
      <c r="A9" s="1485"/>
      <c r="B9" s="1490"/>
      <c r="C9" s="1486"/>
      <c r="D9" s="1486"/>
      <c r="E9" s="2076" t="s">
        <v>988</v>
      </c>
      <c r="F9" s="2074" t="s">
        <v>1188</v>
      </c>
      <c r="G9" s="1508"/>
      <c r="H9" s="1508"/>
      <c r="I9" s="1508"/>
      <c r="J9" s="2087"/>
      <c r="K9" s="1510"/>
      <c r="L9" s="1511"/>
      <c r="M9" s="230"/>
      <c r="N9" s="230"/>
      <c r="O9" s="230"/>
      <c r="P9" s="230"/>
    </row>
    <row r="10" spans="1:16" s="193" customFormat="1" ht="3" customHeight="1">
      <c r="A10" s="1485"/>
      <c r="B10" s="1490"/>
      <c r="C10" s="1486"/>
      <c r="D10" s="1486"/>
      <c r="E10" s="1506"/>
      <c r="F10" s="1486"/>
      <c r="G10" s="1509"/>
      <c r="H10" s="1509"/>
      <c r="I10" s="1508"/>
      <c r="J10" s="2090"/>
      <c r="K10" s="1510"/>
      <c r="L10" s="1511"/>
      <c r="M10" s="230"/>
      <c r="N10" s="230"/>
      <c r="O10" s="230"/>
      <c r="P10" s="230"/>
    </row>
    <row r="11" spans="1:16" s="193" customFormat="1" ht="3.75" customHeight="1">
      <c r="A11" s="1491"/>
      <c r="B11" s="1258"/>
      <c r="C11" s="1512"/>
      <c r="D11" s="1512"/>
      <c r="E11" s="2075"/>
      <c r="F11" s="1513"/>
      <c r="G11" s="1514"/>
      <c r="H11" s="1514"/>
      <c r="I11" s="1514"/>
      <c r="J11" s="2091"/>
      <c r="K11" s="1515"/>
      <c r="L11" s="1516"/>
      <c r="M11" s="230"/>
      <c r="N11" s="230"/>
      <c r="O11" s="230"/>
      <c r="P11" s="230"/>
    </row>
    <row r="12" spans="1:20" s="193" customFormat="1" ht="12.75">
      <c r="A12" s="1492">
        <v>559</v>
      </c>
      <c r="B12" s="1493" t="s">
        <v>546</v>
      </c>
      <c r="C12" s="389">
        <f>Drift!P79</f>
        <v>7074.48802641474</v>
      </c>
      <c r="D12" s="389">
        <f>Drift!V79</f>
        <v>421</v>
      </c>
      <c r="E12" s="390">
        <f>Motpart!Y31+Motpart!Z31</f>
        <v>72</v>
      </c>
      <c r="F12" s="1517">
        <f aca="true" t="shared" si="0" ref="F12:F18">C12-D12-E12</f>
        <v>6581.48802641474</v>
      </c>
      <c r="G12" s="1518">
        <f>IF(C12&gt;0,F12*1000/K12,"")</f>
        <v>1196.4166563197127</v>
      </c>
      <c r="H12" s="1518">
        <v>263</v>
      </c>
      <c r="I12" s="2099">
        <f>IF(ISERROR((G12-H12)/H12),"",((G12-H12)/H12))</f>
        <v>3.5491127616719114</v>
      </c>
      <c r="J12" s="2092"/>
      <c r="K12" s="2077">
        <v>5501</v>
      </c>
      <c r="L12" s="1519"/>
      <c r="M12" s="230"/>
      <c r="N12" s="329"/>
      <c r="O12" s="321"/>
      <c r="P12" s="321"/>
      <c r="Q12" s="321"/>
      <c r="R12" s="321"/>
      <c r="S12" s="321"/>
      <c r="T12" s="321"/>
    </row>
    <row r="13" spans="1:20" s="193" customFormat="1" ht="12.75">
      <c r="A13" s="1494">
        <v>552</v>
      </c>
      <c r="B13" s="644" t="s">
        <v>479</v>
      </c>
      <c r="C13" s="57">
        <f>3042+2</f>
        <v>3044</v>
      </c>
      <c r="D13" s="57">
        <v>101</v>
      </c>
      <c r="E13" s="115">
        <f>Motpart!Y32+Motpart!Z32</f>
        <v>38</v>
      </c>
      <c r="F13" s="1520">
        <f t="shared" si="0"/>
        <v>2905</v>
      </c>
      <c r="G13" s="1521">
        <f>IF(C13&gt;0,F13*1000/K12,"")</f>
        <v>528.0858025813488</v>
      </c>
      <c r="H13" s="1521">
        <v>129</v>
      </c>
      <c r="I13" s="2100">
        <f aca="true" t="shared" si="1" ref="I13:I18">IF(ISERROR((G13-H13)/H13),"",((G13-H13)/H13))</f>
        <v>3.0936883921034792</v>
      </c>
      <c r="J13" s="2084"/>
      <c r="K13" s="1526"/>
      <c r="L13" s="1522"/>
      <c r="M13" s="230"/>
      <c r="N13" s="2302"/>
      <c r="O13" s="2311"/>
      <c r="P13" s="2311"/>
      <c r="Q13" s="321"/>
      <c r="R13" s="321"/>
      <c r="S13" s="321"/>
      <c r="T13" s="321"/>
    </row>
    <row r="14" spans="1:20" s="193" customFormat="1" ht="12.75">
      <c r="A14" s="1494">
        <v>556</v>
      </c>
      <c r="B14" s="646" t="s">
        <v>552</v>
      </c>
      <c r="C14" s="57">
        <v>216</v>
      </c>
      <c r="D14" s="57">
        <v>18</v>
      </c>
      <c r="E14" s="57">
        <v>10</v>
      </c>
      <c r="F14" s="1520">
        <f t="shared" si="0"/>
        <v>188</v>
      </c>
      <c r="G14" s="1521">
        <f>IF(C14&gt;0,F14*1000/K12,"")</f>
        <v>34.17560443555717</v>
      </c>
      <c r="H14" s="1521">
        <v>11</v>
      </c>
      <c r="I14" s="2100">
        <f t="shared" si="1"/>
        <v>2.106873130505197</v>
      </c>
      <c r="J14" s="2084"/>
      <c r="K14" s="1526"/>
      <c r="L14" s="1522"/>
      <c r="M14" s="230"/>
      <c r="N14" s="2311"/>
      <c r="O14" s="2311"/>
      <c r="P14" s="2311"/>
      <c r="Q14" s="321"/>
      <c r="R14" s="321"/>
      <c r="S14" s="321"/>
      <c r="T14" s="321"/>
    </row>
    <row r="15" spans="1:20" s="193" customFormat="1" ht="12.75">
      <c r="A15" s="1494">
        <v>5581</v>
      </c>
      <c r="B15" s="646" t="s">
        <v>181</v>
      </c>
      <c r="C15" s="57">
        <v>2130</v>
      </c>
      <c r="D15" s="57">
        <v>230</v>
      </c>
      <c r="E15" s="57">
        <v>6</v>
      </c>
      <c r="F15" s="1520">
        <f t="shared" si="0"/>
        <v>1894</v>
      </c>
      <c r="G15" s="1523">
        <f>IF(C15&gt;0,F15*1000/K12,"")</f>
        <v>344.3010361752409</v>
      </c>
      <c r="H15" s="1523">
        <v>42</v>
      </c>
      <c r="I15" s="2100">
        <f t="shared" si="1"/>
        <v>7.197643718458116</v>
      </c>
      <c r="J15" s="2083"/>
      <c r="K15" s="1526"/>
      <c r="L15" s="1522"/>
      <c r="M15" s="230"/>
      <c r="N15" s="2311"/>
      <c r="O15" s="2311"/>
      <c r="P15" s="2311"/>
      <c r="Q15" s="321"/>
      <c r="R15" s="321"/>
      <c r="S15" s="321"/>
      <c r="T15" s="321"/>
    </row>
    <row r="16" spans="1:20" s="193" customFormat="1" ht="12.75">
      <c r="A16" s="1494">
        <v>5582</v>
      </c>
      <c r="B16" s="646" t="s">
        <v>180</v>
      </c>
      <c r="C16" s="57">
        <v>998</v>
      </c>
      <c r="D16" s="57">
        <v>26</v>
      </c>
      <c r="E16" s="57">
        <v>9</v>
      </c>
      <c r="F16" s="1520">
        <f t="shared" si="0"/>
        <v>963</v>
      </c>
      <c r="G16" s="1521">
        <f>IF(C16&gt;0,F16*1000/K12,"")</f>
        <v>175.0590801672423</v>
      </c>
      <c r="H16" s="1521">
        <v>51</v>
      </c>
      <c r="I16" s="2100">
        <f t="shared" si="1"/>
        <v>2.432530983671418</v>
      </c>
      <c r="J16" s="2084"/>
      <c r="K16" s="1526"/>
      <c r="L16" s="1522"/>
      <c r="M16" s="230"/>
      <c r="N16" s="2311"/>
      <c r="O16" s="2311"/>
      <c r="P16" s="2311"/>
      <c r="Q16" s="321"/>
      <c r="R16" s="321"/>
      <c r="S16" s="321"/>
      <c r="T16" s="321"/>
    </row>
    <row r="17" spans="1:20" s="193" customFormat="1" ht="12.75">
      <c r="A17" s="1494">
        <v>5583</v>
      </c>
      <c r="B17" s="646" t="s">
        <v>182</v>
      </c>
      <c r="C17" s="57">
        <v>686</v>
      </c>
      <c r="D17" s="57">
        <v>46</v>
      </c>
      <c r="E17" s="57">
        <v>9</v>
      </c>
      <c r="F17" s="1520">
        <f t="shared" si="0"/>
        <v>631</v>
      </c>
      <c r="G17" s="1521">
        <f>IF(C17&gt;0,F17*1000/K12,"")</f>
        <v>114.70641701508816</v>
      </c>
      <c r="H17" s="1523">
        <v>29</v>
      </c>
      <c r="I17" s="2100">
        <f t="shared" si="1"/>
        <v>2.955393690175454</v>
      </c>
      <c r="J17" s="2084"/>
      <c r="K17" s="1526"/>
      <c r="L17" s="1522"/>
      <c r="M17" s="230"/>
      <c r="N17" s="321"/>
      <c r="O17" s="321"/>
      <c r="P17" s="321"/>
      <c r="Q17" s="321"/>
      <c r="R17" s="321"/>
      <c r="S17" s="321"/>
      <c r="T17" s="321"/>
    </row>
    <row r="18" spans="1:20" s="193" customFormat="1" ht="12.75">
      <c r="A18" s="1495">
        <v>558</v>
      </c>
      <c r="B18" s="819" t="s">
        <v>228</v>
      </c>
      <c r="C18" s="370">
        <f>SUM(C15:C17)</f>
        <v>3814</v>
      </c>
      <c r="D18" s="370">
        <f>SUM(D15:D17)</f>
        <v>302</v>
      </c>
      <c r="E18" s="370">
        <f>SUM(E15:E17)</f>
        <v>24</v>
      </c>
      <c r="F18" s="1520">
        <f t="shared" si="0"/>
        <v>3488</v>
      </c>
      <c r="G18" s="1521">
        <f>IF(C18&gt;0,F18*1000/K12,"")</f>
        <v>634.0665333575713</v>
      </c>
      <c r="H18" s="1521">
        <v>122</v>
      </c>
      <c r="I18" s="2100">
        <f t="shared" si="1"/>
        <v>4.197266666865339</v>
      </c>
      <c r="J18" s="2083"/>
      <c r="K18" s="1526"/>
      <c r="L18" s="1522"/>
      <c r="M18" s="230"/>
      <c r="N18" s="321"/>
      <c r="O18" s="321"/>
      <c r="P18" s="321"/>
      <c r="Q18" s="321"/>
      <c r="R18" s="321"/>
      <c r="S18" s="321"/>
      <c r="T18" s="321"/>
    </row>
    <row r="19" spans="1:20" s="250" customFormat="1" ht="12.75">
      <c r="A19" s="1495">
        <v>55999</v>
      </c>
      <c r="B19" s="819" t="s">
        <v>233</v>
      </c>
      <c r="C19" s="370">
        <f>C13+C14+C15+C16+C17</f>
        <v>7074</v>
      </c>
      <c r="D19" s="370">
        <f>D13+D14+D15+D16+D17</f>
        <v>421</v>
      </c>
      <c r="E19" s="370">
        <f>E13+E14+E15+E16+E17</f>
        <v>72</v>
      </c>
      <c r="F19" s="1524"/>
      <c r="G19" s="1525"/>
      <c r="H19" s="1525"/>
      <c r="I19" s="2101"/>
      <c r="J19" s="2084"/>
      <c r="K19" s="1526"/>
      <c r="L19" s="1522"/>
      <c r="M19" s="192"/>
      <c r="N19" s="321"/>
      <c r="O19" s="321"/>
      <c r="P19" s="321"/>
      <c r="Q19" s="321"/>
      <c r="R19" s="321"/>
      <c r="S19" s="321"/>
      <c r="T19" s="321"/>
    </row>
    <row r="20" spans="1:20" s="250" customFormat="1" ht="13.5" thickBot="1">
      <c r="A20" s="1496"/>
      <c r="B20" s="1497"/>
      <c r="C20" s="1528"/>
      <c r="D20" s="1528"/>
      <c r="E20" s="1528"/>
      <c r="F20" s="1527"/>
      <c r="G20" s="1528"/>
      <c r="H20" s="1528"/>
      <c r="I20" s="2080"/>
      <c r="J20" s="1529"/>
      <c r="K20" s="1530"/>
      <c r="L20" s="1522"/>
      <c r="M20" s="192"/>
      <c r="N20" s="321"/>
      <c r="O20" s="321"/>
      <c r="P20" s="321"/>
      <c r="Q20" s="321"/>
      <c r="R20" s="321"/>
      <c r="S20" s="321"/>
      <c r="T20" s="321"/>
    </row>
    <row r="21" spans="1:20" s="193" customFormat="1" ht="12.75">
      <c r="A21" s="1498">
        <v>569</v>
      </c>
      <c r="B21" s="1487" t="s">
        <v>547</v>
      </c>
      <c r="C21" s="391">
        <f>Drift!P80</f>
        <v>18422.665938146267</v>
      </c>
      <c r="D21" s="391">
        <f>Drift!V80</f>
        <v>807</v>
      </c>
      <c r="E21" s="392">
        <f>Motpart!Y33+Motpart!Z33</f>
        <v>171</v>
      </c>
      <c r="F21" s="1531">
        <f aca="true" t="shared" si="2" ref="F21:F26">C21-D21-E21</f>
        <v>17444.665938146267</v>
      </c>
      <c r="G21" s="1521">
        <f>IF(C21&gt;0,F21*1000/K21,"")</f>
        <v>7474.149930653927</v>
      </c>
      <c r="H21" s="1521">
        <v>1999</v>
      </c>
      <c r="I21" s="2102">
        <f aca="true" t="shared" si="3" ref="I21:I26">IF(ISERROR((G21-H21)/H21),"",((G21-H21)/H21))</f>
        <v>2.7389444375457366</v>
      </c>
      <c r="J21" s="2086"/>
      <c r="K21" s="2078">
        <v>2334</v>
      </c>
      <c r="L21" s="1532"/>
      <c r="M21" s="230"/>
      <c r="N21" s="329"/>
      <c r="O21" s="321"/>
      <c r="P21" s="321"/>
      <c r="Q21" s="321"/>
      <c r="R21" s="321"/>
      <c r="S21" s="321"/>
      <c r="T21" s="321"/>
    </row>
    <row r="22" spans="1:20" s="193" customFormat="1" ht="12.75">
      <c r="A22" s="1494">
        <v>554</v>
      </c>
      <c r="B22" s="641" t="s">
        <v>229</v>
      </c>
      <c r="C22" s="57">
        <f>6441+3</f>
        <v>6444</v>
      </c>
      <c r="D22" s="57">
        <f>252+1</f>
        <v>253</v>
      </c>
      <c r="E22" s="115">
        <f>Motpart!Y34+Motpart!Z34</f>
        <v>53</v>
      </c>
      <c r="F22" s="1531">
        <f t="shared" si="2"/>
        <v>6138</v>
      </c>
      <c r="G22" s="1521">
        <f>IF(C22&gt;0,F22*1000/K21,"")</f>
        <v>2629.8200514138816</v>
      </c>
      <c r="H22" s="1521">
        <v>758</v>
      </c>
      <c r="I22" s="2100">
        <f t="shared" si="3"/>
        <v>2.469419592894303</v>
      </c>
      <c r="J22" s="2084"/>
      <c r="K22" s="1526"/>
      <c r="L22" s="1522"/>
      <c r="M22" s="230"/>
      <c r="N22" s="2302"/>
      <c r="O22" s="2302"/>
      <c r="P22" s="2302"/>
      <c r="Q22" s="321"/>
      <c r="R22" s="321"/>
      <c r="S22" s="321"/>
      <c r="T22" s="321"/>
    </row>
    <row r="23" spans="1:20" s="193" customFormat="1" ht="12.75">
      <c r="A23" s="1494">
        <v>557</v>
      </c>
      <c r="B23" s="641" t="s">
        <v>185</v>
      </c>
      <c r="C23" s="57">
        <f>6082+3</f>
        <v>6085</v>
      </c>
      <c r="D23" s="57">
        <v>227</v>
      </c>
      <c r="E23" s="57">
        <v>37</v>
      </c>
      <c r="F23" s="1531">
        <f t="shared" si="2"/>
        <v>5821</v>
      </c>
      <c r="G23" s="1521">
        <f>IF(C23&gt;0,F23*1000/K21,"")</f>
        <v>2494.001713796058</v>
      </c>
      <c r="H23" s="1521">
        <v>702</v>
      </c>
      <c r="I23" s="2100">
        <f t="shared" si="3"/>
        <v>2.552708994011479</v>
      </c>
      <c r="J23" s="2084"/>
      <c r="K23" s="1526"/>
      <c r="L23" s="1522"/>
      <c r="M23" s="230"/>
      <c r="N23" s="2302"/>
      <c r="O23" s="2302"/>
      <c r="P23" s="2302"/>
      <c r="Q23" s="321"/>
      <c r="R23" s="321"/>
      <c r="S23" s="321"/>
      <c r="T23" s="321"/>
    </row>
    <row r="24" spans="1:20" s="193" customFormat="1" ht="12.75">
      <c r="A24" s="1494">
        <v>5681</v>
      </c>
      <c r="B24" s="641" t="s">
        <v>180</v>
      </c>
      <c r="C24" s="57">
        <f>3525+2</f>
        <v>3527</v>
      </c>
      <c r="D24" s="57">
        <v>144</v>
      </c>
      <c r="E24" s="57">
        <v>19</v>
      </c>
      <c r="F24" s="1531">
        <f t="shared" si="2"/>
        <v>3364</v>
      </c>
      <c r="G24" s="1521">
        <f>IF(C24&gt;0,F24*1000/K21,"")</f>
        <v>1441.3024850042846</v>
      </c>
      <c r="H24" s="1521">
        <v>369</v>
      </c>
      <c r="I24" s="2100">
        <f t="shared" si="3"/>
        <v>2.9059687940495516</v>
      </c>
      <c r="J24" s="2083"/>
      <c r="K24" s="1526"/>
      <c r="L24" s="1522"/>
      <c r="M24" s="230"/>
      <c r="N24" s="2302"/>
      <c r="O24" s="2302"/>
      <c r="P24" s="2302"/>
      <c r="Q24" s="321"/>
      <c r="R24" s="321"/>
      <c r="S24" s="321"/>
      <c r="T24" s="321"/>
    </row>
    <row r="25" spans="1:20" s="193" customFormat="1" ht="12.75">
      <c r="A25" s="1494">
        <v>5682</v>
      </c>
      <c r="B25" s="641" t="s">
        <v>182</v>
      </c>
      <c r="C25" s="57">
        <v>2367</v>
      </c>
      <c r="D25" s="57">
        <v>183</v>
      </c>
      <c r="E25" s="58">
        <v>62</v>
      </c>
      <c r="F25" s="1531">
        <f t="shared" si="2"/>
        <v>2122</v>
      </c>
      <c r="G25" s="1521">
        <f>IF(C25&gt;0,F25*1000/K21,"")</f>
        <v>909.1688089117395</v>
      </c>
      <c r="H25" s="1521">
        <v>170</v>
      </c>
      <c r="I25" s="2100">
        <f t="shared" si="3"/>
        <v>4.348051817127879</v>
      </c>
      <c r="J25" s="2084"/>
      <c r="K25" s="1526"/>
      <c r="L25" s="1522"/>
      <c r="M25" s="230"/>
      <c r="N25" s="2302"/>
      <c r="O25" s="2302"/>
      <c r="P25" s="2302"/>
      <c r="Q25" s="321"/>
      <c r="R25" s="321"/>
      <c r="S25" s="321"/>
      <c r="T25" s="321"/>
    </row>
    <row r="26" spans="1:20" s="193" customFormat="1" ht="12.75">
      <c r="A26" s="1495">
        <v>568</v>
      </c>
      <c r="B26" s="662" t="s">
        <v>235</v>
      </c>
      <c r="C26" s="370">
        <f>SUM(C24:C25)</f>
        <v>5894</v>
      </c>
      <c r="D26" s="370">
        <f>SUM(D24:D25)</f>
        <v>327</v>
      </c>
      <c r="E26" s="370">
        <f>SUM(E24:E25)</f>
        <v>81</v>
      </c>
      <c r="F26" s="1531">
        <f t="shared" si="2"/>
        <v>5486</v>
      </c>
      <c r="G26" s="1521">
        <f>IF(C26&gt;0,F26*1000/K21,"")</f>
        <v>2350.471293916024</v>
      </c>
      <c r="H26" s="1521">
        <v>539</v>
      </c>
      <c r="I26" s="2100">
        <f t="shared" si="3"/>
        <v>3.360800174241232</v>
      </c>
      <c r="J26" s="2084"/>
      <c r="K26" s="1526"/>
      <c r="L26" s="1522"/>
      <c r="M26" s="230"/>
      <c r="N26" s="321"/>
      <c r="O26" s="321"/>
      <c r="P26" s="321"/>
      <c r="Q26" s="321"/>
      <c r="R26" s="321"/>
      <c r="S26" s="321"/>
      <c r="T26" s="321"/>
    </row>
    <row r="27" spans="1:20" s="193" customFormat="1" ht="12.75">
      <c r="A27" s="1495">
        <v>56999</v>
      </c>
      <c r="B27" s="819" t="s">
        <v>186</v>
      </c>
      <c r="C27" s="370">
        <f>SUM(C22+C23+C24+C25)</f>
        <v>18423</v>
      </c>
      <c r="D27" s="370">
        <f>SUM(D22+D23+D24+D25)</f>
        <v>807</v>
      </c>
      <c r="E27" s="370">
        <f>SUM(E22+E23+E24+E25)</f>
        <v>171</v>
      </c>
      <c r="F27" s="1524"/>
      <c r="G27" s="1525"/>
      <c r="H27" s="1525"/>
      <c r="I27" s="2101"/>
      <c r="J27" s="2083"/>
      <c r="K27" s="1526"/>
      <c r="L27" s="1522"/>
      <c r="M27" s="230"/>
      <c r="N27" s="321"/>
      <c r="O27" s="321"/>
      <c r="P27" s="321"/>
      <c r="Q27" s="321"/>
      <c r="R27" s="321"/>
      <c r="S27" s="321"/>
      <c r="T27" s="321"/>
    </row>
    <row r="28" spans="1:20" s="193" customFormat="1" ht="13.5" thickBot="1">
      <c r="A28" s="1496"/>
      <c r="B28" s="1499"/>
      <c r="C28" s="1528"/>
      <c r="D28" s="1528"/>
      <c r="E28" s="1528"/>
      <c r="F28" s="1527"/>
      <c r="G28" s="1528"/>
      <c r="H28" s="1528"/>
      <c r="I28" s="2080"/>
      <c r="J28" s="1533"/>
      <c r="K28" s="1530"/>
      <c r="L28" s="1534"/>
      <c r="M28" s="230"/>
      <c r="N28" s="321"/>
      <c r="O28" s="321"/>
      <c r="P28" s="321"/>
      <c r="Q28" s="321"/>
      <c r="R28" s="321"/>
      <c r="S28" s="321"/>
      <c r="T28" s="321"/>
    </row>
    <row r="29" spans="1:20" s="193" customFormat="1" ht="12.75">
      <c r="A29" s="1494">
        <v>571</v>
      </c>
      <c r="B29" s="641" t="s">
        <v>187</v>
      </c>
      <c r="C29" s="391">
        <f>Drift!P81</f>
        <v>2055.5899135175787</v>
      </c>
      <c r="D29" s="391">
        <f>Drift!V81</f>
        <v>194</v>
      </c>
      <c r="E29" s="57">
        <v>30</v>
      </c>
      <c r="F29" s="1531">
        <f aca="true" t="shared" si="4" ref="F29:F34">C29-D29-E29</f>
        <v>1831.5899135175787</v>
      </c>
      <c r="G29" s="1521">
        <f>IF(C29&gt;0,F29*1000/K12,"")</f>
        <v>332.95581049219754</v>
      </c>
      <c r="H29" s="1521">
        <v>72</v>
      </c>
      <c r="I29" s="2102">
        <f aca="true" t="shared" si="5" ref="I29:I34">IF(ISERROR((G29-H29)/H29),"",((G29-H29)/H29))</f>
        <v>3.624386256836077</v>
      </c>
      <c r="J29" s="2086"/>
      <c r="K29" s="2078"/>
      <c r="L29" s="1532"/>
      <c r="M29" s="230"/>
      <c r="N29" s="329"/>
      <c r="O29" s="321"/>
      <c r="P29" s="321"/>
      <c r="Q29" s="321"/>
      <c r="R29" s="321"/>
      <c r="S29" s="321"/>
      <c r="T29" s="321"/>
    </row>
    <row r="30" spans="1:20" s="193" customFormat="1" ht="12.75">
      <c r="A30" s="1494">
        <v>575</v>
      </c>
      <c r="B30" s="641" t="s">
        <v>116</v>
      </c>
      <c r="C30" s="115">
        <f>Drift!P82</f>
        <v>13847.020422071819</v>
      </c>
      <c r="D30" s="115">
        <f>Drift!V82</f>
        <v>152</v>
      </c>
      <c r="E30" s="57">
        <v>7</v>
      </c>
      <c r="F30" s="1531">
        <f t="shared" si="4"/>
        <v>13688.020422071819</v>
      </c>
      <c r="G30" s="1521">
        <f>IF(C30&gt;0,F30*1000/K30,"")</f>
        <v>1404.3316325096766</v>
      </c>
      <c r="H30" s="1521">
        <v>325</v>
      </c>
      <c r="I30" s="2100">
        <f t="shared" si="5"/>
        <v>3.321020407722082</v>
      </c>
      <c r="J30" s="2084"/>
      <c r="K30" s="2078">
        <v>9747</v>
      </c>
      <c r="L30" s="1537"/>
      <c r="M30" s="230"/>
      <c r="N30" s="2161"/>
      <c r="O30" s="2161"/>
      <c r="P30" s="2161"/>
      <c r="Q30" s="321"/>
      <c r="R30" s="321"/>
      <c r="S30" s="321"/>
      <c r="T30" s="321"/>
    </row>
    <row r="31" spans="1:20" s="193" customFormat="1" ht="13.5" thickBot="1">
      <c r="A31" s="1500">
        <v>580</v>
      </c>
      <c r="B31" s="618" t="s">
        <v>190</v>
      </c>
      <c r="C31" s="96">
        <f>C12+C21+C29+C30</f>
        <v>41399.764300150404</v>
      </c>
      <c r="D31" s="96">
        <f>D12+D21+D29+D30</f>
        <v>1574</v>
      </c>
      <c r="E31" s="96">
        <f>E12+E21+E29+E30</f>
        <v>280</v>
      </c>
      <c r="F31" s="1535">
        <f t="shared" si="4"/>
        <v>39545.764300150404</v>
      </c>
      <c r="G31" s="1536">
        <f>IF(C31&gt;0,F31*1000/K30,"")</f>
        <v>4057.2242023340928</v>
      </c>
      <c r="H31" s="1536">
        <v>970</v>
      </c>
      <c r="I31" s="2103">
        <f t="shared" si="5"/>
        <v>3.1827053632310234</v>
      </c>
      <c r="J31" s="2085"/>
      <c r="K31" s="2081"/>
      <c r="L31" s="2082"/>
      <c r="M31" s="230"/>
      <c r="N31" s="2161"/>
      <c r="O31" s="2161"/>
      <c r="P31" s="2161"/>
      <c r="Q31" s="321"/>
      <c r="R31" s="321"/>
      <c r="S31" s="321"/>
      <c r="T31" s="321"/>
    </row>
    <row r="32" spans="1:20" s="193" customFormat="1" ht="12.75">
      <c r="A32" s="1495">
        <v>585</v>
      </c>
      <c r="B32" s="662" t="s">
        <v>548</v>
      </c>
      <c r="C32" s="115">
        <f>Drift!P84</f>
        <v>807.8484795074262</v>
      </c>
      <c r="D32" s="115">
        <f>Drift!V84</f>
        <v>23</v>
      </c>
      <c r="E32" s="370">
        <f>SUM(E33:E34)</f>
        <v>41</v>
      </c>
      <c r="F32" s="1531">
        <f t="shared" si="4"/>
        <v>743.8484795074262</v>
      </c>
      <c r="G32" s="1521">
        <f>IF(C32&gt;0,F32*1000/K32,"")</f>
        <v>374.7347503815749</v>
      </c>
      <c r="H32" s="1521">
        <v>105</v>
      </c>
      <c r="I32" s="2102">
        <f t="shared" si="5"/>
        <v>2.5689023845864276</v>
      </c>
      <c r="J32" s="2086"/>
      <c r="K32" s="2078">
        <v>1985</v>
      </c>
      <c r="L32" s="1537"/>
      <c r="M32" s="230"/>
      <c r="N32" s="329"/>
      <c r="O32" s="321"/>
      <c r="P32" s="321"/>
      <c r="Q32" s="321"/>
      <c r="R32" s="321"/>
      <c r="S32" s="321"/>
      <c r="T32" s="321"/>
    </row>
    <row r="33" spans="1:20" s="193" customFormat="1" ht="12.75">
      <c r="A33" s="1494">
        <v>5851</v>
      </c>
      <c r="B33" s="641" t="s">
        <v>188</v>
      </c>
      <c r="C33" s="57">
        <v>549</v>
      </c>
      <c r="D33" s="57">
        <v>15</v>
      </c>
      <c r="E33" s="57">
        <v>16</v>
      </c>
      <c r="F33" s="1531">
        <f t="shared" si="4"/>
        <v>518</v>
      </c>
      <c r="G33" s="1521">
        <f>IF(C33&gt;0,F33*1000/K33,"")</f>
        <v>260.9571788413098</v>
      </c>
      <c r="H33" s="1521">
        <v>66</v>
      </c>
      <c r="I33" s="2100">
        <f t="shared" si="5"/>
        <v>2.953896649110755</v>
      </c>
      <c r="J33" s="2084"/>
      <c r="K33" s="2078">
        <f>K32</f>
        <v>1985</v>
      </c>
      <c r="L33" s="1537"/>
      <c r="M33" s="230"/>
      <c r="N33" s="2302"/>
      <c r="O33" s="2161"/>
      <c r="P33" s="2161"/>
      <c r="Q33" s="321"/>
      <c r="R33" s="321"/>
      <c r="S33" s="321"/>
      <c r="T33" s="321"/>
    </row>
    <row r="34" spans="1:20" s="193" customFormat="1" ht="12.75">
      <c r="A34" s="1494">
        <v>5855</v>
      </c>
      <c r="B34" s="641" t="s">
        <v>189</v>
      </c>
      <c r="C34" s="57">
        <v>259</v>
      </c>
      <c r="D34" s="57">
        <v>8</v>
      </c>
      <c r="E34" s="57">
        <v>25</v>
      </c>
      <c r="F34" s="1531">
        <f t="shared" si="4"/>
        <v>226</v>
      </c>
      <c r="G34" s="1521">
        <f>IF(C34&gt;0,F34*1000/K34,"")</f>
        <v>35.049627791563275</v>
      </c>
      <c r="H34" s="1521">
        <v>11</v>
      </c>
      <c r="I34" s="2100">
        <f t="shared" si="5"/>
        <v>2.186329799233025</v>
      </c>
      <c r="J34" s="2084"/>
      <c r="K34" s="2078">
        <v>6448</v>
      </c>
      <c r="L34" s="1537"/>
      <c r="M34" s="230"/>
      <c r="N34" s="2161"/>
      <c r="O34" s="2161"/>
      <c r="P34" s="2161"/>
      <c r="Q34" s="321"/>
      <c r="R34" s="321"/>
      <c r="S34" s="321"/>
      <c r="T34" s="321"/>
    </row>
    <row r="35" spans="1:20" s="193" customFormat="1" ht="12.75">
      <c r="A35" s="1501">
        <v>58599</v>
      </c>
      <c r="B35" s="903" t="s">
        <v>575</v>
      </c>
      <c r="C35" s="370">
        <f>SUM(C33:C34)</f>
        <v>808</v>
      </c>
      <c r="D35" s="370">
        <f>SUM(D33:D34)</f>
        <v>23</v>
      </c>
      <c r="E35" s="370">
        <f>SUM(E33:E34)</f>
        <v>41</v>
      </c>
      <c r="F35" s="1538"/>
      <c r="G35" s="1539"/>
      <c r="H35" s="1539"/>
      <c r="I35" s="2100"/>
      <c r="J35" s="2083"/>
      <c r="K35" s="2078"/>
      <c r="L35" s="1540"/>
      <c r="M35" s="230"/>
      <c r="N35" s="2161"/>
      <c r="O35" s="2161"/>
      <c r="P35" s="2161"/>
      <c r="Q35" s="250"/>
      <c r="R35" s="250"/>
      <c r="S35" s="250"/>
      <c r="T35" s="250"/>
    </row>
    <row r="36" spans="1:20" s="193" customFormat="1" ht="13.5" thickBot="1">
      <c r="A36" s="1317"/>
      <c r="B36" s="1502"/>
      <c r="C36" s="1542"/>
      <c r="D36" s="1542"/>
      <c r="E36" s="1542"/>
      <c r="F36" s="1541"/>
      <c r="G36" s="1542"/>
      <c r="H36" s="1542"/>
      <c r="I36" s="2103"/>
      <c r="J36" s="2085"/>
      <c r="K36" s="1530"/>
      <c r="L36" s="1543"/>
      <c r="M36" s="230"/>
      <c r="N36" s="2161"/>
      <c r="O36" s="2161"/>
      <c r="P36" s="2161"/>
      <c r="Q36" s="250"/>
      <c r="R36" s="250"/>
      <c r="S36" s="250"/>
      <c r="T36" s="250"/>
    </row>
    <row r="37" spans="1:14" s="193" customFormat="1" ht="12.75">
      <c r="A37" s="104"/>
      <c r="B37" s="104"/>
      <c r="C37" s="88"/>
      <c r="D37" s="88"/>
      <c r="E37" s="1606">
        <f>IF(ABS(SUM(E29:E30,E32)-(SUM(Motpart!Y35:Z35)))&gt;20,"Kontrollera diff  försäljning av verksamhet "&amp;SUM(E29:E30,E32)-SUM(Motpart!Y35:Z35)&amp;" tkr","")</f>
      </c>
      <c r="F37" s="330"/>
      <c r="G37" s="230"/>
      <c r="H37" s="330"/>
      <c r="I37" s="330"/>
      <c r="J37" s="330"/>
      <c r="K37" s="230"/>
      <c r="L37" s="230"/>
      <c r="M37" s="230"/>
      <c r="N37" s="230"/>
    </row>
    <row r="38" spans="1:5" ht="20.25" customHeight="1">
      <c r="A38" s="300"/>
      <c r="D38" s="88"/>
      <c r="E38" s="88"/>
    </row>
  </sheetData>
  <sheetProtection/>
  <mergeCells count="7">
    <mergeCell ref="N33:P36"/>
    <mergeCell ref="E6:E8"/>
    <mergeCell ref="D6:D8"/>
    <mergeCell ref="N13:P16"/>
    <mergeCell ref="N22:P25"/>
    <mergeCell ref="N30:P31"/>
    <mergeCell ref="F6:F8"/>
  </mergeCells>
  <conditionalFormatting sqref="C13:D17 E14:E17 C22:D25 E23:E25 E29:E30 C33:E34">
    <cfRule type="cellIs" priority="1" dxfId="1" operator="lessThan" stopIfTrue="1">
      <formula>-500</formula>
    </cfRule>
    <cfRule type="cellIs" priority="2" dxfId="0" operator="lessThan" stopIfTrue="1">
      <formula>0</formula>
    </cfRule>
  </conditionalFormatting>
  <dataValidations count="1">
    <dataValidation type="decimal" operator="lessThan" allowBlank="1" showInputMessage="1" showErrorMessage="1" error="Beloppet ska vara i 1000 tal kronor" sqref="C13:D17 E14:E17 E23:E25 C22:D25 E29:E30 C33:E34">
      <formula1>99999999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9" r:id="rId2"/>
  <headerFooter>
    <oddHeader>&amp;L&amp;8Statistiska Centralbyrån
Offentlig ekonomi&amp;R&amp;P</oddHeader>
  </headerFooter>
  <ignoredErrors>
    <ignoredError sqref="G31" formula="1"/>
    <ignoredError sqref="C18:E18 C26:E26 E37" formulaRange="1"/>
    <ignoredError sqref="C13 C22:D24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26.140625" style="0" bestFit="1" customWidth="1"/>
    <col min="2" max="2" width="29.8515625" style="0" bestFit="1" customWidth="1"/>
  </cols>
  <sheetData>
    <row r="1" spans="1:2" ht="12.75">
      <c r="A1" t="str">
        <f>Drift!$X$120</f>
        <v>Belopp saknas</v>
      </c>
      <c r="B1" t="s">
        <v>1015</v>
      </c>
    </row>
    <row r="2" spans="1:2" ht="12.75">
      <c r="A2" s="366">
        <f>'Verks int o kostn'!$D$76</f>
      </c>
      <c r="B2" t="s">
        <v>1016</v>
      </c>
    </row>
    <row r="3" spans="1:2" ht="12.75">
      <c r="A3">
        <f>RR!$E$7</f>
        <v>0</v>
      </c>
      <c r="B3" t="s">
        <v>1017</v>
      </c>
    </row>
    <row r="4" spans="1:2" ht="12.75">
      <c r="A4">
        <f>'BR'!$F$78</f>
        <v>0</v>
      </c>
      <c r="B4" t="s">
        <v>1018</v>
      </c>
    </row>
    <row r="5" spans="1:2" ht="12.75">
      <c r="A5">
        <f>'BR'!$F$60</f>
        <v>0</v>
      </c>
      <c r="B5" t="s">
        <v>1019</v>
      </c>
    </row>
    <row r="6" spans="1:2" ht="12.75">
      <c r="A6">
        <f>'Verks int o kostn'!$E$20</f>
        <v>0</v>
      </c>
      <c r="B6" t="s">
        <v>1020</v>
      </c>
    </row>
    <row r="7" spans="1:2" ht="12.75">
      <c r="A7">
        <f>'Verks int o kostn'!$E$21</f>
        <v>0</v>
      </c>
      <c r="B7" t="s">
        <v>1021</v>
      </c>
    </row>
    <row r="8" spans="1:2" ht="12.75">
      <c r="A8" t="str">
        <f>'Verks int o kostn'!$J$23</f>
        <v>Belopp saknas</v>
      </c>
      <c r="B8" t="s">
        <v>1022</v>
      </c>
    </row>
    <row r="9" spans="1:2" ht="12.75">
      <c r="A9" s="366">
        <f>'Verks int o kostn'!$J$45</f>
        <v>0</v>
      </c>
      <c r="B9" t="s">
        <v>1023</v>
      </c>
    </row>
    <row r="10" spans="1:2" ht="12.75">
      <c r="A10" t="str">
        <f>'Verks int o kostn'!$J$23</f>
        <v>Belopp saknas</v>
      </c>
      <c r="B10" t="s">
        <v>1022</v>
      </c>
    </row>
    <row r="11" spans="1:2" ht="12.75">
      <c r="A11">
        <f>'Verks int o kostn'!$J$41</f>
        <v>0</v>
      </c>
      <c r="B11" t="s">
        <v>1024</v>
      </c>
    </row>
    <row r="12" spans="1:2" ht="12.75">
      <c r="A12" s="366">
        <f>'Verks int o kostn'!$J$45</f>
        <v>0</v>
      </c>
      <c r="B12" t="s">
        <v>1023</v>
      </c>
    </row>
    <row r="13" spans="1:2" ht="12.75">
      <c r="A13">
        <f>'Skatter, bidrag o fin poster'!$E$11</f>
      </c>
      <c r="B13" t="s">
        <v>1025</v>
      </c>
    </row>
    <row r="14" spans="1:2" ht="12.75">
      <c r="A14">
        <f>'Skatter, bidrag o fin poster'!$P$23</f>
        <v>0</v>
      </c>
      <c r="B14" t="s">
        <v>1026</v>
      </c>
    </row>
    <row r="15" spans="1:2" ht="12.75">
      <c r="A15" s="366">
        <f>Investeringar!$C$16</f>
      </c>
      <c r="B15" t="s">
        <v>1027</v>
      </c>
    </row>
    <row r="16" spans="1:2" ht="12.75">
      <c r="A16" s="366">
        <f>Investeringar!$D$16</f>
      </c>
      <c r="B16" t="s">
        <v>1028</v>
      </c>
    </row>
    <row r="17" spans="1:2" ht="12.75">
      <c r="A17" s="366">
        <f>Investeringar!$E$16</f>
      </c>
      <c r="B17" t="s">
        <v>1029</v>
      </c>
    </row>
    <row r="18" spans="1:2" ht="12.75">
      <c r="A18">
        <f>Investeringar!$I$66</f>
        <v>0</v>
      </c>
      <c r="B18" t="s">
        <v>1030</v>
      </c>
    </row>
    <row r="19" spans="1:2" ht="12.75">
      <c r="A19" s="366">
        <f>Investeringar!$F$16</f>
      </c>
      <c r="B19" t="s">
        <v>1031</v>
      </c>
    </row>
    <row r="20" spans="1:2" ht="12.75">
      <c r="A20">
        <f>Drift!$AD$113</f>
        <v>0</v>
      </c>
      <c r="B20" t="s">
        <v>1032</v>
      </c>
    </row>
    <row r="21" spans="1:2" ht="12.75">
      <c r="A21">
        <f>Drift!$AD$116</f>
        <v>0</v>
      </c>
      <c r="B21" t="s">
        <v>1033</v>
      </c>
    </row>
    <row r="22" spans="1:2" ht="12.75">
      <c r="A22">
        <f>Drift!$N$114</f>
        <v>0</v>
      </c>
      <c r="B22" t="s">
        <v>1034</v>
      </c>
    </row>
    <row r="23" spans="1:2" ht="12.75">
      <c r="A23">
        <f>Drift!$P$125</f>
      </c>
      <c r="B23" t="s">
        <v>1035</v>
      </c>
    </row>
    <row r="24" spans="1:2" ht="12.75">
      <c r="A24">
        <f>Drift!$Q$122</f>
        <v>0</v>
      </c>
      <c r="B24" t="s">
        <v>1036</v>
      </c>
    </row>
    <row r="25" spans="1:2" ht="12.75">
      <c r="A25">
        <f>Drift!$W$123</f>
      </c>
      <c r="B25" t="s">
        <v>1037</v>
      </c>
    </row>
    <row r="26" spans="1:2" ht="12.75">
      <c r="A26">
        <f>Drift!$X$119</f>
        <v>0</v>
      </c>
      <c r="B26" t="s">
        <v>1038</v>
      </c>
    </row>
    <row r="27" spans="1:2" ht="12.75">
      <c r="A27">
        <f>Motpart!$M$41</f>
      </c>
      <c r="B27" t="s">
        <v>1039</v>
      </c>
    </row>
    <row r="28" spans="1:2" ht="12.75">
      <c r="A28">
        <f>Motpart!$U$43</f>
        <v>0</v>
      </c>
      <c r="B28" t="s">
        <v>1040</v>
      </c>
    </row>
    <row r="29" spans="1:2" ht="12.75">
      <c r="A29" s="366">
        <f>Motpart!$X$41</f>
      </c>
      <c r="B29" t="s">
        <v>1041</v>
      </c>
    </row>
    <row r="30" spans="1:2" ht="12.75">
      <c r="A30" s="366">
        <f>Motpart!$Y$43</f>
        <v>0</v>
      </c>
      <c r="B30" t="s">
        <v>1042</v>
      </c>
    </row>
    <row r="31" spans="1:2" ht="12.75">
      <c r="A31" s="366">
        <f>Motpart!$Z$43</f>
        <v>0</v>
      </c>
      <c r="B31" t="s">
        <v>1043</v>
      </c>
    </row>
    <row r="32" spans="1:2" ht="12.75">
      <c r="A32" s="366">
        <f>Motpart!$AA$43</f>
        <v>0</v>
      </c>
      <c r="B32" t="s">
        <v>1044</v>
      </c>
    </row>
    <row r="33" spans="1:2" ht="12.75">
      <c r="A33" s="366">
        <f>Motpart!$AB$43</f>
        <v>0</v>
      </c>
      <c r="B33" t="s">
        <v>1045</v>
      </c>
    </row>
    <row r="34" spans="1:2" ht="12.75">
      <c r="A34" s="366">
        <f>Motpart!$AC$43</f>
        <v>0</v>
      </c>
      <c r="B34" t="s">
        <v>1046</v>
      </c>
    </row>
    <row r="35" spans="1:2" ht="12.75">
      <c r="A35" t="e">
        <f>Motpart!#REF!</f>
        <v>#REF!</v>
      </c>
      <c r="B35" t="s">
        <v>1047</v>
      </c>
    </row>
    <row r="36" spans="1:2" ht="12.75">
      <c r="A36" t="e">
        <f>Motpart!#REF!</f>
        <v>#REF!</v>
      </c>
      <c r="B36" t="s">
        <v>1048</v>
      </c>
    </row>
    <row r="37" spans="1:2" ht="12.75">
      <c r="A37">
        <f>'Pedagogisk verksamhet'!$P$43</f>
        <v>0</v>
      </c>
      <c r="B37" t="s">
        <v>1049</v>
      </c>
    </row>
    <row r="38" spans="1:2" ht="12.75">
      <c r="A38">
        <f>'Pedagogisk verksamhet'!$P$53</f>
        <v>0</v>
      </c>
      <c r="B38" t="s">
        <v>1050</v>
      </c>
    </row>
    <row r="39" spans="1:2" ht="12.75">
      <c r="A39">
        <f>'Pedagogisk verksamhet'!$P$67</f>
        <v>0</v>
      </c>
      <c r="B39" t="s">
        <v>1052</v>
      </c>
    </row>
    <row r="40" spans="1:2" ht="12.75">
      <c r="A40" s="366" t="e">
        <f>#REF!</f>
        <v>#REF!</v>
      </c>
      <c r="B40" t="s">
        <v>1051</v>
      </c>
    </row>
    <row r="41" spans="1:2" ht="12.75">
      <c r="A41" s="366" t="e">
        <f>#REF!</f>
        <v>#REF!</v>
      </c>
      <c r="B41" t="s">
        <v>1053</v>
      </c>
    </row>
    <row r="42" spans="1:2" ht="12.75">
      <c r="A42" s="366" t="e">
        <f>#REF!</f>
        <v>#REF!</v>
      </c>
      <c r="B42" t="s">
        <v>1054</v>
      </c>
    </row>
    <row r="43" spans="1:2" ht="12.75">
      <c r="A43" s="366" t="e">
        <f>#REF!</f>
        <v>#REF!</v>
      </c>
      <c r="B43" t="s">
        <v>1055</v>
      </c>
    </row>
    <row r="44" spans="1:2" ht="12.75">
      <c r="A44" s="366" t="e">
        <f>#REF!</f>
        <v>#REF!</v>
      </c>
      <c r="B44" t="s">
        <v>1056</v>
      </c>
    </row>
    <row r="45" spans="1:2" ht="12.75">
      <c r="A45" s="366" t="e">
        <f>#REF!</f>
        <v>#REF!</v>
      </c>
      <c r="B45" t="s">
        <v>1057</v>
      </c>
    </row>
    <row r="46" spans="1:2" ht="12.75">
      <c r="A46" s="366" t="e">
        <f>#REF!</f>
        <v>#REF!</v>
      </c>
      <c r="B46" t="s">
        <v>1058</v>
      </c>
    </row>
    <row r="47" spans="1:2" ht="12.75">
      <c r="A47" s="366" t="e">
        <f>#REF!</f>
        <v>#REF!</v>
      </c>
      <c r="B47" t="s">
        <v>1059</v>
      </c>
    </row>
    <row r="48" spans="1:2" ht="12.75">
      <c r="A48" s="366" t="e">
        <f>#REF!</f>
        <v>#REF!</v>
      </c>
      <c r="B48" t="s">
        <v>1060</v>
      </c>
    </row>
    <row r="49" spans="1:2" ht="12.75">
      <c r="A49" s="366" t="e">
        <f>#REF!</f>
        <v>#REF!</v>
      </c>
      <c r="B49" t="s">
        <v>1061</v>
      </c>
    </row>
    <row r="50" spans="1:2" ht="12.75">
      <c r="A50" s="366" t="e">
        <f>#REF!</f>
        <v>#REF!</v>
      </c>
      <c r="B50" t="s">
        <v>1062</v>
      </c>
    </row>
    <row r="51" spans="1:2" ht="12.75">
      <c r="A51" s="366" t="e">
        <f>#REF!</f>
        <v>#REF!</v>
      </c>
      <c r="B51" t="s">
        <v>1063</v>
      </c>
    </row>
    <row r="52" spans="1:2" ht="12.75">
      <c r="A52" s="366" t="e">
        <f>#REF!</f>
        <v>#REF!</v>
      </c>
      <c r="B52" t="s">
        <v>1064</v>
      </c>
    </row>
    <row r="53" spans="1:2" ht="12.75">
      <c r="A53" s="366" t="e">
        <f>#REF!</f>
        <v>#REF!</v>
      </c>
      <c r="B53" t="s">
        <v>1065</v>
      </c>
    </row>
    <row r="54" spans="1:2" ht="12.75">
      <c r="A54" s="366">
        <f>'Äldre o personer funktionsn'!$N$20</f>
        <v>0</v>
      </c>
      <c r="B54" t="s">
        <v>1066</v>
      </c>
    </row>
    <row r="55" spans="1:2" ht="12.75">
      <c r="A55" s="366">
        <f>'Äldre o personer funktionsn'!$N$29</f>
        <v>0</v>
      </c>
      <c r="B55" t="s">
        <v>1067</v>
      </c>
    </row>
    <row r="56" spans="1:2" ht="12.75">
      <c r="A56" s="366">
        <f>'Äldre o personer funktionsn'!$N$37</f>
        <v>0</v>
      </c>
      <c r="B56" t="s">
        <v>1068</v>
      </c>
    </row>
    <row r="57" spans="1:2" ht="12.75">
      <c r="A57">
        <f>'Äldre o personer funktionsn'!$D$59</f>
      </c>
      <c r="B57" t="s">
        <v>1069</v>
      </c>
    </row>
    <row r="58" spans="1:2" ht="12.75">
      <c r="A58" s="366">
        <f>IFO!$J$30</f>
        <v>0</v>
      </c>
      <c r="B58" t="s">
        <v>1070</v>
      </c>
    </row>
    <row r="59" spans="1:2" ht="12.75">
      <c r="A59" s="366">
        <f>IFO!$J$20</f>
        <v>0</v>
      </c>
      <c r="B59" t="s">
        <v>1071</v>
      </c>
    </row>
    <row r="60" spans="1:2" ht="12.75">
      <c r="A60" s="366">
        <f>IFO!$J$28</f>
        <v>0</v>
      </c>
      <c r="B60" t="s">
        <v>1072</v>
      </c>
    </row>
    <row r="61" spans="1:2" ht="12.75">
      <c r="A61" s="366">
        <f>IFO!$J$36</f>
        <v>0</v>
      </c>
      <c r="B61" t="s">
        <v>1073</v>
      </c>
    </row>
  </sheetData>
  <sheetProtection password="CBFD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3"/>
  <sheetViews>
    <sheetView showGridLines="0" zoomScalePageLayoutView="0" workbookViewId="0" topLeftCell="A1">
      <pane ySplit="1" topLeftCell="A2" activePane="bottomLeft" state="frozen"/>
      <selection pane="topLeft" activeCell="F32" sqref="F32"/>
      <selection pane="bottomLeft" activeCell="A2" sqref="A2"/>
    </sheetView>
  </sheetViews>
  <sheetFormatPr defaultColWidth="0" defaultRowHeight="12.75" zeroHeight="1"/>
  <cols>
    <col min="1" max="1" width="4.00390625" style="192" customWidth="1"/>
    <col min="2" max="2" width="33.140625" style="192" customWidth="1"/>
    <col min="3" max="3" width="11.57421875" style="192" customWidth="1"/>
    <col min="4" max="4" width="11.7109375" style="192" customWidth="1"/>
    <col min="5" max="5" width="4.00390625" style="192" customWidth="1"/>
    <col min="6" max="6" width="5.7109375" style="192" customWidth="1"/>
    <col min="7" max="7" width="24.00390625" style="192" customWidth="1"/>
    <col min="8" max="8" width="15.00390625" style="192" customWidth="1"/>
    <col min="9" max="10" width="9.140625" style="192" customWidth="1"/>
    <col min="11" max="11" width="10.140625" style="192" customWidth="1"/>
    <col min="12" max="12" width="0" style="192" hidden="1" customWidth="1"/>
    <col min="13" max="16384" width="9.140625" style="192" hidden="1" customWidth="1"/>
  </cols>
  <sheetData>
    <row r="1" spans="1:11" ht="21.75">
      <c r="A1" s="93" t="str">
        <f>"Resultaträkning "&amp;År&amp;", miljoner kr"</f>
        <v>Resultaträkning 2014, miljoner kr</v>
      </c>
      <c r="B1" s="94"/>
      <c r="C1" s="94"/>
      <c r="D1" s="94"/>
      <c r="E1" s="94"/>
      <c r="F1" s="586" t="s">
        <v>502</v>
      </c>
      <c r="G1" s="587" t="str">
        <f>'Kn Information'!B2</f>
        <v>RIKSTOTAL</v>
      </c>
      <c r="H1" s="191"/>
      <c r="I1" s="191"/>
      <c r="J1" s="191"/>
      <c r="K1" s="191"/>
    </row>
    <row r="2" spans="1:9" ht="12.75" customHeight="1">
      <c r="A2" s="1546"/>
      <c r="C2" s="1935"/>
      <c r="D2" s="166"/>
      <c r="G2" s="1936"/>
      <c r="H2" s="1660"/>
      <c r="I2" s="166"/>
    </row>
    <row r="3" spans="3:9" ht="12.75" customHeight="1" thickBot="1">
      <c r="C3" s="1935"/>
      <c r="D3" s="166"/>
      <c r="H3" s="1660"/>
      <c r="I3" s="166"/>
    </row>
    <row r="4" spans="1:11" ht="12.75" customHeight="1">
      <c r="A4" s="687" t="s">
        <v>695</v>
      </c>
      <c r="B4" s="688"/>
      <c r="C4" s="1952" t="s">
        <v>697</v>
      </c>
      <c r="D4" s="699" t="s">
        <v>829</v>
      </c>
      <c r="G4" s="4"/>
      <c r="H4" s="4"/>
      <c r="I4" s="2167" t="s">
        <v>507</v>
      </c>
      <c r="J4" s="2168"/>
      <c r="K4" s="193"/>
    </row>
    <row r="5" spans="1:11" ht="12.75" customHeight="1">
      <c r="A5" s="689" t="s">
        <v>698</v>
      </c>
      <c r="B5" s="690"/>
      <c r="C5" s="700"/>
      <c r="D5" s="701"/>
      <c r="E5" s="2"/>
      <c r="F5" s="4"/>
      <c r="G5" s="4"/>
      <c r="H5" s="4"/>
      <c r="I5" s="704" t="s">
        <v>697</v>
      </c>
      <c r="J5" s="705" t="s">
        <v>829</v>
      </c>
      <c r="K5" s="193"/>
    </row>
    <row r="6" spans="1:11" ht="12.75" customHeight="1">
      <c r="A6" s="689"/>
      <c r="B6" s="691"/>
      <c r="C6" s="690"/>
      <c r="D6" s="702"/>
      <c r="E6" s="2"/>
      <c r="F6" s="4"/>
      <c r="G6" s="4"/>
      <c r="H6" s="4"/>
      <c r="I6" s="706"/>
      <c r="J6" s="707"/>
      <c r="K6" s="193"/>
    </row>
    <row r="7" spans="1:11" ht="12.75">
      <c r="A7" s="672" t="s">
        <v>312</v>
      </c>
      <c r="B7" s="692" t="s">
        <v>850</v>
      </c>
      <c r="C7" s="197">
        <v>127601</v>
      </c>
      <c r="D7" s="198">
        <v>263180</v>
      </c>
      <c r="E7" s="202"/>
      <c r="F7" s="78"/>
      <c r="G7" s="78"/>
      <c r="H7" s="4"/>
      <c r="I7" s="708">
        <f>C7*1000000/invanare</f>
        <v>13090.833359408784</v>
      </c>
      <c r="J7" s="709">
        <f>D7*1000000/invanare</f>
        <v>27000.14516758649</v>
      </c>
      <c r="K7" s="193"/>
    </row>
    <row r="8" spans="1:11" ht="12.75">
      <c r="A8" s="670" t="s">
        <v>313</v>
      </c>
      <c r="B8" s="692" t="s">
        <v>851</v>
      </c>
      <c r="C8" s="197">
        <v>572832</v>
      </c>
      <c r="D8" s="198">
        <v>657539</v>
      </c>
      <c r="E8" s="202"/>
      <c r="F8" s="78"/>
      <c r="G8" s="78"/>
      <c r="H8" s="4"/>
      <c r="I8" s="710">
        <f>C8*1000000/invanare*-1</f>
        <v>-58767.942688042036</v>
      </c>
      <c r="J8" s="709">
        <f>D8*1000000/invanare*-1</f>
        <v>-67458.19763412741</v>
      </c>
      <c r="K8" s="193"/>
    </row>
    <row r="9" spans="1:11" ht="12.75">
      <c r="A9" s="670" t="s">
        <v>314</v>
      </c>
      <c r="B9" s="692" t="s">
        <v>699</v>
      </c>
      <c r="C9" s="74">
        <v>19341</v>
      </c>
      <c r="D9" s="199">
        <v>44940</v>
      </c>
      <c r="E9" s="202"/>
      <c r="F9" s="78"/>
      <c r="G9" s="78"/>
      <c r="H9" s="4"/>
      <c r="I9" s="708">
        <f>C9*1000000/invanare*-1</f>
        <v>-1984.2305938380207</v>
      </c>
      <c r="J9" s="709">
        <f>D9*1000000/invanare*-1</f>
        <v>-4610.48151011223</v>
      </c>
      <c r="K9" s="193"/>
    </row>
    <row r="10" spans="1:11" ht="13.5" thickBot="1">
      <c r="A10" s="663" t="s">
        <v>315</v>
      </c>
      <c r="B10" s="693" t="s">
        <v>700</v>
      </c>
      <c r="C10" s="394">
        <f>C7-SUM(C8:C9)</f>
        <v>-464572</v>
      </c>
      <c r="D10" s="395">
        <f>D7-SUM(D8:D9)</f>
        <v>-439299</v>
      </c>
      <c r="E10" s="203"/>
      <c r="F10" s="78"/>
      <c r="G10" s="78"/>
      <c r="H10" s="4"/>
      <c r="I10" s="711">
        <f aca="true" t="shared" si="0" ref="I10:J12">C10*1000000/invanare</f>
        <v>-47661.33992247128</v>
      </c>
      <c r="J10" s="709">
        <f t="shared" si="0"/>
        <v>-45068.533976653154</v>
      </c>
      <c r="K10" s="193"/>
    </row>
    <row r="11" spans="1:11" ht="12.75">
      <c r="A11" s="694" t="s">
        <v>316</v>
      </c>
      <c r="B11" s="695" t="s">
        <v>701</v>
      </c>
      <c r="C11" s="114">
        <f>'Skatter, bidrag o fin poster'!D14</f>
        <v>390471</v>
      </c>
      <c r="D11" s="1544">
        <f>C11</f>
        <v>390471</v>
      </c>
      <c r="E11" s="203"/>
      <c r="F11" s="78"/>
      <c r="G11" s="78"/>
      <c r="H11" s="4"/>
      <c r="I11" s="712">
        <f t="shared" si="0"/>
        <v>40059.17502748181</v>
      </c>
      <c r="J11" s="713">
        <f t="shared" si="0"/>
        <v>40059.17502748181</v>
      </c>
      <c r="K11" s="193"/>
    </row>
    <row r="12" spans="1:11" ht="18">
      <c r="A12" s="670" t="s">
        <v>317</v>
      </c>
      <c r="B12" s="696" t="s">
        <v>227</v>
      </c>
      <c r="C12" s="115">
        <f>'Skatter, bidrag o fin poster'!D28-'Skatter, bidrag o fin poster'!D39+'Skatter, bidrag o fin poster'!D41</f>
        <v>80095</v>
      </c>
      <c r="D12" s="1545">
        <f>C12</f>
        <v>80095</v>
      </c>
      <c r="E12" s="203"/>
      <c r="F12" s="78"/>
      <c r="G12" s="78"/>
      <c r="H12" s="4"/>
      <c r="I12" s="708">
        <f t="shared" si="0"/>
        <v>8217.100946872253</v>
      </c>
      <c r="J12" s="714">
        <f t="shared" si="0"/>
        <v>8217.100946872253</v>
      </c>
      <c r="K12" s="193"/>
    </row>
    <row r="13" spans="1:11" ht="12.75">
      <c r="A13" s="672" t="s">
        <v>318</v>
      </c>
      <c r="B13" s="697" t="s">
        <v>702</v>
      </c>
      <c r="C13" s="197">
        <v>12261</v>
      </c>
      <c r="D13" s="198">
        <v>5078</v>
      </c>
      <c r="E13" s="202"/>
      <c r="F13" s="91"/>
      <c r="G13" s="78"/>
      <c r="H13" s="4"/>
      <c r="I13" s="2169">
        <f>(C13-C14)*1000000/invanare</f>
        <v>458.9963123329355</v>
      </c>
      <c r="J13" s="2171">
        <f>(D13-D14)*1000000/invanare</f>
        <v>-986.1136687850192</v>
      </c>
      <c r="K13" s="193"/>
    </row>
    <row r="14" spans="1:11" ht="12.75">
      <c r="A14" s="672" t="s">
        <v>319</v>
      </c>
      <c r="B14" s="697" t="s">
        <v>703</v>
      </c>
      <c r="C14" s="197">
        <v>7787</v>
      </c>
      <c r="D14" s="198">
        <v>14690</v>
      </c>
      <c r="E14" s="202"/>
      <c r="F14" s="91"/>
      <c r="G14" s="78"/>
      <c r="H14" s="4"/>
      <c r="I14" s="2170"/>
      <c r="J14" s="2172"/>
      <c r="K14" s="193"/>
    </row>
    <row r="15" spans="1:11" ht="13.5" thickBot="1">
      <c r="A15" s="616" t="s">
        <v>320</v>
      </c>
      <c r="B15" s="698" t="s">
        <v>704</v>
      </c>
      <c r="C15" s="394">
        <f>SUM(C10:C13)-C14</f>
        <v>10468</v>
      </c>
      <c r="D15" s="396">
        <f>SUM(D10:D13)-D14</f>
        <v>21655</v>
      </c>
      <c r="E15" s="203"/>
      <c r="G15" s="1927"/>
      <c r="H15" s="194"/>
      <c r="I15" s="708">
        <f>C15*1000000/invanare</f>
        <v>1073.9323642157283</v>
      </c>
      <c r="J15" s="715">
        <f>D15*1000000/invanare</f>
        <v>2221.6283289158955</v>
      </c>
      <c r="K15" s="193"/>
    </row>
    <row r="16" spans="1:11" ht="12.75">
      <c r="A16" s="694" t="s">
        <v>243</v>
      </c>
      <c r="B16" s="695" t="s">
        <v>705</v>
      </c>
      <c r="C16" s="197">
        <v>1538</v>
      </c>
      <c r="D16" s="198">
        <v>1211</v>
      </c>
      <c r="E16" s="201"/>
      <c r="F16" s="250"/>
      <c r="G16" s="2162"/>
      <c r="H16" s="194"/>
      <c r="I16" s="2169">
        <f>(C16-C17)*1000000/invanare</f>
        <v>-81.25281166018884</v>
      </c>
      <c r="J16" s="2171">
        <f>(D16-D17-D18)*1000000/invanare</f>
        <v>-366.1506121404217</v>
      </c>
      <c r="K16" s="193"/>
    </row>
    <row r="17" spans="1:11" ht="12.75">
      <c r="A17" s="672" t="s">
        <v>244</v>
      </c>
      <c r="B17" s="692" t="s">
        <v>706</v>
      </c>
      <c r="C17" s="197">
        <v>2330</v>
      </c>
      <c r="D17" s="198">
        <v>2640</v>
      </c>
      <c r="E17" s="201"/>
      <c r="F17" s="250"/>
      <c r="G17" s="2162"/>
      <c r="H17" s="194"/>
      <c r="I17" s="2170"/>
      <c r="J17" s="2172"/>
      <c r="K17" s="193"/>
    </row>
    <row r="18" spans="1:11" ht="12.75">
      <c r="A18" s="670" t="s">
        <v>321</v>
      </c>
      <c r="B18" s="697" t="s">
        <v>686</v>
      </c>
      <c r="C18" s="393"/>
      <c r="D18" s="199">
        <v>2140</v>
      </c>
      <c r="E18" s="202"/>
      <c r="F18" s="250"/>
      <c r="G18" s="2162"/>
      <c r="H18" s="194"/>
      <c r="I18" s="1953"/>
      <c r="J18" s="716"/>
      <c r="K18" s="193"/>
    </row>
    <row r="19" spans="1:11" ht="13.5" thickBot="1">
      <c r="A19" s="663" t="s">
        <v>245</v>
      </c>
      <c r="B19" s="693" t="s">
        <v>707</v>
      </c>
      <c r="C19" s="394">
        <f>SUM(C15:C16)-C17</f>
        <v>9676</v>
      </c>
      <c r="D19" s="396">
        <f>SUM(D15:D16)-D17-D18</f>
        <v>18086</v>
      </c>
      <c r="E19" s="203"/>
      <c r="F19" s="250"/>
      <c r="G19" s="2162"/>
      <c r="H19" s="194"/>
      <c r="I19" s="711">
        <f>C19*1000000/invanare</f>
        <v>992.6795525555394</v>
      </c>
      <c r="J19" s="717">
        <f>D19*1000000/invanare</f>
        <v>1855.477716775474</v>
      </c>
      <c r="K19" s="193"/>
    </row>
    <row r="20" spans="1:11" ht="15.75" customHeight="1" thickBot="1">
      <c r="A20" s="17"/>
      <c r="B20" s="3"/>
      <c r="C20" s="3"/>
      <c r="D20" s="3"/>
      <c r="E20" s="2"/>
      <c r="F20" s="195"/>
      <c r="G20" s="245"/>
      <c r="H20" s="194"/>
      <c r="I20" s="4"/>
      <c r="J20" s="4"/>
      <c r="K20" s="193"/>
    </row>
    <row r="21" spans="1:11" ht="18" customHeight="1" thickBot="1">
      <c r="A21" s="90" t="s">
        <v>161</v>
      </c>
      <c r="B21" s="4"/>
      <c r="C21" s="4"/>
      <c r="D21" s="4"/>
      <c r="E21" s="4"/>
      <c r="F21" s="194"/>
      <c r="G21" s="1927"/>
      <c r="H21" s="194"/>
      <c r="I21" s="1954" t="s">
        <v>507</v>
      </c>
      <c r="J21" s="196"/>
      <c r="K21" s="193"/>
    </row>
    <row r="22" spans="1:11" ht="12.75">
      <c r="A22" s="139">
        <v>130</v>
      </c>
      <c r="B22" s="1875" t="s">
        <v>162</v>
      </c>
      <c r="C22" s="397">
        <f>C19</f>
        <v>9676</v>
      </c>
      <c r="D22" s="4"/>
      <c r="E22" s="4"/>
      <c r="F22" s="194"/>
      <c r="G22" s="2161"/>
      <c r="H22" s="194"/>
      <c r="I22" s="1955">
        <f>C22*1000000/invanare</f>
        <v>992.6795525555394</v>
      </c>
      <c r="J22" s="194"/>
      <c r="K22" s="193"/>
    </row>
    <row r="23" spans="1:11" ht="12.75">
      <c r="A23" s="140">
        <v>131</v>
      </c>
      <c r="B23" s="703" t="s">
        <v>163</v>
      </c>
      <c r="C23" s="116">
        <v>5854</v>
      </c>
      <c r="D23" s="202"/>
      <c r="E23" s="4"/>
      <c r="F23" s="194"/>
      <c r="G23" s="2162"/>
      <c r="H23" s="194"/>
      <c r="I23" s="1956"/>
      <c r="J23" s="194"/>
      <c r="K23" s="193"/>
    </row>
    <row r="24" spans="1:11" ht="12.75">
      <c r="A24" s="140">
        <v>132</v>
      </c>
      <c r="B24" s="703" t="s">
        <v>164</v>
      </c>
      <c r="C24" s="116">
        <v>1419</v>
      </c>
      <c r="D24" s="202"/>
      <c r="E24" s="4"/>
      <c r="G24" s="2162"/>
      <c r="H24" s="194"/>
      <c r="I24" s="719"/>
      <c r="J24" s="194"/>
      <c r="K24" s="193"/>
    </row>
    <row r="25" spans="1:11" ht="12.75">
      <c r="A25" s="140">
        <v>135</v>
      </c>
      <c r="B25" s="703" t="s">
        <v>165</v>
      </c>
      <c r="C25" s="200">
        <v>73</v>
      </c>
      <c r="D25" s="202"/>
      <c r="E25" s="4"/>
      <c r="F25" s="194"/>
      <c r="G25" s="2162"/>
      <c r="H25" s="194"/>
      <c r="I25" s="1957"/>
      <c r="J25" s="194"/>
      <c r="K25" s="193"/>
    </row>
    <row r="26" spans="1:11" ht="16.5" customHeight="1">
      <c r="A26" s="140">
        <v>136</v>
      </c>
      <c r="B26" s="703" t="s">
        <v>166</v>
      </c>
      <c r="C26" s="200">
        <v>6</v>
      </c>
      <c r="D26" s="202"/>
      <c r="E26" s="4"/>
      <c r="F26" s="194"/>
      <c r="G26" s="239"/>
      <c r="H26" s="194"/>
      <c r="I26" s="719"/>
      <c r="J26" s="194"/>
      <c r="K26" s="193"/>
    </row>
    <row r="27" spans="1:11" ht="12.75" customHeight="1">
      <c r="A27" s="647">
        <v>140</v>
      </c>
      <c r="B27" s="697" t="s">
        <v>874</v>
      </c>
      <c r="C27" s="200">
        <v>7</v>
      </c>
      <c r="D27" s="202"/>
      <c r="E27" s="4"/>
      <c r="F27" s="194"/>
      <c r="H27" s="194"/>
      <c r="I27" s="719"/>
      <c r="J27" s="4"/>
      <c r="K27" s="193"/>
    </row>
    <row r="28" spans="1:11" ht="12.75" customHeight="1">
      <c r="A28" s="1814">
        <v>141</v>
      </c>
      <c r="B28" s="1611" t="s">
        <v>875</v>
      </c>
      <c r="C28" s="398">
        <f>C22-C23+C24+C25+C26-C27</f>
        <v>5313</v>
      </c>
      <c r="D28" s="202"/>
      <c r="E28" s="4"/>
      <c r="F28" s="4"/>
      <c r="G28" s="1568"/>
      <c r="H28" s="4"/>
      <c r="I28" s="719"/>
      <c r="J28" s="4"/>
      <c r="K28" s="193"/>
    </row>
    <row r="29" spans="1:11" ht="13.5" customHeight="1">
      <c r="A29" s="659">
        <v>142</v>
      </c>
      <c r="B29" s="692" t="s">
        <v>1157</v>
      </c>
      <c r="C29" s="200">
        <v>296</v>
      </c>
      <c r="D29" s="202"/>
      <c r="E29" s="4"/>
      <c r="F29" s="4"/>
      <c r="G29" s="1568"/>
      <c r="H29" s="4"/>
      <c r="I29" s="719"/>
      <c r="J29" s="4"/>
      <c r="K29" s="193"/>
    </row>
    <row r="30" spans="1:11" ht="12.75" customHeight="1">
      <c r="A30" s="647">
        <v>143</v>
      </c>
      <c r="B30" s="697" t="s">
        <v>1158</v>
      </c>
      <c r="C30" s="200">
        <v>167</v>
      </c>
      <c r="D30" s="202"/>
      <c r="E30" s="4"/>
      <c r="F30" s="4"/>
      <c r="G30" s="1568"/>
      <c r="H30" s="4"/>
      <c r="I30" s="719"/>
      <c r="J30" s="4"/>
      <c r="K30" s="193"/>
    </row>
    <row r="31" spans="1:11" ht="12.75" customHeight="1">
      <c r="A31" s="141">
        <v>133</v>
      </c>
      <c r="B31" s="1611" t="s">
        <v>1159</v>
      </c>
      <c r="C31" s="398">
        <f>C28-C29+C30</f>
        <v>5184</v>
      </c>
      <c r="D31" s="202"/>
      <c r="E31" s="4"/>
      <c r="F31" s="4"/>
      <c r="G31" s="1569"/>
      <c r="H31" s="4"/>
      <c r="I31" s="719">
        <f>C31*1000000/invanare</f>
        <v>531.8365854121452</v>
      </c>
      <c r="J31" s="4"/>
      <c r="K31" s="193"/>
    </row>
    <row r="32" spans="1:11" ht="12.75" customHeight="1">
      <c r="A32" s="1958">
        <v>144</v>
      </c>
      <c r="B32" s="1876" t="s">
        <v>1160</v>
      </c>
      <c r="C32" s="1877">
        <v>249</v>
      </c>
      <c r="D32" s="4"/>
      <c r="E32" s="4"/>
      <c r="F32" s="4"/>
      <c r="G32" s="1569"/>
      <c r="H32" s="4"/>
      <c r="I32" s="719"/>
      <c r="J32" s="4"/>
      <c r="K32" s="193"/>
    </row>
    <row r="33" spans="1:11" ht="12.75" customHeight="1">
      <c r="A33" s="647">
        <v>145</v>
      </c>
      <c r="B33" s="1878" t="s">
        <v>1161</v>
      </c>
      <c r="C33" s="200">
        <v>855</v>
      </c>
      <c r="D33" s="4"/>
      <c r="E33" s="4"/>
      <c r="F33" s="4"/>
      <c r="G33" s="1569"/>
      <c r="H33" s="4"/>
      <c r="I33" s="719"/>
      <c r="J33" s="4"/>
      <c r="K33" s="193"/>
    </row>
    <row r="34" spans="1:11" ht="13.5" customHeight="1" thickBot="1">
      <c r="A34" s="142">
        <v>146</v>
      </c>
      <c r="B34" s="1879" t="s">
        <v>1162</v>
      </c>
      <c r="C34" s="395">
        <f>C31-C32+C33</f>
        <v>5790</v>
      </c>
      <c r="D34" s="202"/>
      <c r="E34" s="4"/>
      <c r="F34" s="4"/>
      <c r="G34" s="1569"/>
      <c r="H34" s="4"/>
      <c r="I34" s="718">
        <f>C34*1000000/invanare</f>
        <v>594.0072973642593</v>
      </c>
      <c r="J34" s="4"/>
      <c r="K34" s="193"/>
    </row>
    <row r="35" spans="1:11" ht="24.75" customHeight="1" thickBot="1">
      <c r="A35" s="1959">
        <v>137</v>
      </c>
      <c r="B35" s="1881" t="s">
        <v>1163</v>
      </c>
      <c r="C35" s="1880">
        <v>149</v>
      </c>
      <c r="D35" s="1577"/>
      <c r="E35" s="4"/>
      <c r="F35" s="4"/>
      <c r="G35" s="1569"/>
      <c r="H35" s="4"/>
      <c r="I35" s="720"/>
      <c r="J35" s="4"/>
      <c r="K35" s="193"/>
    </row>
    <row r="36" spans="1:11" ht="12.75" customHeight="1" thickBot="1">
      <c r="A36" s="193"/>
      <c r="B36" s="193"/>
      <c r="C36" s="193"/>
      <c r="D36" s="4"/>
      <c r="E36" s="4"/>
      <c r="F36" s="4"/>
      <c r="G36" s="4"/>
      <c r="H36" s="4"/>
      <c r="I36" s="4"/>
      <c r="J36" s="4"/>
      <c r="K36" s="193"/>
    </row>
    <row r="37" spans="1:11" ht="21.75" customHeight="1">
      <c r="A37" s="193"/>
      <c r="B37" s="193"/>
      <c r="C37" s="193"/>
      <c r="D37" s="4"/>
      <c r="E37" s="4"/>
      <c r="F37" s="4"/>
      <c r="G37" s="721" t="s">
        <v>578</v>
      </c>
      <c r="H37" s="722"/>
      <c r="I37" s="2106"/>
      <c r="J37" s="2105"/>
      <c r="K37" s="193"/>
    </row>
    <row r="38" spans="1:11" ht="19.5" customHeight="1">
      <c r="A38" s="193"/>
      <c r="B38" s="193"/>
      <c r="C38" s="193"/>
      <c r="D38" s="4"/>
      <c r="E38" s="4"/>
      <c r="F38" s="193"/>
      <c r="G38" s="723"/>
      <c r="H38" s="724"/>
      <c r="I38" s="725" t="s">
        <v>697</v>
      </c>
      <c r="J38" s="726" t="s">
        <v>829</v>
      </c>
      <c r="K38" s="193"/>
    </row>
    <row r="39" spans="1:11" ht="23.25" customHeight="1">
      <c r="A39" s="4"/>
      <c r="B39" s="4"/>
      <c r="C39" s="4"/>
      <c r="D39" s="193"/>
      <c r="E39" s="193"/>
      <c r="F39" s="193"/>
      <c r="G39" s="2163" t="s">
        <v>596</v>
      </c>
      <c r="H39" s="2164"/>
      <c r="I39" s="708">
        <f>IF(ISERROR(C10*100/SUM(C11:C12)*-1),0,C10*100/SUM(C11:C12)*-1)</f>
        <v>98.72621481364995</v>
      </c>
      <c r="J39" s="727">
        <f>IF(ISERROR(D10*100/SUM(D11:D12)*-1),0,D10*100/SUM(D11:D12)*-1)</f>
        <v>93.35544854494375</v>
      </c>
      <c r="K39" s="193"/>
    </row>
    <row r="40" spans="1:11" ht="12.75" customHeight="1">
      <c r="A40" s="4"/>
      <c r="B40" s="4"/>
      <c r="C40" s="2104"/>
      <c r="D40" s="193"/>
      <c r="E40" s="193"/>
      <c r="F40" s="193"/>
      <c r="G40" s="728" t="s">
        <v>597</v>
      </c>
      <c r="H40" s="729"/>
      <c r="I40" s="710">
        <f>IF(ISERROR((C13-C14)*100/SUM(C11:C12)),0,(C13-C14)*100/SUM(C11:C12))</f>
        <v>0.9507699238789032</v>
      </c>
      <c r="J40" s="727">
        <f>IF(ISERROR((D13-D14)*100/SUM(D11:D12)),0,(D13-D14)*100/SUM(D11:D12))</f>
        <v>-2.042646515047836</v>
      </c>
      <c r="K40" s="193"/>
    </row>
    <row r="41" spans="1:11" ht="19.5" customHeight="1">
      <c r="A41" s="193"/>
      <c r="B41" s="193"/>
      <c r="C41" s="193"/>
      <c r="D41" s="193"/>
      <c r="E41" s="193"/>
      <c r="F41" s="193"/>
      <c r="G41" s="2165" t="s">
        <v>599</v>
      </c>
      <c r="H41" s="2166"/>
      <c r="I41" s="710">
        <f>IF(ISERROR(C15*100/SUM(C11:C12)),0,C15*100/SUM(C11:C12))</f>
        <v>2.2245551102289585</v>
      </c>
      <c r="J41" s="727">
        <f>IF(ISERROR(D15*100/SUM(D11:D12)),0,D15*100/SUM(D11:D12))</f>
        <v>4.601904940008415</v>
      </c>
      <c r="K41" s="193"/>
    </row>
    <row r="42" spans="1:11" ht="13.5" customHeight="1">
      <c r="A42" s="193"/>
      <c r="B42" s="193"/>
      <c r="C42" s="193"/>
      <c r="D42" s="193"/>
      <c r="E42" s="193"/>
      <c r="F42" s="193"/>
      <c r="G42" s="728" t="s">
        <v>838</v>
      </c>
      <c r="H42" s="729"/>
      <c r="I42" s="710">
        <f>IF(ISERROR(C19*100/SUM(C11:C12)),0,C19*100/SUM(C11:C12))</f>
        <v>2.0562471576782</v>
      </c>
      <c r="J42" s="727">
        <f>IF(ISERROR(D19*100/SUM(D11:D12)),0,D19*100/SUM(D11:D12))</f>
        <v>3.843456603324507</v>
      </c>
      <c r="K42" s="193"/>
    </row>
    <row r="43" spans="1:11" ht="14.25" customHeight="1">
      <c r="A43" s="193"/>
      <c r="B43" s="193"/>
      <c r="C43" s="193"/>
      <c r="D43" s="193"/>
      <c r="E43" s="193"/>
      <c r="F43" s="193"/>
      <c r="G43" s="730" t="s">
        <v>600</v>
      </c>
      <c r="H43" s="731"/>
      <c r="I43" s="710">
        <f>IF(C8&gt;0,C7*100/(C8+C9),0)</f>
        <v>21.547926028373464</v>
      </c>
      <c r="J43" s="727">
        <f>IF(D8&gt;0,D7*100/(D8+D9),0)</f>
        <v>37.46446512991847</v>
      </c>
      <c r="K43" s="193"/>
    </row>
    <row r="44" spans="2:11" ht="12.75" customHeight="1">
      <c r="B44" s="193"/>
      <c r="C44" s="193"/>
      <c r="D44" s="193"/>
      <c r="E44" s="193"/>
      <c r="F44" s="193"/>
      <c r="G44" s="730" t="s">
        <v>839</v>
      </c>
      <c r="H44" s="732"/>
      <c r="I44" s="710">
        <f>IF(ISERROR((Investeringar!C7+Investeringar!D7+Investeringar!E7-Investeringar!G66)*100/SUM(C11:C12)),0,(Investeringar!C7+Investeringar!D7+Investeringar!E7-Investeringar!G66)*100/SUM(C11:C12))</f>
        <v>13.244900821563819</v>
      </c>
      <c r="J44" s="733"/>
      <c r="K44" s="193"/>
    </row>
    <row r="45" spans="1:11" ht="12.75" customHeight="1">
      <c r="A45" s="193"/>
      <c r="B45" s="193"/>
      <c r="C45" s="193"/>
      <c r="D45" s="193"/>
      <c r="E45" s="193"/>
      <c r="F45" s="193"/>
      <c r="G45" s="730" t="s">
        <v>580</v>
      </c>
      <c r="H45" s="732"/>
      <c r="I45" s="710">
        <f>IF(ISERROR((Investeringar!C8+Investeringar!D8+Investeringar!E8)*100/SUM(C11:C12)*-1),0,(Investeringar!C8+Investeringar!D8+Investeringar!E8)*100/SUM(C11:C12)*-1)</f>
        <v>2.308496576463238</v>
      </c>
      <c r="J45" s="734"/>
      <c r="K45" s="193"/>
    </row>
    <row r="46" spans="1:11" ht="12.75" customHeight="1">
      <c r="A46" s="193"/>
      <c r="B46" s="193"/>
      <c r="C46" s="193"/>
      <c r="D46" s="193"/>
      <c r="E46" s="193"/>
      <c r="F46" s="193"/>
      <c r="G46" s="730" t="s">
        <v>581</v>
      </c>
      <c r="H46" s="732"/>
      <c r="I46" s="710">
        <f>IF(ISERROR((Investeringar!C66)/SUM(Investeringar!C8:E8)*-1),0,(Investeringar!C66)/SUM(Investeringar!C8:E8)*-1)</f>
        <v>4.4470220012887784</v>
      </c>
      <c r="J46" s="734"/>
      <c r="K46" s="193"/>
    </row>
    <row r="47" spans="1:11" ht="12.75" customHeight="1" thickBot="1">
      <c r="A47" s="193"/>
      <c r="B47" s="193"/>
      <c r="C47" s="193"/>
      <c r="D47" s="193"/>
      <c r="E47" s="193"/>
      <c r="F47" s="193"/>
      <c r="G47" s="735" t="s">
        <v>579</v>
      </c>
      <c r="H47" s="736"/>
      <c r="I47" s="737">
        <f>IF(ISERROR('BR'!D31*100/RR!C8),0,'BR'!D31*100/RR!C8)</f>
        <v>5.404027707949276</v>
      </c>
      <c r="J47" s="738"/>
      <c r="K47" s="193"/>
    </row>
    <row r="48" spans="1:11" ht="12.75" customHeight="1">
      <c r="A48" s="193"/>
      <c r="B48" s="193"/>
      <c r="C48" s="193"/>
      <c r="D48" s="193"/>
      <c r="E48" s="193"/>
      <c r="F48" s="193"/>
      <c r="G48" s="166"/>
      <c r="H48" s="1615"/>
      <c r="I48" s="1616"/>
      <c r="J48" s="1617"/>
      <c r="K48" s="230"/>
    </row>
    <row r="49" spans="1:11" ht="19.5" customHeight="1">
      <c r="A49" s="193"/>
      <c r="B49" s="193"/>
      <c r="C49" s="193"/>
      <c r="D49" s="193"/>
      <c r="E49" s="193"/>
      <c r="F49" s="193"/>
      <c r="G49" s="166"/>
      <c r="H49" s="1615"/>
      <c r="I49" s="1616"/>
      <c r="J49" s="1617"/>
      <c r="K49" s="230"/>
    </row>
    <row r="50" spans="1:11" ht="12.75">
      <c r="A50" s="193"/>
      <c r="B50" s="193"/>
      <c r="C50" s="193"/>
      <c r="D50" s="193"/>
      <c r="E50" s="193"/>
      <c r="F50" s="193"/>
      <c r="G50" s="166"/>
      <c r="H50" s="1615"/>
      <c r="I50" s="1616"/>
      <c r="J50" s="1617"/>
      <c r="K50" s="230"/>
    </row>
    <row r="51" spans="1:11" ht="12.75" hidden="1">
      <c r="A51" s="193"/>
      <c r="B51" s="193"/>
      <c r="C51" s="193"/>
      <c r="D51" s="193"/>
      <c r="E51" s="193"/>
      <c r="F51" s="193"/>
      <c r="G51" s="961"/>
      <c r="H51" s="1612"/>
      <c r="I51" s="1613"/>
      <c r="J51" s="1614"/>
      <c r="K51" s="193"/>
    </row>
    <row r="52" spans="1:11" ht="12.75" hidden="1">
      <c r="A52" s="193"/>
      <c r="B52" s="193"/>
      <c r="C52" s="193"/>
      <c r="G52" s="961"/>
      <c r="H52" s="1612"/>
      <c r="I52" s="1613"/>
      <c r="J52" s="1614"/>
      <c r="K52" s="193"/>
    </row>
    <row r="53" spans="1:11" ht="12.75" hidden="1">
      <c r="A53" s="193"/>
      <c r="B53" s="193"/>
      <c r="C53" s="193"/>
      <c r="G53" s="193"/>
      <c r="H53" s="193"/>
      <c r="I53" s="193"/>
      <c r="J53" s="193"/>
      <c r="K53" s="193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9">
    <mergeCell ref="G22:G25"/>
    <mergeCell ref="G39:H39"/>
    <mergeCell ref="G41:H41"/>
    <mergeCell ref="I4:J4"/>
    <mergeCell ref="I13:I14"/>
    <mergeCell ref="J13:J14"/>
    <mergeCell ref="I16:I17"/>
    <mergeCell ref="J16:J17"/>
    <mergeCell ref="G16:G19"/>
  </mergeCells>
  <conditionalFormatting sqref="C7:D9 C13:D14 C16:D17 C32">
    <cfRule type="cellIs" priority="6" dxfId="0" operator="lessThan" stopIfTrue="1">
      <formula>-500</formula>
    </cfRule>
  </conditionalFormatting>
  <conditionalFormatting sqref="C23:C26">
    <cfRule type="cellIs" priority="8" dxfId="0" operator="lessThan" stopIfTrue="1">
      <formula>-5</formula>
    </cfRule>
  </conditionalFormatting>
  <conditionalFormatting sqref="C27">
    <cfRule type="cellIs" priority="5" dxfId="0" operator="lessThan" stopIfTrue="1">
      <formula>-5</formula>
    </cfRule>
  </conditionalFormatting>
  <conditionalFormatting sqref="C29">
    <cfRule type="cellIs" priority="4" dxfId="0" operator="lessThan" stopIfTrue="1">
      <formula>-5</formula>
    </cfRule>
  </conditionalFormatting>
  <conditionalFormatting sqref="C30">
    <cfRule type="cellIs" priority="3" dxfId="0" operator="lessThan" stopIfTrue="1">
      <formula>-5</formula>
    </cfRule>
  </conditionalFormatting>
  <conditionalFormatting sqref="C33">
    <cfRule type="cellIs" priority="2" dxfId="0" operator="lessThan" stopIfTrue="1">
      <formula>-5</formula>
    </cfRule>
  </conditionalFormatting>
  <conditionalFormatting sqref="C35">
    <cfRule type="cellIs" priority="1" dxfId="0" operator="lessThan" stopIfTrue="1">
      <formula>-5</formula>
    </cfRule>
  </conditionalFormatting>
  <dataValidations count="4">
    <dataValidation type="decimal" operator="lessThan" allowBlank="1" showInputMessage="1" showErrorMessage="1" error="Beloppet ska vara i 1000 tal kronor" sqref="C30 C25:C26 D18 C33:C35 C16:D17">
      <formula1>99999999</formula1>
    </dataValidation>
    <dataValidation type="decimal" operator="lessThan" allowBlank="1" showInputMessage="1" showErrorMessage="1" error="Beloppet ska vara i 1000 tal kronoer" sqref="C7:D9">
      <formula1>99999999</formula1>
    </dataValidation>
    <dataValidation type="decimal" operator="lessThan" allowBlank="1" showInputMessage="1" showErrorMessage="1" error="Beloppet ska vara i tusental kronor" sqref="C13:D14">
      <formula1>99999999</formula1>
    </dataValidation>
    <dataValidation type="decimal" allowBlank="1" showInputMessage="1" showErrorMessage="1" error="Beloppet ska vara i 1000 tal kronor&#10;Inget minusbelopp anges, beräkningen sker automatiskt." sqref="C23:C24 C27 C29 C32">
      <formula1>0</formula1>
      <formula2>99999999</formula2>
    </dataValidation>
  </dataValidations>
  <printOptions/>
  <pageMargins left="0.7086614173228347" right="0.7086614173228347" top="0.7480314960629921" bottom="0" header="0.31496062992125984" footer="0"/>
  <pageSetup horizontalDpi="600" verticalDpi="600" orientation="landscape" paperSize="9" scale="85" r:id="rId2"/>
  <headerFooter>
    <oddHeader>&amp;L&amp;8Statistiska Centralbyrån
Offentlig ekonomi&amp;R&amp;P</oddHeader>
  </headerFooter>
  <rowBreaks count="1" manualBreakCount="1">
    <brk id="35" max="10" man="1"/>
  </rowBreaks>
  <ignoredErrors>
    <ignoredError sqref="A7:A20" numberStoredAsText="1"/>
    <ignoredError sqref="I4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90"/>
  <sheetViews>
    <sheetView showGridLines="0" zoomScalePageLayoutView="0" workbookViewId="0" topLeftCell="A1">
      <pane ySplit="1" topLeftCell="A11" activePane="bottomLeft" state="frozen"/>
      <selection pane="topLeft" activeCell="F32" sqref="F32"/>
      <selection pane="bottomLeft" activeCell="D39" sqref="D39"/>
    </sheetView>
  </sheetViews>
  <sheetFormatPr defaultColWidth="0" defaultRowHeight="12.75" zeroHeight="1"/>
  <cols>
    <col min="1" max="1" width="4.00390625" style="163" customWidth="1"/>
    <col min="2" max="2" width="10.8515625" style="163" customWidth="1"/>
    <col min="3" max="3" width="35.8515625" style="163" customWidth="1"/>
    <col min="4" max="4" width="10.57421875" style="163" customWidth="1"/>
    <col min="5" max="5" width="10.140625" style="163" customWidth="1"/>
    <col min="6" max="6" width="9.28125" style="192" customWidth="1"/>
    <col min="7" max="7" width="4.00390625" style="192" customWidth="1"/>
    <col min="8" max="8" width="4.140625" style="192" customWidth="1"/>
    <col min="9" max="9" width="25.57421875" style="192" customWidth="1"/>
    <col min="10" max="10" width="10.28125" style="192" customWidth="1"/>
    <col min="11" max="11" width="5.57421875" style="192" customWidth="1"/>
    <col min="12" max="12" width="8.7109375" style="192" customWidth="1"/>
    <col min="13" max="13" width="9.8515625" style="192" customWidth="1"/>
    <col min="14" max="14" width="2.140625" style="192" customWidth="1"/>
    <col min="15" max="15" width="6.00390625" style="192" customWidth="1"/>
    <col min="16" max="16" width="9.140625" style="0" hidden="1" customWidth="1"/>
    <col min="17" max="19" width="0" style="192" hidden="1" customWidth="1"/>
    <col min="20" max="20" width="9.140625" style="192" hidden="1" customWidth="1"/>
    <col min="21" max="16384" width="0" style="192" hidden="1" customWidth="1"/>
  </cols>
  <sheetData>
    <row r="1" spans="1:15" ht="20.25">
      <c r="A1" s="107" t="str">
        <f>"Balansräkning "&amp;År&amp;", miljoner kronor"</f>
        <v>Balansräkning 2014, miljoner kronor</v>
      </c>
      <c r="B1" s="108"/>
      <c r="C1" s="108"/>
      <c r="D1" s="109"/>
      <c r="E1" s="588" t="s">
        <v>502</v>
      </c>
      <c r="F1" s="589" t="str">
        <f>'Kn Information'!B2</f>
        <v>RIKSTOTAL</v>
      </c>
      <c r="G1" s="589"/>
      <c r="H1" s="589"/>
      <c r="I1" s="589"/>
      <c r="J1" s="191"/>
      <c r="K1" s="191"/>
      <c r="L1" s="191"/>
      <c r="M1" s="191"/>
      <c r="N1" s="191"/>
      <c r="O1" s="191"/>
    </row>
    <row r="2" spans="1:13" ht="12.75" customHeight="1">
      <c r="A2" s="1546"/>
      <c r="E2" s="166"/>
      <c r="J2" s="1660"/>
      <c r="K2" s="166"/>
      <c r="L2" s="47"/>
      <c r="M2" s="4"/>
    </row>
    <row r="3" spans="4:13" ht="12.75" customHeight="1" thickBot="1">
      <c r="D3" s="1937"/>
      <c r="E3" s="166"/>
      <c r="L3" s="4"/>
      <c r="M3" s="4"/>
    </row>
    <row r="4" spans="1:15" s="205" customFormat="1" ht="12.75">
      <c r="A4" s="739" t="s">
        <v>708</v>
      </c>
      <c r="B4" s="1813" t="s">
        <v>865</v>
      </c>
      <c r="C4" s="1960" t="s">
        <v>833</v>
      </c>
      <c r="D4" s="765" t="s">
        <v>697</v>
      </c>
      <c r="E4" s="766" t="s">
        <v>829</v>
      </c>
      <c r="H4" s="204"/>
      <c r="I4" s="204"/>
      <c r="J4" s="204"/>
      <c r="K4" s="204"/>
      <c r="L4" s="2167" t="s">
        <v>507</v>
      </c>
      <c r="M4" s="2173"/>
      <c r="N4" s="1694"/>
      <c r="O4" s="1608"/>
    </row>
    <row r="5" spans="1:15" s="205" customFormat="1" ht="12" customHeight="1">
      <c r="A5" s="740" t="s">
        <v>698</v>
      </c>
      <c r="B5" s="2181"/>
      <c r="C5" s="741"/>
      <c r="D5" s="767"/>
      <c r="E5" s="768"/>
      <c r="F5" s="204"/>
      <c r="G5" s="204"/>
      <c r="H5" s="204"/>
      <c r="I5" s="204"/>
      <c r="J5" s="204"/>
      <c r="K5" s="204"/>
      <c r="L5" s="776" t="s">
        <v>697</v>
      </c>
      <c r="M5" s="777" t="s">
        <v>829</v>
      </c>
      <c r="N5" s="1694"/>
      <c r="O5" s="2179"/>
    </row>
    <row r="6" spans="1:15" ht="3.75" customHeight="1">
      <c r="A6" s="742"/>
      <c r="B6" s="2182"/>
      <c r="C6" s="743"/>
      <c r="D6" s="769"/>
      <c r="E6" s="770"/>
      <c r="F6" s="4"/>
      <c r="G6" s="4"/>
      <c r="H6" s="4"/>
      <c r="I6" s="4"/>
      <c r="J6" s="4"/>
      <c r="K6" s="4"/>
      <c r="L6" s="778"/>
      <c r="M6" s="779"/>
      <c r="N6" s="1695"/>
      <c r="O6" s="2180"/>
    </row>
    <row r="7" spans="1:14" ht="15">
      <c r="A7" s="744"/>
      <c r="B7" s="745"/>
      <c r="C7" s="746" t="s">
        <v>709</v>
      </c>
      <c r="D7" s="771"/>
      <c r="E7" s="772"/>
      <c r="F7" s="80"/>
      <c r="G7" s="4"/>
      <c r="H7" s="4"/>
      <c r="I7" s="4"/>
      <c r="J7" s="4"/>
      <c r="K7" s="4"/>
      <c r="L7" s="780"/>
      <c r="M7" s="781"/>
      <c r="N7" s="88"/>
    </row>
    <row r="8" spans="1:14" ht="7.5" customHeight="1">
      <c r="A8" s="744"/>
      <c r="B8" s="745"/>
      <c r="C8" s="747"/>
      <c r="D8" s="773"/>
      <c r="E8" s="774"/>
      <c r="F8" s="80"/>
      <c r="G8" s="4"/>
      <c r="H8" s="4"/>
      <c r="I8" s="4"/>
      <c r="J8" s="4"/>
      <c r="K8" s="4"/>
      <c r="L8" s="780"/>
      <c r="M8" s="781"/>
      <c r="N8" s="88"/>
    </row>
    <row r="9" spans="1:14" ht="12.75">
      <c r="A9" s="670" t="s">
        <v>322</v>
      </c>
      <c r="B9" s="748">
        <v>10</v>
      </c>
      <c r="C9" s="749" t="s">
        <v>710</v>
      </c>
      <c r="D9" s="209">
        <v>477</v>
      </c>
      <c r="E9" s="514">
        <v>1828</v>
      </c>
      <c r="F9" s="202"/>
      <c r="G9" s="4"/>
      <c r="H9" s="4"/>
      <c r="I9" s="4"/>
      <c r="J9" s="4"/>
      <c r="K9" s="4"/>
      <c r="L9" s="782"/>
      <c r="M9" s="783"/>
      <c r="N9" s="1660"/>
    </row>
    <row r="10" spans="1:14" ht="12.75">
      <c r="A10" s="670" t="s">
        <v>323</v>
      </c>
      <c r="B10" s="750">
        <v>11</v>
      </c>
      <c r="C10" s="641" t="s">
        <v>711</v>
      </c>
      <c r="D10" s="209">
        <v>371047</v>
      </c>
      <c r="E10" s="775"/>
      <c r="F10" s="80"/>
      <c r="G10" s="4"/>
      <c r="H10" s="4"/>
      <c r="I10" s="4"/>
      <c r="J10" s="4"/>
      <c r="K10" s="4"/>
      <c r="L10" s="784"/>
      <c r="M10" s="785"/>
      <c r="N10" s="1660"/>
    </row>
    <row r="11" spans="1:14" ht="12.75">
      <c r="A11" s="670" t="s">
        <v>324</v>
      </c>
      <c r="B11" s="750">
        <v>12</v>
      </c>
      <c r="C11" s="641" t="s">
        <v>712</v>
      </c>
      <c r="D11" s="209">
        <v>19461</v>
      </c>
      <c r="E11" s="775"/>
      <c r="F11" s="80"/>
      <c r="G11" s="92" t="s">
        <v>508</v>
      </c>
      <c r="H11" s="4"/>
      <c r="I11" s="4"/>
      <c r="J11" s="4"/>
      <c r="K11" s="4"/>
      <c r="L11" s="784"/>
      <c r="M11" s="785"/>
      <c r="N11" s="1660"/>
    </row>
    <row r="12" spans="1:15" ht="12.75">
      <c r="A12" s="670" t="s">
        <v>314</v>
      </c>
      <c r="B12" s="751">
        <v>11.12</v>
      </c>
      <c r="C12" s="752" t="s">
        <v>713</v>
      </c>
      <c r="D12" s="399">
        <f>SUM(D10:D11)</f>
        <v>390508</v>
      </c>
      <c r="E12" s="210">
        <v>996007</v>
      </c>
      <c r="F12" s="202"/>
      <c r="G12" s="1918" t="s">
        <v>622</v>
      </c>
      <c r="H12" s="1918" t="s">
        <v>865</v>
      </c>
      <c r="I12" s="1916"/>
      <c r="J12" s="1917"/>
      <c r="K12" s="4"/>
      <c r="L12" s="708">
        <f>(D9+D12)*1000000/invanare</f>
        <v>40111.907281513806</v>
      </c>
      <c r="M12" s="709">
        <f>(E9+E12)*1000000/invanare</f>
        <v>102369.82237745522</v>
      </c>
      <c r="N12" s="1617"/>
      <c r="O12" s="166"/>
    </row>
    <row r="13" spans="1:15" ht="12.75">
      <c r="A13" s="670" t="s">
        <v>325</v>
      </c>
      <c r="B13" s="753" t="s">
        <v>1001</v>
      </c>
      <c r="C13" s="697" t="s">
        <v>714</v>
      </c>
      <c r="D13" s="211">
        <v>66702</v>
      </c>
      <c r="E13" s="775"/>
      <c r="F13" s="80"/>
      <c r="G13" s="792" t="s">
        <v>329</v>
      </c>
      <c r="H13" s="793" t="s">
        <v>621</v>
      </c>
      <c r="I13" s="794" t="s">
        <v>4</v>
      </c>
      <c r="J13" s="332">
        <v>59654</v>
      </c>
      <c r="K13" s="4"/>
      <c r="L13" s="786"/>
      <c r="M13" s="787"/>
      <c r="N13" s="1617"/>
      <c r="O13" s="343"/>
    </row>
    <row r="14" spans="1:14" ht="12.75">
      <c r="A14" s="670" t="s">
        <v>326</v>
      </c>
      <c r="B14" s="753" t="s">
        <v>1000</v>
      </c>
      <c r="C14" s="646" t="s">
        <v>17</v>
      </c>
      <c r="D14" s="211">
        <v>4855</v>
      </c>
      <c r="E14" s="775"/>
      <c r="F14" s="80"/>
      <c r="G14" s="206"/>
      <c r="H14" s="4"/>
      <c r="I14" s="4"/>
      <c r="J14" s="161">
        <f>IF(D13=0,"",IF(SUM(J13)&gt;D13,"Däravrad 031 &gt; rad 036",IF(J13="","skriv belopp eller 0","")))</f>
      </c>
      <c r="K14" s="4"/>
      <c r="L14" s="786"/>
      <c r="M14" s="787"/>
      <c r="N14" s="1617"/>
    </row>
    <row r="15" spans="1:15" ht="12.75">
      <c r="A15" s="670" t="s">
        <v>327</v>
      </c>
      <c r="B15" s="754" t="s">
        <v>9</v>
      </c>
      <c r="C15" s="653" t="s">
        <v>715</v>
      </c>
      <c r="D15" s="209">
        <v>155166</v>
      </c>
      <c r="E15" s="775"/>
      <c r="F15" s="80"/>
      <c r="G15" s="792" t="s">
        <v>330</v>
      </c>
      <c r="H15" s="793" t="s">
        <v>835</v>
      </c>
      <c r="I15" s="1630" t="s">
        <v>5</v>
      </c>
      <c r="J15" s="332">
        <v>142730</v>
      </c>
      <c r="K15" s="4"/>
      <c r="L15" s="788"/>
      <c r="M15" s="789"/>
      <c r="N15" s="1617"/>
      <c r="O15" s="343"/>
    </row>
    <row r="16" spans="1:14" ht="12.75">
      <c r="A16" s="670" t="s">
        <v>328</v>
      </c>
      <c r="B16" s="750" t="s">
        <v>998</v>
      </c>
      <c r="C16" s="641" t="s">
        <v>999</v>
      </c>
      <c r="D16" s="209">
        <v>163</v>
      </c>
      <c r="E16" s="775"/>
      <c r="F16" s="80"/>
      <c r="G16" s="206"/>
      <c r="H16" s="4"/>
      <c r="I16" s="4"/>
      <c r="J16" s="161">
        <f>IF(D15=0,"",IF(SUM(J15)&gt;D15,"Däravrad 034 &gt; rad 033",IF(J15="","skriv belopp eller 0","")))</f>
      </c>
      <c r="K16" s="4"/>
      <c r="L16" s="788"/>
      <c r="M16" s="789"/>
      <c r="N16" s="1617"/>
    </row>
    <row r="17" spans="1:14" ht="12.75">
      <c r="A17" s="670" t="s">
        <v>331</v>
      </c>
      <c r="B17" s="755" t="s">
        <v>13</v>
      </c>
      <c r="C17" s="749" t="s">
        <v>716</v>
      </c>
      <c r="D17" s="399">
        <f>SUM(D13:D16)</f>
        <v>226886</v>
      </c>
      <c r="E17" s="212">
        <v>35217</v>
      </c>
      <c r="F17" s="202"/>
      <c r="G17" s="206"/>
      <c r="H17" s="4"/>
      <c r="I17" s="4"/>
      <c r="J17" s="4"/>
      <c r="K17" s="4"/>
      <c r="L17" s="708">
        <f>D17*1000000/invanare</f>
        <v>23276.673518097985</v>
      </c>
      <c r="M17" s="709">
        <f>E17*1000000/invanare</f>
        <v>3612.9801366627153</v>
      </c>
      <c r="N17" s="1617"/>
    </row>
    <row r="18" spans="1:14" ht="13.5" thickBot="1">
      <c r="A18" s="663" t="s">
        <v>332</v>
      </c>
      <c r="B18" s="756" t="s">
        <v>14</v>
      </c>
      <c r="C18" s="655" t="s">
        <v>719</v>
      </c>
      <c r="D18" s="400">
        <f>SUM(D9,D12,D17)</f>
        <v>617871</v>
      </c>
      <c r="E18" s="401">
        <f>SUM(E9,E12,E17)</f>
        <v>1033052</v>
      </c>
      <c r="F18" s="80"/>
      <c r="G18" s="206"/>
      <c r="H18" s="4"/>
      <c r="I18" s="4"/>
      <c r="J18" s="4"/>
      <c r="K18" s="4"/>
      <c r="L18" s="786"/>
      <c r="M18" s="787"/>
      <c r="N18" s="1617"/>
    </row>
    <row r="19" spans="1:14" ht="13.5" thickBot="1">
      <c r="A19" s="616" t="s">
        <v>344</v>
      </c>
      <c r="B19" s="617" t="s">
        <v>12</v>
      </c>
      <c r="C19" s="618" t="s">
        <v>496</v>
      </c>
      <c r="D19" s="1711">
        <v>2232</v>
      </c>
      <c r="E19" s="337">
        <v>2232</v>
      </c>
      <c r="F19" s="202"/>
      <c r="G19" s="4"/>
      <c r="H19" s="4"/>
      <c r="I19" s="4"/>
      <c r="J19" s="4"/>
      <c r="K19" s="4"/>
      <c r="L19" s="708">
        <f>D19*1000000/invanare</f>
        <v>228.98519649689584</v>
      </c>
      <c r="M19" s="715">
        <f>E19*1000000/invanare</f>
        <v>228.98519649689584</v>
      </c>
      <c r="N19" s="1617"/>
    </row>
    <row r="20" spans="1:14" ht="15" customHeight="1">
      <c r="A20" s="757"/>
      <c r="B20" s="758"/>
      <c r="C20" s="759" t="s">
        <v>688</v>
      </c>
      <c r="D20" s="804"/>
      <c r="E20" s="805"/>
      <c r="F20" s="80"/>
      <c r="G20" s="1819" t="s">
        <v>1176</v>
      </c>
      <c r="H20" s="1820" t="s">
        <v>1156</v>
      </c>
      <c r="I20" s="1630" t="s">
        <v>1166</v>
      </c>
      <c r="J20" s="1915">
        <v>6502</v>
      </c>
      <c r="K20" s="4"/>
      <c r="L20" s="790"/>
      <c r="M20" s="791"/>
      <c r="N20" s="1696"/>
    </row>
    <row r="21" spans="1:14" ht="12.75" customHeight="1">
      <c r="A21" s="670" t="s">
        <v>316</v>
      </c>
      <c r="B21" s="760">
        <v>14</v>
      </c>
      <c r="C21" s="641" t="s">
        <v>834</v>
      </c>
      <c r="D21" s="74">
        <v>7202</v>
      </c>
      <c r="E21" s="213">
        <v>11746</v>
      </c>
      <c r="F21" s="262"/>
      <c r="G21" s="1882"/>
      <c r="H21" s="1883"/>
      <c r="I21" s="1884"/>
      <c r="J21" s="161">
        <f>IF(D21=0,"",IF(SUM(J20)&gt;D21,"Däravrad 04X &gt; rad040",IF(J20="","skriv belopp eller 0","")))</f>
      </c>
      <c r="K21" s="208"/>
      <c r="L21" s="790"/>
      <c r="M21" s="791"/>
      <c r="N21" s="1696"/>
    </row>
    <row r="22" spans="1:15" ht="18" customHeight="1">
      <c r="A22" s="670" t="s">
        <v>333</v>
      </c>
      <c r="B22" s="750" t="s">
        <v>720</v>
      </c>
      <c r="C22" s="641" t="s">
        <v>721</v>
      </c>
      <c r="D22" s="57">
        <v>8397</v>
      </c>
      <c r="E22" s="775"/>
      <c r="F22" s="1575"/>
      <c r="G22" s="792" t="s">
        <v>334</v>
      </c>
      <c r="H22" s="1815" t="s">
        <v>866</v>
      </c>
      <c r="I22" s="794" t="s">
        <v>5</v>
      </c>
      <c r="J22" s="332">
        <v>1625</v>
      </c>
      <c r="K22" s="4"/>
      <c r="L22" s="790"/>
      <c r="M22" s="791"/>
      <c r="N22" s="1696"/>
      <c r="O22" s="343"/>
    </row>
    <row r="23" spans="1:14" ht="15" customHeight="1">
      <c r="A23" s="670" t="s">
        <v>317</v>
      </c>
      <c r="B23" s="750" t="s">
        <v>722</v>
      </c>
      <c r="C23" s="641" t="s">
        <v>723</v>
      </c>
      <c r="D23" s="57">
        <v>83583</v>
      </c>
      <c r="E23" s="775"/>
      <c r="F23" s="1576"/>
      <c r="G23" s="206"/>
      <c r="H23" s="4"/>
      <c r="I23" s="4"/>
      <c r="J23" s="161">
        <f>IF(D22=0,"",IF(SUM(J22)&gt;D22,"Däravrad 046 &gt; rad045",IF(J22="","skriv belopp eller 0","")))</f>
      </c>
      <c r="K23" s="4"/>
      <c r="L23" s="790"/>
      <c r="M23" s="791"/>
      <c r="N23" s="1696"/>
    </row>
    <row r="24" spans="1:15" ht="12.75">
      <c r="A24" s="670" t="s">
        <v>336</v>
      </c>
      <c r="B24" s="750" t="s">
        <v>202</v>
      </c>
      <c r="C24" s="641" t="s">
        <v>598</v>
      </c>
      <c r="D24" s="209">
        <v>18540</v>
      </c>
      <c r="E24" s="775"/>
      <c r="F24" s="1576"/>
      <c r="G24" s="795" t="s">
        <v>335</v>
      </c>
      <c r="H24" s="796" t="s">
        <v>724</v>
      </c>
      <c r="I24" s="797" t="s">
        <v>6</v>
      </c>
      <c r="J24" s="334">
        <v>6419</v>
      </c>
      <c r="K24" s="4"/>
      <c r="L24" s="790"/>
      <c r="M24" s="791"/>
      <c r="N24" s="1696"/>
      <c r="O24" s="343"/>
    </row>
    <row r="25" spans="1:15" ht="12.75">
      <c r="A25" s="670" t="s">
        <v>346</v>
      </c>
      <c r="B25" s="750" t="s">
        <v>236</v>
      </c>
      <c r="C25" s="641" t="s">
        <v>544</v>
      </c>
      <c r="D25" s="209">
        <v>2025</v>
      </c>
      <c r="E25" s="775"/>
      <c r="F25" s="1576"/>
      <c r="G25" s="798"/>
      <c r="H25" s="799"/>
      <c r="I25" s="800"/>
      <c r="J25" s="847"/>
      <c r="K25" s="4"/>
      <c r="L25" s="790"/>
      <c r="M25" s="791"/>
      <c r="N25" s="1696"/>
      <c r="O25" s="343"/>
    </row>
    <row r="26" spans="1:15" ht="12.75">
      <c r="A26" s="670" t="s">
        <v>337</v>
      </c>
      <c r="B26" s="753" t="s">
        <v>725</v>
      </c>
      <c r="C26" s="646" t="s">
        <v>726</v>
      </c>
      <c r="D26" s="209">
        <v>19796</v>
      </c>
      <c r="E26" s="775"/>
      <c r="F26" s="1576"/>
      <c r="G26" s="801" t="s">
        <v>345</v>
      </c>
      <c r="H26" s="802" t="s">
        <v>836</v>
      </c>
      <c r="I26" s="803" t="s">
        <v>5</v>
      </c>
      <c r="J26" s="333">
        <v>60712</v>
      </c>
      <c r="K26" s="4"/>
      <c r="L26" s="790"/>
      <c r="M26" s="791"/>
      <c r="N26" s="1696"/>
      <c r="O26" s="343"/>
    </row>
    <row r="27" spans="1:14" ht="12.75">
      <c r="A27" s="670" t="s">
        <v>338</v>
      </c>
      <c r="B27" s="753" t="s">
        <v>727</v>
      </c>
      <c r="C27" s="646" t="s">
        <v>729</v>
      </c>
      <c r="D27" s="209">
        <v>16285</v>
      </c>
      <c r="E27" s="775"/>
      <c r="F27" s="1576"/>
      <c r="G27" s="206"/>
      <c r="H27" s="4"/>
      <c r="I27" s="4"/>
      <c r="J27" s="161">
        <f>IF(D23=0,"",IF(SUM(J24:J26)&gt;D23,"Däravr.051+ 052&gt;rad 050",IF(J24="","skriv belopp eller 0",IF(J26="","skriv belopp eller 0",""))))</f>
      </c>
      <c r="K27" s="4"/>
      <c r="L27" s="790"/>
      <c r="M27" s="791"/>
      <c r="N27" s="1696"/>
    </row>
    <row r="28" spans="1:14" ht="12.75">
      <c r="A28" s="670" t="s">
        <v>339</v>
      </c>
      <c r="B28" s="753" t="s">
        <v>730</v>
      </c>
      <c r="C28" s="646" t="s">
        <v>731</v>
      </c>
      <c r="D28" s="209">
        <v>3032</v>
      </c>
      <c r="E28" s="775"/>
      <c r="F28" s="1576"/>
      <c r="G28" s="4"/>
      <c r="H28" s="4"/>
      <c r="I28" s="4"/>
      <c r="J28" s="4"/>
      <c r="K28" s="4"/>
      <c r="L28" s="790"/>
      <c r="M28" s="791"/>
      <c r="N28" s="1696"/>
    </row>
    <row r="29" spans="1:14" ht="12.75">
      <c r="A29" s="670" t="s">
        <v>340</v>
      </c>
      <c r="B29" s="753" t="s">
        <v>732</v>
      </c>
      <c r="C29" s="646" t="s">
        <v>728</v>
      </c>
      <c r="D29" s="209">
        <v>271</v>
      </c>
      <c r="E29" s="775"/>
      <c r="F29" s="1576"/>
      <c r="G29" s="4"/>
      <c r="H29" s="4"/>
      <c r="I29" s="4"/>
      <c r="J29" s="4"/>
      <c r="K29" s="4"/>
      <c r="L29" s="790"/>
      <c r="M29" s="791"/>
      <c r="N29" s="1696"/>
    </row>
    <row r="30" spans="1:14" ht="12.75">
      <c r="A30" s="670" t="s">
        <v>341</v>
      </c>
      <c r="B30" s="760" t="s">
        <v>733</v>
      </c>
      <c r="C30" s="749" t="s">
        <v>734</v>
      </c>
      <c r="D30" s="399">
        <f>SUM(D22:D29)</f>
        <v>151929</v>
      </c>
      <c r="E30" s="213">
        <v>101708</v>
      </c>
      <c r="F30" s="262"/>
      <c r="G30" s="4"/>
      <c r="H30" s="4"/>
      <c r="I30" s="4"/>
      <c r="J30" s="4"/>
      <c r="K30" s="4"/>
      <c r="L30" s="790"/>
      <c r="M30" s="791"/>
      <c r="N30" s="1696"/>
    </row>
    <row r="31" spans="1:14" ht="12.75">
      <c r="A31" s="670" t="s">
        <v>342</v>
      </c>
      <c r="B31" s="760">
        <v>19</v>
      </c>
      <c r="C31" s="749" t="s">
        <v>735</v>
      </c>
      <c r="D31" s="209">
        <v>30956</v>
      </c>
      <c r="E31" s="213">
        <v>42167</v>
      </c>
      <c r="F31" s="262"/>
      <c r="G31" s="4"/>
      <c r="H31" s="4"/>
      <c r="I31" s="4"/>
      <c r="J31" s="4"/>
      <c r="K31" s="4"/>
      <c r="L31" s="790"/>
      <c r="M31" s="791"/>
      <c r="N31" s="1696"/>
    </row>
    <row r="32" spans="1:14" ht="13.5" thickBot="1">
      <c r="A32" s="674" t="s">
        <v>343</v>
      </c>
      <c r="B32" s="761" t="s">
        <v>736</v>
      </c>
      <c r="C32" s="655" t="s">
        <v>737</v>
      </c>
      <c r="D32" s="402">
        <f>SUM(D21,D30,D31)</f>
        <v>190087</v>
      </c>
      <c r="E32" s="403">
        <f>SUM(E21,E30,E31)</f>
        <v>155621</v>
      </c>
      <c r="F32" s="1576"/>
      <c r="G32" s="4"/>
      <c r="H32" s="4"/>
      <c r="I32" s="4"/>
      <c r="J32" s="4"/>
      <c r="K32" s="4"/>
      <c r="L32" s="711">
        <f>D32*1000000/invanare</f>
        <v>19501.392941982722</v>
      </c>
      <c r="M32" s="717">
        <f>E32*1000000/invanare</f>
        <v>15965.459347689706</v>
      </c>
      <c r="N32" s="1617"/>
    </row>
    <row r="33" spans="1:13" ht="13.5" thickBot="1">
      <c r="A33" s="762" t="s">
        <v>319</v>
      </c>
      <c r="B33" s="763" t="s">
        <v>738</v>
      </c>
      <c r="C33" s="764" t="s">
        <v>739</v>
      </c>
      <c r="D33" s="405">
        <f>SUM(D18,D19,D32)</f>
        <v>810190</v>
      </c>
      <c r="E33" s="404">
        <f>SUM(E18,E19,E32)</f>
        <v>1190905</v>
      </c>
      <c r="F33" s="1576"/>
      <c r="G33" s="4"/>
      <c r="H33" s="4"/>
      <c r="I33" s="4"/>
      <c r="J33" s="4"/>
      <c r="K33" s="4"/>
      <c r="L33" s="4"/>
      <c r="M33" s="4"/>
    </row>
    <row r="34" spans="1:13" ht="12.75">
      <c r="A34" s="6"/>
      <c r="B34" s="7"/>
      <c r="C34" s="8"/>
      <c r="D34" s="9"/>
      <c r="E34" s="9"/>
      <c r="F34" s="1576"/>
      <c r="G34" s="4"/>
      <c r="H34" s="4"/>
      <c r="I34" s="4"/>
      <c r="J34" s="4"/>
      <c r="K34" s="4"/>
      <c r="L34" s="4"/>
      <c r="M34" s="4"/>
    </row>
    <row r="35" spans="1:13" ht="13.5" thickBot="1">
      <c r="A35" s="1"/>
      <c r="B35" s="7"/>
      <c r="C35" s="8"/>
      <c r="D35" s="9"/>
      <c r="E35" s="9"/>
      <c r="F35" s="1576"/>
      <c r="G35" s="4"/>
      <c r="H35" s="4"/>
      <c r="I35" s="4"/>
      <c r="J35" s="4"/>
      <c r="K35" s="4"/>
      <c r="L35" s="4"/>
      <c r="M35" s="4"/>
    </row>
    <row r="36" spans="1:14" ht="12.75">
      <c r="A36" s="739" t="s">
        <v>708</v>
      </c>
      <c r="B36" s="1816" t="s">
        <v>865</v>
      </c>
      <c r="C36" s="806" t="s">
        <v>396</v>
      </c>
      <c r="D36" s="765" t="s">
        <v>697</v>
      </c>
      <c r="E36" s="766" t="s">
        <v>829</v>
      </c>
      <c r="F36" s="1576"/>
      <c r="G36" s="4"/>
      <c r="H36" s="4"/>
      <c r="I36" s="4"/>
      <c r="J36" s="4"/>
      <c r="K36" s="4"/>
      <c r="L36" s="2174" t="s">
        <v>507</v>
      </c>
      <c r="M36" s="2175"/>
      <c r="N36" s="1697"/>
    </row>
    <row r="37" spans="1:14" ht="12.75">
      <c r="A37" s="742" t="s">
        <v>698</v>
      </c>
      <c r="B37" s="807"/>
      <c r="C37" s="808"/>
      <c r="D37" s="809"/>
      <c r="E37" s="810"/>
      <c r="F37" s="1576"/>
      <c r="G37" s="4"/>
      <c r="H37" s="4"/>
      <c r="I37" s="4"/>
      <c r="J37" s="4"/>
      <c r="K37" s="4"/>
      <c r="L37" s="826" t="s">
        <v>697</v>
      </c>
      <c r="M37" s="827" t="s">
        <v>829</v>
      </c>
      <c r="N37" s="1698"/>
    </row>
    <row r="38" spans="1:14" ht="12.75">
      <c r="A38" s="670" t="s">
        <v>347</v>
      </c>
      <c r="B38" s="750">
        <v>201</v>
      </c>
      <c r="C38" s="641" t="s">
        <v>740</v>
      </c>
      <c r="D38" s="209">
        <v>375435</v>
      </c>
      <c r="E38" s="116">
        <v>455202</v>
      </c>
      <c r="F38" s="262"/>
      <c r="G38" s="4"/>
      <c r="H38" s="4"/>
      <c r="I38" s="4"/>
      <c r="J38" s="4"/>
      <c r="K38" s="4"/>
      <c r="L38" s="828"/>
      <c r="M38" s="829"/>
      <c r="N38" s="1660"/>
    </row>
    <row r="39" spans="1:14" ht="12.75">
      <c r="A39" s="670" t="s">
        <v>348</v>
      </c>
      <c r="B39" s="750">
        <v>202</v>
      </c>
      <c r="C39" s="641" t="s">
        <v>707</v>
      </c>
      <c r="D39" s="209">
        <f>RR!C19</f>
        <v>9676</v>
      </c>
      <c r="E39" s="116">
        <f>RR!D19</f>
        <v>18086</v>
      </c>
      <c r="F39" s="262"/>
      <c r="G39" s="4"/>
      <c r="H39" s="4"/>
      <c r="I39" s="4"/>
      <c r="J39" s="4"/>
      <c r="K39" s="4"/>
      <c r="L39" s="828"/>
      <c r="M39" s="829"/>
      <c r="N39" s="1660"/>
    </row>
    <row r="40" spans="1:14" ht="12.75">
      <c r="A40" s="672" t="s">
        <v>967</v>
      </c>
      <c r="B40" s="1817"/>
      <c r="C40" s="646" t="s">
        <v>1007</v>
      </c>
      <c r="D40" s="57">
        <v>426</v>
      </c>
      <c r="E40" s="200">
        <v>5016</v>
      </c>
      <c r="F40" s="262"/>
      <c r="G40" s="4"/>
      <c r="H40" s="4"/>
      <c r="I40" s="4"/>
      <c r="J40" s="4"/>
      <c r="K40" s="4"/>
      <c r="L40" s="828"/>
      <c r="M40" s="829"/>
      <c r="N40" s="1660"/>
    </row>
    <row r="41" spans="1:14" ht="12.75">
      <c r="A41" s="672" t="s">
        <v>349</v>
      </c>
      <c r="B41" s="818" t="s">
        <v>1074</v>
      </c>
      <c r="C41" s="819" t="s">
        <v>1075</v>
      </c>
      <c r="D41" s="406">
        <f>D33-D66-D48</f>
        <v>385539</v>
      </c>
      <c r="E41" s="403">
        <f>E33-E66-E48</f>
        <v>478305</v>
      </c>
      <c r="F41" s="262"/>
      <c r="G41" s="4"/>
      <c r="H41" s="4"/>
      <c r="I41" s="4"/>
      <c r="J41" s="4"/>
      <c r="K41" s="4"/>
      <c r="L41" s="830">
        <f>D41*1000000/invanare</f>
        <v>39553.19160941609</v>
      </c>
      <c r="M41" s="709">
        <f>E41*1000000/invanare</f>
        <v>49070.23495091745</v>
      </c>
      <c r="N41" s="1660"/>
    </row>
    <row r="42" spans="1:14" ht="12.75">
      <c r="A42" s="673" t="s">
        <v>965</v>
      </c>
      <c r="B42" s="814"/>
      <c r="C42" s="646" t="s">
        <v>1077</v>
      </c>
      <c r="D42" s="57">
        <v>6080</v>
      </c>
      <c r="E42" s="200">
        <v>5810</v>
      </c>
      <c r="F42" s="262"/>
      <c r="G42" s="1899"/>
      <c r="H42" s="4"/>
      <c r="I42" s="4"/>
      <c r="J42" s="4"/>
      <c r="K42" s="4"/>
      <c r="L42" s="828"/>
      <c r="M42" s="829"/>
      <c r="N42" s="1660"/>
    </row>
    <row r="43" spans="1:14" ht="13.5" thickBot="1">
      <c r="A43" s="674" t="s">
        <v>966</v>
      </c>
      <c r="B43" s="816"/>
      <c r="C43" s="661" t="s">
        <v>1076</v>
      </c>
      <c r="D43" s="1781">
        <f>D41-D42</f>
        <v>379459</v>
      </c>
      <c r="E43" s="1781">
        <f>E41-E42</f>
        <v>472495</v>
      </c>
      <c r="F43" s="262"/>
      <c r="G43" s="230"/>
      <c r="H43" s="4"/>
      <c r="I43" s="4"/>
      <c r="J43" s="4"/>
      <c r="K43" s="4"/>
      <c r="L43" s="1782"/>
      <c r="M43" s="714"/>
      <c r="N43" s="1617"/>
    </row>
    <row r="44" spans="1:14" ht="12.75">
      <c r="A44" s="670" t="s">
        <v>350</v>
      </c>
      <c r="B44" s="812" t="s">
        <v>741</v>
      </c>
      <c r="C44" s="813" t="s">
        <v>994</v>
      </c>
      <c r="D44" s="209">
        <v>24170</v>
      </c>
      <c r="E44" s="811"/>
      <c r="F44" s="1576"/>
      <c r="G44" s="4"/>
      <c r="H44" s="4"/>
      <c r="I44" s="4"/>
      <c r="J44" s="4"/>
      <c r="K44" s="4"/>
      <c r="L44" s="831"/>
      <c r="M44" s="832"/>
      <c r="N44" s="1617"/>
    </row>
    <row r="45" spans="1:14" ht="12.75">
      <c r="A45" s="670" t="s">
        <v>351</v>
      </c>
      <c r="B45" s="750" t="s">
        <v>742</v>
      </c>
      <c r="C45" s="641" t="s">
        <v>995</v>
      </c>
      <c r="D45" s="209">
        <v>1528</v>
      </c>
      <c r="E45" s="811"/>
      <c r="F45" s="1576"/>
      <c r="G45" s="92" t="s">
        <v>509</v>
      </c>
      <c r="H45" s="4"/>
      <c r="I45" s="4"/>
      <c r="J45" s="4"/>
      <c r="K45" s="4"/>
      <c r="L45" s="708">
        <f>SUM(D44:D46)*1000000/invanare</f>
        <v>3222.6178281185</v>
      </c>
      <c r="M45" s="833"/>
      <c r="N45" s="1617"/>
    </row>
    <row r="46" spans="1:14" ht="12.75">
      <c r="A46" s="670" t="s">
        <v>352</v>
      </c>
      <c r="B46" s="814" t="s">
        <v>743</v>
      </c>
      <c r="C46" s="815" t="s">
        <v>894</v>
      </c>
      <c r="D46" s="209">
        <v>5714</v>
      </c>
      <c r="E46" s="811"/>
      <c r="F46" s="1576"/>
      <c r="G46" s="4"/>
      <c r="H46" s="4"/>
      <c r="I46" s="16"/>
      <c r="J46" s="4"/>
      <c r="K46" s="4"/>
      <c r="L46" s="834"/>
      <c r="M46" s="832"/>
      <c r="N46" s="1617"/>
    </row>
    <row r="47" spans="1:15" ht="12.75">
      <c r="A47" s="670" t="s">
        <v>353</v>
      </c>
      <c r="B47" s="750" t="s">
        <v>744</v>
      </c>
      <c r="C47" s="815" t="s">
        <v>745</v>
      </c>
      <c r="D47" s="209">
        <v>17761</v>
      </c>
      <c r="E47" s="811"/>
      <c r="F47" s="1576"/>
      <c r="G47" s="792" t="s">
        <v>320</v>
      </c>
      <c r="H47" s="793" t="s">
        <v>746</v>
      </c>
      <c r="I47" s="1630" t="s">
        <v>895</v>
      </c>
      <c r="J47" s="332">
        <v>2026</v>
      </c>
      <c r="K47" s="4"/>
      <c r="L47" s="708">
        <f>D47*1000000/invanare</f>
        <v>1822.1353382533005</v>
      </c>
      <c r="M47" s="832"/>
      <c r="N47" s="1617"/>
      <c r="O47" s="343"/>
    </row>
    <row r="48" spans="1:14" ht="13.5" thickBot="1">
      <c r="A48" s="674" t="s">
        <v>354</v>
      </c>
      <c r="B48" s="761">
        <v>22</v>
      </c>
      <c r="C48" s="618" t="s">
        <v>747</v>
      </c>
      <c r="D48" s="402">
        <f>SUM(D44:D47)</f>
        <v>49173</v>
      </c>
      <c r="E48" s="214">
        <v>79473</v>
      </c>
      <c r="F48" s="262"/>
      <c r="G48" s="206"/>
      <c r="H48" s="4"/>
      <c r="I48" s="4"/>
      <c r="J48" s="161">
        <f>IF(D47=0,"",IF(SUM(J47)&gt;D47,"Däravrad 080 &gt; rad 078",IF(J47="","skriv belopp eller 0","")))</f>
      </c>
      <c r="K48" s="4"/>
      <c r="L48" s="830">
        <f>D48*1000000/invanare</f>
        <v>5044.7531663718</v>
      </c>
      <c r="M48" s="709">
        <f>E48*1000000/invanare</f>
        <v>8153.28876397751</v>
      </c>
      <c r="N48" s="1617"/>
    </row>
    <row r="49" spans="1:14" ht="12.75">
      <c r="A49" s="670" t="s">
        <v>355</v>
      </c>
      <c r="B49" s="750">
        <v>234</v>
      </c>
      <c r="C49" s="641" t="s">
        <v>748</v>
      </c>
      <c r="D49" s="209">
        <v>187222</v>
      </c>
      <c r="E49" s="811"/>
      <c r="F49" s="1576"/>
      <c r="G49" s="206"/>
      <c r="H49" s="4"/>
      <c r="I49" s="4"/>
      <c r="J49" s="4"/>
      <c r="K49" s="4"/>
      <c r="L49" s="831"/>
      <c r="M49" s="832"/>
      <c r="N49" s="1617"/>
    </row>
    <row r="50" spans="1:14" ht="14.25" customHeight="1">
      <c r="A50" s="670" t="s">
        <v>356</v>
      </c>
      <c r="B50" s="750">
        <v>235</v>
      </c>
      <c r="C50" s="641" t="s">
        <v>749</v>
      </c>
      <c r="D50" s="209">
        <v>2202</v>
      </c>
      <c r="E50" s="811"/>
      <c r="F50" s="1576"/>
      <c r="G50" s="206"/>
      <c r="H50" s="4"/>
      <c r="I50" s="4"/>
      <c r="J50" s="4"/>
      <c r="K50" s="4"/>
      <c r="L50" s="831"/>
      <c r="M50" s="832"/>
      <c r="N50" s="1617"/>
    </row>
    <row r="51" spans="1:14" ht="12.75">
      <c r="A51" s="670" t="s">
        <v>357</v>
      </c>
      <c r="B51" s="750">
        <v>236</v>
      </c>
      <c r="C51" s="641" t="s">
        <v>750</v>
      </c>
      <c r="D51" s="209">
        <v>1151</v>
      </c>
      <c r="E51" s="811"/>
      <c r="F51" s="1576"/>
      <c r="G51" s="206"/>
      <c r="H51" s="4"/>
      <c r="I51" s="4"/>
      <c r="J51" s="4"/>
      <c r="K51" s="4"/>
      <c r="L51" s="831"/>
      <c r="M51" s="832"/>
      <c r="N51" s="1617"/>
    </row>
    <row r="52" spans="1:15" ht="12.75">
      <c r="A52" s="670" t="s">
        <v>358</v>
      </c>
      <c r="B52" s="750" t="s">
        <v>922</v>
      </c>
      <c r="C52" s="641" t="s">
        <v>751</v>
      </c>
      <c r="D52" s="215">
        <v>10866</v>
      </c>
      <c r="E52" s="811"/>
      <c r="F52" s="1576"/>
      <c r="G52" s="1657"/>
      <c r="H52" s="1658"/>
      <c r="I52" s="1659"/>
      <c r="J52" s="1660"/>
      <c r="K52" s="4"/>
      <c r="L52" s="788"/>
      <c r="M52" s="832"/>
      <c r="N52" s="1617"/>
      <c r="O52" s="1607"/>
    </row>
    <row r="53" spans="1:15" ht="12.75">
      <c r="A53" s="670" t="s">
        <v>964</v>
      </c>
      <c r="B53" s="750" t="s">
        <v>920</v>
      </c>
      <c r="C53" s="641" t="s">
        <v>921</v>
      </c>
      <c r="D53" s="215">
        <v>10663</v>
      </c>
      <c r="E53" s="811"/>
      <c r="F53" s="1576"/>
      <c r="G53" s="619"/>
      <c r="H53" s="620" t="s">
        <v>510</v>
      </c>
      <c r="I53" s="621"/>
      <c r="J53" s="1656"/>
      <c r="K53" s="4"/>
      <c r="L53" s="788"/>
      <c r="M53" s="832"/>
      <c r="N53" s="1617"/>
      <c r="O53" s="1607"/>
    </row>
    <row r="54" spans="1:15" ht="12.75">
      <c r="A54" s="670" t="s">
        <v>359</v>
      </c>
      <c r="B54" s="753" t="s">
        <v>752</v>
      </c>
      <c r="C54" s="697" t="s">
        <v>753</v>
      </c>
      <c r="D54" s="216">
        <v>1901</v>
      </c>
      <c r="E54" s="811"/>
      <c r="F54" s="1576"/>
      <c r="G54" s="622" t="s">
        <v>379</v>
      </c>
      <c r="H54" s="623" t="s">
        <v>191</v>
      </c>
      <c r="I54" s="624"/>
      <c r="J54" s="333">
        <v>88006</v>
      </c>
      <c r="K54" s="4"/>
      <c r="L54" s="788"/>
      <c r="M54" s="832"/>
      <c r="N54" s="1617"/>
      <c r="O54" s="1607"/>
    </row>
    <row r="55" spans="1:14" ht="13.5" thickBot="1">
      <c r="A55" s="674" t="s">
        <v>360</v>
      </c>
      <c r="B55" s="816">
        <v>23</v>
      </c>
      <c r="C55" s="658" t="s">
        <v>754</v>
      </c>
      <c r="D55" s="402">
        <f>SUM(D49:D54)</f>
        <v>214005</v>
      </c>
      <c r="E55" s="214">
        <v>437289</v>
      </c>
      <c r="F55" s="262"/>
      <c r="G55" s="206"/>
      <c r="H55" s="4"/>
      <c r="I55" s="4"/>
      <c r="J55" s="161">
        <f>IF(D55=0,"",IF(SUM(J54)&gt;D55,"Däravrad 088 &gt; rad 089",IF(J54="","skriv belopp eller 0","")))</f>
      </c>
      <c r="K55" s="4"/>
      <c r="L55" s="708">
        <f>D55*1000000/invanare</f>
        <v>21955.18681734686</v>
      </c>
      <c r="M55" s="709">
        <f>E55*1000000/invanare</f>
        <v>44862.32418948525</v>
      </c>
      <c r="N55" s="1617"/>
    </row>
    <row r="56" spans="1:15" ht="12.75">
      <c r="A56" s="670" t="s">
        <v>361</v>
      </c>
      <c r="B56" s="817" t="s">
        <v>755</v>
      </c>
      <c r="C56" s="641" t="s">
        <v>756</v>
      </c>
      <c r="D56" s="209">
        <v>64288</v>
      </c>
      <c r="E56" s="811"/>
      <c r="F56" s="1576"/>
      <c r="G56" s="795" t="s">
        <v>363</v>
      </c>
      <c r="H56" s="796" t="s">
        <v>837</v>
      </c>
      <c r="I56" s="797" t="s">
        <v>7</v>
      </c>
      <c r="J56" s="334">
        <v>20793</v>
      </c>
      <c r="K56" s="161"/>
      <c r="L56" s="831"/>
      <c r="M56" s="832"/>
      <c r="N56" s="1617"/>
      <c r="O56" s="343"/>
    </row>
    <row r="57" spans="1:15" ht="18.75">
      <c r="A57" s="670" t="s">
        <v>362</v>
      </c>
      <c r="B57" s="753" t="s">
        <v>757</v>
      </c>
      <c r="C57" s="646" t="s">
        <v>758</v>
      </c>
      <c r="D57" s="209">
        <v>24435</v>
      </c>
      <c r="E57" s="811"/>
      <c r="F57" s="1576"/>
      <c r="G57" s="801" t="s">
        <v>364</v>
      </c>
      <c r="H57" s="1818" t="s">
        <v>867</v>
      </c>
      <c r="I57" s="803" t="s">
        <v>8</v>
      </c>
      <c r="J57" s="333">
        <v>2673</v>
      </c>
      <c r="K57" s="4"/>
      <c r="L57" s="831"/>
      <c r="M57" s="832"/>
      <c r="N57" s="1617"/>
      <c r="O57" s="343"/>
    </row>
    <row r="58" spans="1:14" ht="12.75">
      <c r="A58" s="670" t="s">
        <v>380</v>
      </c>
      <c r="B58" s="753">
        <v>271</v>
      </c>
      <c r="C58" s="646" t="s">
        <v>18</v>
      </c>
      <c r="D58" s="209">
        <v>4425</v>
      </c>
      <c r="E58" s="811"/>
      <c r="F58" s="1576"/>
      <c r="G58" s="4"/>
      <c r="H58" s="4"/>
      <c r="I58" s="4"/>
      <c r="J58" s="161">
        <f>IF(D56=0,"",IF(SUM(J56)&gt;D56,"Däravrad 091 &gt; rad 090",IF(J56="","skriv belopp eller 0","")))</f>
      </c>
      <c r="K58" s="4"/>
      <c r="L58" s="831"/>
      <c r="M58" s="832"/>
      <c r="N58" s="1617"/>
    </row>
    <row r="59" spans="1:14" ht="12.75">
      <c r="A59" s="670" t="s">
        <v>365</v>
      </c>
      <c r="B59" s="753">
        <v>281</v>
      </c>
      <c r="C59" s="646" t="s">
        <v>759</v>
      </c>
      <c r="D59" s="217">
        <v>2277</v>
      </c>
      <c r="E59" s="824"/>
      <c r="F59" s="1576"/>
      <c r="G59" s="4"/>
      <c r="H59" s="12"/>
      <c r="I59" s="194"/>
      <c r="J59" s="1765">
        <f>IF(D57=0,"",IF(SUM(J57)&gt;D57,"Däravrad 092 &gt; rad086",IF(J57="","skriv belopp eller 0","")))</f>
      </c>
      <c r="K59" s="4"/>
      <c r="L59" s="831"/>
      <c r="M59" s="789"/>
      <c r="N59" s="1617"/>
    </row>
    <row r="60" spans="1:14" ht="12.75">
      <c r="A60" s="670" t="s">
        <v>366</v>
      </c>
      <c r="B60" s="753" t="s">
        <v>760</v>
      </c>
      <c r="C60" s="646" t="s">
        <v>761</v>
      </c>
      <c r="D60" s="216">
        <v>16392</v>
      </c>
      <c r="E60" s="825"/>
      <c r="F60" s="262"/>
      <c r="G60" s="4"/>
      <c r="H60" s="4"/>
      <c r="I60" s="4"/>
      <c r="J60" s="4"/>
      <c r="K60" s="4"/>
      <c r="L60" s="831"/>
      <c r="M60" s="789"/>
      <c r="N60" s="1617"/>
    </row>
    <row r="61" spans="1:14" ht="12.75">
      <c r="A61" s="670" t="s">
        <v>1002</v>
      </c>
      <c r="B61" s="753">
        <v>293</v>
      </c>
      <c r="C61" s="646" t="s">
        <v>924</v>
      </c>
      <c r="D61" s="215">
        <v>9673</v>
      </c>
      <c r="E61" s="823"/>
      <c r="F61" s="262"/>
      <c r="G61" s="1819" t="s">
        <v>367</v>
      </c>
      <c r="H61" s="1820" t="s">
        <v>762</v>
      </c>
      <c r="I61" s="1630" t="s">
        <v>923</v>
      </c>
      <c r="J61" s="332">
        <v>2565</v>
      </c>
      <c r="K61" s="4"/>
      <c r="L61" s="831"/>
      <c r="M61" s="789"/>
      <c r="N61" s="1617"/>
    </row>
    <row r="62" spans="1:14" ht="12.75">
      <c r="A62" s="670" t="s">
        <v>368</v>
      </c>
      <c r="B62" s="753" t="s">
        <v>763</v>
      </c>
      <c r="C62" s="646" t="s">
        <v>896</v>
      </c>
      <c r="D62" s="215">
        <v>10433</v>
      </c>
      <c r="E62" s="823"/>
      <c r="F62" s="262"/>
      <c r="G62" s="4"/>
      <c r="H62" s="4"/>
      <c r="I62" s="4"/>
      <c r="J62" s="161">
        <f>IF(D61=0,"",IF(SUM(J61)&gt;D61,"Däravrad 103 &gt; rad 095",IF(J61="","skriv belopp eller 0","")))</f>
      </c>
      <c r="K62" s="4"/>
      <c r="L62" s="831"/>
      <c r="M62" s="789"/>
      <c r="N62" s="1617"/>
    </row>
    <row r="63" spans="1:14" ht="12.75">
      <c r="A63" s="670" t="s">
        <v>490</v>
      </c>
      <c r="B63" s="753" t="s">
        <v>19</v>
      </c>
      <c r="C63" s="646" t="s">
        <v>20</v>
      </c>
      <c r="D63" s="215">
        <v>2759</v>
      </c>
      <c r="E63" s="823"/>
      <c r="F63" s="1576"/>
      <c r="G63" s="4"/>
      <c r="H63" s="207"/>
      <c r="I63" s="4"/>
      <c r="J63" s="4"/>
      <c r="K63" s="4"/>
      <c r="L63" s="831"/>
      <c r="M63" s="789"/>
      <c r="N63" s="1617"/>
    </row>
    <row r="64" spans="1:14" ht="12.75">
      <c r="A64" s="670" t="s">
        <v>369</v>
      </c>
      <c r="B64" s="750" t="s">
        <v>764</v>
      </c>
      <c r="C64" s="641" t="s">
        <v>766</v>
      </c>
      <c r="D64" s="215">
        <v>26791</v>
      </c>
      <c r="E64" s="823"/>
      <c r="F64" s="1576"/>
      <c r="G64" s="4"/>
      <c r="H64" s="4"/>
      <c r="I64" s="4"/>
      <c r="J64" s="4"/>
      <c r="K64" s="4"/>
      <c r="L64" s="831"/>
      <c r="M64" s="789"/>
      <c r="N64" s="1617"/>
    </row>
    <row r="65" spans="1:14" ht="13.5" thickBot="1">
      <c r="A65" s="672" t="s">
        <v>370</v>
      </c>
      <c r="B65" s="818" t="s">
        <v>767</v>
      </c>
      <c r="C65" s="819" t="s">
        <v>768</v>
      </c>
      <c r="D65" s="406">
        <f>SUM(D56:D64)</f>
        <v>161473</v>
      </c>
      <c r="E65" s="212">
        <v>195838</v>
      </c>
      <c r="F65" s="262"/>
      <c r="G65" s="4"/>
      <c r="H65" s="4"/>
      <c r="I65" s="4"/>
      <c r="J65" s="4"/>
      <c r="K65" s="4"/>
      <c r="L65" s="835">
        <f>D65*1000000/invanare</f>
        <v>16565.82734495666</v>
      </c>
      <c r="M65" s="836">
        <f>E65*1000000/invanare</f>
        <v>20091.39915392432</v>
      </c>
      <c r="N65" s="1617"/>
    </row>
    <row r="66" spans="1:14" ht="13.5" thickBot="1">
      <c r="A66" s="663" t="s">
        <v>371</v>
      </c>
      <c r="B66" s="761" t="s">
        <v>769</v>
      </c>
      <c r="C66" s="618" t="s">
        <v>770</v>
      </c>
      <c r="D66" s="394">
        <f>SUM(D55,D65)</f>
        <v>375478</v>
      </c>
      <c r="E66" s="407">
        <f>SUM(E55,E65)</f>
        <v>633127</v>
      </c>
      <c r="F66" s="1576"/>
      <c r="G66" s="4"/>
      <c r="H66" s="208"/>
      <c r="I66" s="4"/>
      <c r="J66" s="4"/>
      <c r="K66" s="4"/>
      <c r="L66" s="78"/>
      <c r="M66" s="78"/>
      <c r="N66" s="249"/>
    </row>
    <row r="67" spans="1:14" ht="13.5" thickBot="1">
      <c r="A67" s="820">
        <v>100</v>
      </c>
      <c r="B67" s="821" t="s">
        <v>771</v>
      </c>
      <c r="C67" s="822" t="s">
        <v>772</v>
      </c>
      <c r="D67" s="408">
        <f>SUM(D41,D48,D55,D65)</f>
        <v>810190</v>
      </c>
      <c r="E67" s="404">
        <f>SUM(E41,E48,E55,E65)</f>
        <v>1190905</v>
      </c>
      <c r="F67" s="1576"/>
      <c r="G67" s="839" t="s">
        <v>603</v>
      </c>
      <c r="H67" s="840"/>
      <c r="I67" s="840"/>
      <c r="J67" s="841"/>
      <c r="K67" s="4"/>
      <c r="L67" s="712">
        <f>J54*1000000/invanare</f>
        <v>9028.705736068912</v>
      </c>
      <c r="M67" s="837"/>
      <c r="N67" s="1660"/>
    </row>
    <row r="68" spans="1:14" ht="12.75" customHeight="1">
      <c r="A68" s="1712" t="s">
        <v>968</v>
      </c>
      <c r="B68" s="164"/>
      <c r="C68" s="166"/>
      <c r="D68" s="13"/>
      <c r="E68" s="13"/>
      <c r="F68" s="1576"/>
      <c r="G68" s="842" t="s">
        <v>595</v>
      </c>
      <c r="H68" s="843"/>
      <c r="I68" s="843"/>
      <c r="J68" s="844"/>
      <c r="L68" s="838">
        <f>SUM(D55-J54)*1000000/invanare</f>
        <v>12926.481081277947</v>
      </c>
      <c r="M68" s="785"/>
      <c r="N68" s="1660"/>
    </row>
    <row r="69" spans="1:14" ht="12.75">
      <c r="A69" s="193"/>
      <c r="B69" s="11"/>
      <c r="C69" s="8"/>
      <c r="D69" s="13"/>
      <c r="E69" s="13"/>
      <c r="F69" s="1576"/>
      <c r="G69" s="845" t="s">
        <v>593</v>
      </c>
      <c r="H69" s="846"/>
      <c r="I69" s="846"/>
      <c r="J69" s="844"/>
      <c r="K69" s="193"/>
      <c r="L69" s="708">
        <f>IF(D33=0,"",D41*100/D33)</f>
        <v>47.5862452017428</v>
      </c>
      <c r="M69" s="709">
        <f>IF(E33=0,"",E41*100/E33)</f>
        <v>40.16315323220576</v>
      </c>
      <c r="N69" s="1617"/>
    </row>
    <row r="70" spans="1:14" ht="13.5" thickBot="1">
      <c r="A70" s="10"/>
      <c r="B70" s="11"/>
      <c r="C70" s="8"/>
      <c r="D70" s="13"/>
      <c r="E70" s="13"/>
      <c r="F70" s="1576"/>
      <c r="G70" s="2176" t="s">
        <v>594</v>
      </c>
      <c r="H70" s="2177"/>
      <c r="I70" s="2177"/>
      <c r="J70" s="2178"/>
      <c r="K70" s="193"/>
      <c r="L70" s="711">
        <f>IF(D33=0,"",(D41-E78)*100/D33)</f>
        <v>20.59504560658611</v>
      </c>
      <c r="M70" s="836">
        <f>IF(E33=0,"",(E41-E78)*100/E33)</f>
        <v>21.800647406804067</v>
      </c>
      <c r="N70" s="1617"/>
    </row>
    <row r="71" spans="1:13" ht="12.75" customHeight="1" thickBot="1">
      <c r="A71" s="90" t="s">
        <v>855</v>
      </c>
      <c r="B71" s="13"/>
      <c r="C71" s="13"/>
      <c r="D71" s="13"/>
      <c r="E71" s="13"/>
      <c r="F71" s="1576"/>
      <c r="G71" s="4"/>
      <c r="H71" s="4"/>
      <c r="I71" s="4"/>
      <c r="J71" s="4"/>
      <c r="K71" s="4"/>
      <c r="L71" s="4"/>
      <c r="M71" s="4"/>
    </row>
    <row r="72" spans="1:14" ht="27">
      <c r="A72" s="855" t="s">
        <v>708</v>
      </c>
      <c r="B72" s="856" t="s">
        <v>696</v>
      </c>
      <c r="C72" s="857"/>
      <c r="D72" s="765" t="s">
        <v>697</v>
      </c>
      <c r="E72" s="766" t="s">
        <v>697</v>
      </c>
      <c r="F72" s="1576"/>
      <c r="G72" s="4"/>
      <c r="H72" s="4"/>
      <c r="I72" s="4"/>
      <c r="J72" s="4"/>
      <c r="K72" s="4"/>
      <c r="L72" s="848" t="s">
        <v>863</v>
      </c>
      <c r="M72" s="848" t="s">
        <v>507</v>
      </c>
      <c r="N72" s="1699"/>
    </row>
    <row r="73" spans="1:14" ht="12.75">
      <c r="A73" s="858" t="s">
        <v>698</v>
      </c>
      <c r="B73" s="623"/>
      <c r="C73" s="808"/>
      <c r="D73" s="859" t="s">
        <v>862</v>
      </c>
      <c r="E73" s="868" t="s">
        <v>1151</v>
      </c>
      <c r="F73" s="1576"/>
      <c r="G73" s="4"/>
      <c r="H73" s="4"/>
      <c r="I73" s="4"/>
      <c r="J73" s="4"/>
      <c r="K73" s="4"/>
      <c r="L73" s="849"/>
      <c r="M73" s="850" t="s">
        <v>697</v>
      </c>
      <c r="N73" s="1699"/>
    </row>
    <row r="74" spans="1:14" ht="17.25" customHeight="1">
      <c r="A74" s="670" t="s">
        <v>374</v>
      </c>
      <c r="B74" s="860" t="s">
        <v>773</v>
      </c>
      <c r="C74" s="861"/>
      <c r="D74" s="862">
        <v>107509</v>
      </c>
      <c r="E74" s="116">
        <v>107925</v>
      </c>
      <c r="F74" s="262">
        <f>IF(E74=0,"",IF(AND(L74&gt;-25%,L74&lt;25%),"","Kommentera förändringen"))</f>
      </c>
      <c r="G74" s="4"/>
      <c r="H74" s="4"/>
      <c r="I74" s="4"/>
      <c r="J74" s="4"/>
      <c r="K74" s="4"/>
      <c r="L74" s="851">
        <f aca="true" t="shared" si="0" ref="L74:L79">IF(AND(D74=0,E74=0),"",IF(E74=0,1,IF(D74=0,-1,E74/D74-1)))</f>
        <v>0.0038694434884520845</v>
      </c>
      <c r="M74" s="852">
        <f aca="true" t="shared" si="1" ref="M74:M79">E74*1000000/invanare</f>
        <v>11072.234467709446</v>
      </c>
      <c r="N74" s="1617"/>
    </row>
    <row r="75" spans="1:14" ht="12.75">
      <c r="A75" s="670" t="s">
        <v>375</v>
      </c>
      <c r="B75" s="863" t="s">
        <v>774</v>
      </c>
      <c r="C75" s="653"/>
      <c r="D75" s="864">
        <v>6068</v>
      </c>
      <c r="E75" s="116">
        <v>5888</v>
      </c>
      <c r="F75" s="262">
        <f>IF(E75=0,"",IF(AND(L75&gt;-25%,L75&lt;25%),"","Kommentera förändringen"))</f>
      </c>
      <c r="G75" s="4"/>
      <c r="H75" s="4"/>
      <c r="I75" s="4"/>
      <c r="J75" s="4"/>
      <c r="K75" s="4"/>
      <c r="L75" s="853">
        <f t="shared" si="0"/>
        <v>-0.02966381015161501</v>
      </c>
      <c r="M75" s="852">
        <f t="shared" si="1"/>
        <v>604.0613068878686</v>
      </c>
      <c r="N75" s="1617"/>
    </row>
    <row r="76" spans="1:14" ht="12.75">
      <c r="A76" s="670" t="s">
        <v>246</v>
      </c>
      <c r="B76" s="863" t="s">
        <v>775</v>
      </c>
      <c r="C76" s="653"/>
      <c r="D76" s="864">
        <v>92500</v>
      </c>
      <c r="E76" s="116">
        <v>94118</v>
      </c>
      <c r="F76" s="262">
        <f>IF(E76=0,"",IF(AND(L76&gt;-25%,L76&lt;25%),"","Kommentera förändringen"))</f>
      </c>
      <c r="G76" s="4"/>
      <c r="H76" s="4"/>
      <c r="I76" s="4"/>
      <c r="J76" s="4"/>
      <c r="K76" s="4"/>
      <c r="L76" s="853">
        <f t="shared" si="0"/>
        <v>0.01749189189189182</v>
      </c>
      <c r="M76" s="852">
        <f t="shared" si="1"/>
        <v>9655.747636153603</v>
      </c>
      <c r="N76" s="1617"/>
    </row>
    <row r="77" spans="1:14" ht="20.25" customHeight="1">
      <c r="A77" s="670" t="s">
        <v>376</v>
      </c>
      <c r="B77" s="2183" t="s">
        <v>431</v>
      </c>
      <c r="C77" s="2185"/>
      <c r="D77" s="864">
        <v>11699</v>
      </c>
      <c r="E77" s="116">
        <v>13758</v>
      </c>
      <c r="F77" s="262">
        <f>IF(E77=0,"",IF(AND(L77&gt;-25%,L77&lt;25%),"","Kommentera förändringen"))</f>
      </c>
      <c r="G77" s="4"/>
      <c r="H77" s="4"/>
      <c r="I77" s="4"/>
      <c r="J77" s="4"/>
      <c r="K77" s="4"/>
      <c r="L77" s="853">
        <f t="shared" si="0"/>
        <v>0.17599794854261042</v>
      </c>
      <c r="M77" s="852">
        <f t="shared" si="1"/>
        <v>1411.459826794038</v>
      </c>
      <c r="N77" s="1617"/>
    </row>
    <row r="78" spans="1:14" ht="18.75" customHeight="1">
      <c r="A78" s="670" t="s">
        <v>377</v>
      </c>
      <c r="B78" s="2183" t="s">
        <v>432</v>
      </c>
      <c r="C78" s="2184"/>
      <c r="D78" s="864">
        <v>227870</v>
      </c>
      <c r="E78" s="210">
        <v>218680</v>
      </c>
      <c r="F78" s="262"/>
      <c r="G78" s="4"/>
      <c r="H78" s="4"/>
      <c r="I78" s="4"/>
      <c r="J78" s="4"/>
      <c r="K78" s="4"/>
      <c r="L78" s="853">
        <f t="shared" si="0"/>
        <v>-0.040330012726554565</v>
      </c>
      <c r="M78" s="852">
        <f t="shared" si="1"/>
        <v>22434.804108396587</v>
      </c>
      <c r="N78" s="1617"/>
    </row>
    <row r="79" spans="1:14" ht="18" customHeight="1" thickBot="1">
      <c r="A79" s="674" t="s">
        <v>378</v>
      </c>
      <c r="B79" s="865" t="s">
        <v>776</v>
      </c>
      <c r="C79" s="866"/>
      <c r="D79" s="867">
        <v>445646</v>
      </c>
      <c r="E79" s="409">
        <f>SUM(E74:E78)</f>
        <v>440369</v>
      </c>
      <c r="F79" s="262"/>
      <c r="G79" s="1824" t="s">
        <v>1179</v>
      </c>
      <c r="H79" s="1825"/>
      <c r="I79" s="860" t="s">
        <v>1173</v>
      </c>
      <c r="J79" s="334">
        <v>191324</v>
      </c>
      <c r="K79" s="371"/>
      <c r="L79" s="854">
        <f t="shared" si="0"/>
        <v>-0.011841237215188705</v>
      </c>
      <c r="M79" s="720">
        <f t="shared" si="1"/>
        <v>45178.30734594154</v>
      </c>
      <c r="N79" s="1617"/>
    </row>
    <row r="80" spans="1:13" ht="12.75">
      <c r="A80" s="14"/>
      <c r="B80" s="1"/>
      <c r="C80" s="1"/>
      <c r="D80" s="1"/>
      <c r="E80" s="1"/>
      <c r="F80" s="1576"/>
      <c r="G80" s="1961" t="s">
        <v>1180</v>
      </c>
      <c r="H80" s="1818"/>
      <c r="I80" s="1896" t="s">
        <v>1177</v>
      </c>
      <c r="J80" s="333">
        <v>140302</v>
      </c>
      <c r="K80" s="4"/>
      <c r="L80" s="4"/>
      <c r="M80" s="4"/>
    </row>
    <row r="81" spans="1:13" ht="16.5" thickBot="1">
      <c r="A81" s="90" t="s">
        <v>220</v>
      </c>
      <c r="B81" s="4"/>
      <c r="C81" s="4"/>
      <c r="D81" s="4"/>
      <c r="E81" s="4"/>
      <c r="F81" s="80"/>
      <c r="G81" s="4"/>
      <c r="H81" s="4"/>
      <c r="I81" s="4"/>
      <c r="J81" s="161">
        <f>IF(E79=0,"",IF(SUM(J79)&gt;E79,"Däravrad 151 &gt; rad 160",IF(J79="","skriv belopp eller 0","")))</f>
      </c>
      <c r="K81" s="4"/>
      <c r="L81" s="4"/>
      <c r="M81" s="4"/>
    </row>
    <row r="82" spans="1:13" ht="12.75">
      <c r="A82" s="694" t="s">
        <v>372</v>
      </c>
      <c r="B82" s="869" t="s">
        <v>219</v>
      </c>
      <c r="C82" s="869"/>
      <c r="D82" s="870"/>
      <c r="E82" s="218">
        <v>20327</v>
      </c>
      <c r="F82" s="262"/>
      <c r="G82" s="4"/>
      <c r="H82" s="4"/>
      <c r="I82" s="4"/>
      <c r="J82" s="161">
        <f>IF(J79=0,"",IF(SUM(J80)&gt;J79,"Varav-rad 152 &gt; rad 151 ",IF(J80="","skriv belopp eller 0","")))</f>
      </c>
      <c r="K82" s="4"/>
      <c r="L82" s="4"/>
      <c r="M82" s="4"/>
    </row>
    <row r="83" spans="1:13" ht="12.75">
      <c r="A83" s="679" t="s">
        <v>1191</v>
      </c>
      <c r="B83" s="871" t="s">
        <v>1152</v>
      </c>
      <c r="C83" s="872"/>
      <c r="D83" s="873"/>
      <c r="E83" s="219">
        <v>601</v>
      </c>
      <c r="F83" s="262"/>
      <c r="G83" s="4"/>
      <c r="H83" s="4"/>
      <c r="I83" s="4"/>
      <c r="J83" s="4"/>
      <c r="K83" s="4"/>
      <c r="L83" s="4"/>
      <c r="M83" s="4"/>
    </row>
    <row r="84" spans="1:13" ht="13.5" thickBot="1">
      <c r="A84" s="674" t="s">
        <v>373</v>
      </c>
      <c r="B84" s="874" t="s">
        <v>497</v>
      </c>
      <c r="C84" s="874"/>
      <c r="D84" s="875"/>
      <c r="E84" s="214">
        <v>11864</v>
      </c>
      <c r="F84" s="262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1928"/>
      <c r="B86" s="1929"/>
      <c r="C86" s="1929"/>
      <c r="D86" s="1929"/>
      <c r="E86" s="1929"/>
      <c r="F86" s="194"/>
      <c r="G86" s="4"/>
      <c r="H86" s="4"/>
      <c r="I86" s="4"/>
      <c r="J86" s="4"/>
      <c r="K86" s="4"/>
      <c r="L86" s="4"/>
      <c r="M86" s="4"/>
    </row>
    <row r="87" spans="1:13" ht="12.75">
      <c r="A87" s="2162"/>
      <c r="B87" s="2162"/>
      <c r="C87" s="2162"/>
      <c r="D87" s="2162"/>
      <c r="E87" s="2162"/>
      <c r="F87" s="194"/>
      <c r="G87" s="4"/>
      <c r="H87" s="4"/>
      <c r="I87" s="4"/>
      <c r="J87" s="4"/>
      <c r="K87" s="4"/>
      <c r="L87" s="4"/>
      <c r="M87" s="4"/>
    </row>
    <row r="88" spans="1:13" ht="12.75">
      <c r="A88" s="2162"/>
      <c r="B88" s="2162"/>
      <c r="C88" s="2162"/>
      <c r="D88" s="2162"/>
      <c r="E88" s="2162"/>
      <c r="F88" s="194"/>
      <c r="G88" s="4"/>
      <c r="H88" s="4"/>
      <c r="I88" s="4"/>
      <c r="J88" s="4"/>
      <c r="K88" s="4"/>
      <c r="L88" s="4"/>
      <c r="M88" s="4"/>
    </row>
    <row r="89" spans="1:13" ht="12.75">
      <c r="A89" s="2162"/>
      <c r="B89" s="2162"/>
      <c r="C89" s="2162"/>
      <c r="D89" s="2162"/>
      <c r="E89" s="2162"/>
      <c r="F89" s="194"/>
      <c r="G89" s="4"/>
      <c r="H89" s="4"/>
      <c r="I89" s="4"/>
      <c r="J89" s="4"/>
      <c r="K89" s="4"/>
      <c r="L89" s="4"/>
      <c r="M89" s="4"/>
    </row>
    <row r="90" spans="1:5" ht="12.75">
      <c r="A90" s="2162"/>
      <c r="B90" s="2162"/>
      <c r="C90" s="2162"/>
      <c r="D90" s="2162"/>
      <c r="E90" s="2162"/>
    </row>
    <row r="91" ht="12.75"/>
    <row r="92" ht="12.75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</sheetData>
  <sheetProtection/>
  <mergeCells count="8">
    <mergeCell ref="L4:M4"/>
    <mergeCell ref="L36:M36"/>
    <mergeCell ref="G70:J70"/>
    <mergeCell ref="A87:E90"/>
    <mergeCell ref="O5:O6"/>
    <mergeCell ref="B5:B6"/>
    <mergeCell ref="B78:C78"/>
    <mergeCell ref="B77:C77"/>
  </mergeCells>
  <conditionalFormatting sqref="D19:E19 D9:D11 D13:D15 E9 E12 E17 E82 E30:E31 D31 E84 D44:D47 E48 J13 J15 J22 J24 J26 J47 D49:D54 E55 E65 E74:E78 J54 J56:J57 J61 D56:D64 D21:E21 D23:D28">
    <cfRule type="cellIs" priority="4" dxfId="0" operator="lessThan" stopIfTrue="1">
      <formula>-500</formula>
    </cfRule>
  </conditionalFormatting>
  <conditionalFormatting sqref="D22">
    <cfRule type="cellIs" priority="2" dxfId="0" operator="lessThan" stopIfTrue="1">
      <formula>-500</formula>
    </cfRule>
  </conditionalFormatting>
  <conditionalFormatting sqref="J79:J80">
    <cfRule type="cellIs" priority="1" dxfId="0" operator="lessThan" stopIfTrue="1">
      <formula>-500</formula>
    </cfRule>
  </conditionalFormatting>
  <dataValidations count="1">
    <dataValidation type="decimal" operator="lessThan" allowBlank="1" showInputMessage="1" showErrorMessage="1" error="Beloppet ska vara i 1000 tal kronor" sqref="D9:E9 J61 E82:E84 E74:E78 J56:J57 J54 J47 J24:J26 J22 J15 J13 E65 E55 D49:D54 E48 D43:D47 D56:D64 D31 E30:E31 D42:E42 D21:E21 D19:E19 E17 D13:D16 E12 D10:D11 D38:E40 D22:D29 J20 E43">
      <formula1>999999999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headerFooter>
    <oddHeader>&amp;L&amp;8Statistiska Centralbyrån
Offentlig ekonomi&amp;R&amp;P</oddHeader>
  </headerFooter>
  <rowBreaks count="1" manualBreakCount="1">
    <brk id="48" max="255" man="1"/>
  </rowBreaks>
  <ignoredErrors>
    <ignoredError sqref="A9:A15 B15:B65 A37:A79 G47:H61 G13:H26 A16:A33 G79:G81 A82:A83 A84" numberStoredAsText="1"/>
    <ignoredError sqref="D30:D38 D12 L45" formulaRange="1"/>
    <ignoredError sqref="E39 D43:E43" unlockedFormula="1"/>
    <ignoredError sqref="D39" formulaRange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79"/>
  <sheetViews>
    <sheetView showGridLines="0" zoomScalePageLayoutView="0" workbookViewId="0" topLeftCell="A1">
      <pane ySplit="1" topLeftCell="A20" activePane="bottomLeft" state="frozen"/>
      <selection pane="topLeft" activeCell="F32" sqref="F32"/>
      <selection pane="bottomLeft" activeCell="A29" sqref="A29:A31"/>
    </sheetView>
  </sheetViews>
  <sheetFormatPr defaultColWidth="0" defaultRowHeight="12.75"/>
  <cols>
    <col min="1" max="1" width="4.00390625" style="192" customWidth="1"/>
    <col min="2" max="2" width="10.140625" style="192" customWidth="1"/>
    <col min="3" max="3" width="31.28125" style="192" customWidth="1"/>
    <col min="4" max="4" width="9.8515625" style="192" bestFit="1" customWidth="1"/>
    <col min="5" max="5" width="9.7109375" style="192" customWidth="1"/>
    <col min="6" max="6" width="4.00390625" style="192" customWidth="1"/>
    <col min="7" max="7" width="6.8515625" style="192" customWidth="1"/>
    <col min="8" max="8" width="27.00390625" style="192" customWidth="1"/>
    <col min="9" max="9" width="9.140625" style="192" customWidth="1"/>
    <col min="10" max="10" width="20.57421875" style="192" customWidth="1"/>
    <col min="11" max="11" width="1.7109375" style="192" customWidth="1"/>
    <col min="12" max="12" width="3.7109375" style="192" customWidth="1"/>
    <col min="13" max="13" width="9.140625" style="192" customWidth="1"/>
    <col min="14" max="14" width="8.7109375" style="192" customWidth="1"/>
    <col min="15" max="15" width="0.13671875" style="192" customWidth="1"/>
    <col min="16" max="16" width="1.57421875" style="192" customWidth="1"/>
    <col min="17" max="17" width="8.00390625" style="192" customWidth="1"/>
    <col min="18" max="18" width="16.00390625" style="192" hidden="1" customWidth="1"/>
    <col min="19" max="16384" width="0" style="192" hidden="1" customWidth="1"/>
  </cols>
  <sheetData>
    <row r="1" spans="1:16" s="230" customFormat="1" ht="20.25">
      <c r="A1" s="110" t="str">
        <f>"Verksamhetens intäkter och kostnader "&amp;År&amp;", miljoner kronor"</f>
        <v>Verksamhetens intäkter och kostnader 2014, miljoner kronor</v>
      </c>
      <c r="B1" s="191"/>
      <c r="C1" s="191"/>
      <c r="D1" s="191"/>
      <c r="E1" s="191"/>
      <c r="F1" s="191"/>
      <c r="G1" s="191"/>
      <c r="H1" s="590"/>
      <c r="I1" s="586" t="s">
        <v>502</v>
      </c>
      <c r="J1" s="587" t="str">
        <f>'Kn Information'!B2</f>
        <v>RIKSTOTAL</v>
      </c>
      <c r="K1" s="587"/>
      <c r="L1" s="587"/>
      <c r="M1" s="587"/>
      <c r="N1" s="587"/>
      <c r="O1" s="587"/>
      <c r="P1" s="1689"/>
    </row>
    <row r="2" spans="1:11" s="230" customFormat="1" ht="12.75" customHeight="1">
      <c r="A2" s="1548"/>
      <c r="D2" s="1707"/>
      <c r="E2" s="166"/>
      <c r="F2" s="192"/>
      <c r="G2" s="192"/>
      <c r="H2" s="192"/>
      <c r="I2" s="1660"/>
      <c r="J2" s="166"/>
      <c r="K2" s="47"/>
    </row>
    <row r="3" spans="4:12" s="230" customFormat="1" ht="12.75" customHeight="1">
      <c r="D3" s="192"/>
      <c r="E3" s="166"/>
      <c r="F3" s="192"/>
      <c r="G3" s="192"/>
      <c r="H3" s="192"/>
      <c r="I3" s="1660"/>
      <c r="J3" s="166"/>
      <c r="K3" s="47"/>
      <c r="L3" s="1609" t="s">
        <v>1181</v>
      </c>
    </row>
    <row r="4" spans="1:12" s="230" customFormat="1" ht="16.5" customHeight="1" thickBot="1">
      <c r="A4" s="90" t="s">
        <v>397</v>
      </c>
      <c r="B4" s="4"/>
      <c r="C4" s="4"/>
      <c r="D4" s="192"/>
      <c r="E4" s="166"/>
      <c r="F4" s="192"/>
      <c r="G4" s="192"/>
      <c r="H4" s="192"/>
      <c r="I4" s="192"/>
      <c r="J4" s="192"/>
      <c r="K4" s="4"/>
      <c r="L4" s="1609" t="s">
        <v>1182</v>
      </c>
    </row>
    <row r="5" spans="1:16" s="230" customFormat="1" ht="12.75" customHeight="1">
      <c r="A5" s="687" t="s">
        <v>695</v>
      </c>
      <c r="B5" s="1821" t="s">
        <v>865</v>
      </c>
      <c r="C5" s="686"/>
      <c r="D5" s="893" t="s">
        <v>1190</v>
      </c>
      <c r="E5" s="4"/>
      <c r="H5" s="4"/>
      <c r="I5" s="4"/>
      <c r="J5" s="4"/>
      <c r="K5" s="4"/>
      <c r="L5" s="687" t="s">
        <v>695</v>
      </c>
      <c r="M5" s="892" t="s">
        <v>511</v>
      </c>
      <c r="N5" s="893" t="s">
        <v>853</v>
      </c>
      <c r="O5" s="1994"/>
      <c r="P5" s="1690"/>
    </row>
    <row r="6" spans="1:16" s="230" customFormat="1" ht="20.25" customHeight="1">
      <c r="A6" s="876" t="s">
        <v>698</v>
      </c>
      <c r="B6" s="2181"/>
      <c r="C6" s="878"/>
      <c r="D6" s="891">
        <v>2014</v>
      </c>
      <c r="E6" s="4"/>
      <c r="H6" s="78"/>
      <c r="I6" s="78"/>
      <c r="J6" s="4"/>
      <c r="K6" s="4"/>
      <c r="L6" s="876" t="s">
        <v>698</v>
      </c>
      <c r="M6" s="894">
        <v>2013</v>
      </c>
      <c r="N6" s="895" t="s">
        <v>1153</v>
      </c>
      <c r="O6" s="1995"/>
      <c r="P6" s="1690"/>
    </row>
    <row r="7" spans="1:16" s="230" customFormat="1" ht="15" customHeight="1">
      <c r="A7" s="879"/>
      <c r="B7" s="2189"/>
      <c r="C7" s="880"/>
      <c r="D7" s="779"/>
      <c r="E7" s="4"/>
      <c r="H7" s="78"/>
      <c r="I7" s="78"/>
      <c r="J7" s="4"/>
      <c r="K7" s="4"/>
      <c r="L7" s="879"/>
      <c r="M7" s="896"/>
      <c r="N7" s="897" t="s">
        <v>854</v>
      </c>
      <c r="O7" s="1996"/>
      <c r="P7" s="1690"/>
    </row>
    <row r="8" spans="1:16" s="230" customFormat="1" ht="13.5" thickBot="1">
      <c r="A8" s="633">
        <v>130</v>
      </c>
      <c r="B8" s="1822" t="s">
        <v>868</v>
      </c>
      <c r="C8" s="1713" t="s">
        <v>881</v>
      </c>
      <c r="D8" s="251">
        <v>9297</v>
      </c>
      <c r="E8" s="202"/>
      <c r="F8" s="4"/>
      <c r="G8" s="4"/>
      <c r="H8" s="78"/>
      <c r="I8" s="78"/>
      <c r="J8" s="4"/>
      <c r="K8" s="4"/>
      <c r="L8" s="633">
        <v>130</v>
      </c>
      <c r="M8" s="1585">
        <v>7474</v>
      </c>
      <c r="N8" s="2005">
        <f>IF(ISERROR((D8-M8)/M8),0,((D8-M8)/M8))</f>
        <v>0.24391222906074392</v>
      </c>
      <c r="O8" s="1997"/>
      <c r="P8" s="1691"/>
    </row>
    <row r="9" spans="1:16" s="230" customFormat="1" ht="12.75">
      <c r="A9" s="882">
        <v>200</v>
      </c>
      <c r="B9" s="883">
        <v>311</v>
      </c>
      <c r="C9" s="884" t="s">
        <v>777</v>
      </c>
      <c r="D9" s="199">
        <v>2383</v>
      </c>
      <c r="E9" s="202"/>
      <c r="F9" s="4"/>
      <c r="G9" s="4"/>
      <c r="H9" s="78"/>
      <c r="I9" s="78"/>
      <c r="J9" s="4"/>
      <c r="K9" s="4"/>
      <c r="L9" s="1553"/>
      <c r="M9" s="1586"/>
      <c r="N9" s="2006"/>
      <c r="O9" s="1998"/>
      <c r="P9" s="1691"/>
    </row>
    <row r="10" spans="1:16" s="230" customFormat="1" ht="12.75">
      <c r="A10" s="885">
        <v>210</v>
      </c>
      <c r="B10" s="753">
        <v>312</v>
      </c>
      <c r="C10" s="884" t="s">
        <v>929</v>
      </c>
      <c r="D10" s="199">
        <v>332</v>
      </c>
      <c r="E10" s="202"/>
      <c r="F10" s="4"/>
      <c r="G10" s="4"/>
      <c r="H10" s="78"/>
      <c r="I10" s="78"/>
      <c r="J10" s="4"/>
      <c r="K10" s="4"/>
      <c r="L10" s="1554"/>
      <c r="M10" s="1269"/>
      <c r="N10" s="2007"/>
      <c r="O10" s="1999"/>
      <c r="P10" s="1691"/>
    </row>
    <row r="11" spans="1:16" s="230" customFormat="1" ht="19.5" customHeight="1">
      <c r="A11" s="885">
        <v>280</v>
      </c>
      <c r="B11" s="1812" t="s">
        <v>1003</v>
      </c>
      <c r="C11" s="884" t="s">
        <v>778</v>
      </c>
      <c r="D11" s="199">
        <v>30307</v>
      </c>
      <c r="E11" s="202"/>
      <c r="F11" s="4"/>
      <c r="G11" s="4"/>
      <c r="H11" s="78"/>
      <c r="I11" s="78"/>
      <c r="J11" s="4"/>
      <c r="K11" s="4"/>
      <c r="L11" s="882"/>
      <c r="M11" s="1531"/>
      <c r="N11" s="2008"/>
      <c r="O11" s="2000"/>
      <c r="P11" s="1691"/>
    </row>
    <row r="12" spans="1:16" s="230" customFormat="1" ht="13.5" thickBot="1">
      <c r="A12" s="886">
        <v>290</v>
      </c>
      <c r="B12" s="634"/>
      <c r="C12" s="887" t="s">
        <v>779</v>
      </c>
      <c r="D12" s="410">
        <f>SUM(D9:D11)</f>
        <v>33022</v>
      </c>
      <c r="E12" s="202"/>
      <c r="F12" s="193"/>
      <c r="G12" s="4"/>
      <c r="H12" s="78"/>
      <c r="I12" s="78"/>
      <c r="J12" s="4"/>
      <c r="K12" s="4"/>
      <c r="L12" s="886">
        <v>290</v>
      </c>
      <c r="M12" s="1535">
        <v>32748</v>
      </c>
      <c r="N12" s="2009">
        <f>IF(ISERROR((D12-M12)/M12),0,((D12-M12)/M12))</f>
        <v>0.008366923170880664</v>
      </c>
      <c r="O12" s="2001"/>
      <c r="P12" s="1691"/>
    </row>
    <row r="13" spans="1:16" s="230" customFormat="1" ht="12.75">
      <c r="A13" s="639">
        <v>400</v>
      </c>
      <c r="B13" s="631">
        <v>341</v>
      </c>
      <c r="C13" s="888" t="s">
        <v>780</v>
      </c>
      <c r="D13" s="199">
        <v>12545</v>
      </c>
      <c r="E13" s="202"/>
      <c r="F13" s="4"/>
      <c r="G13" s="4"/>
      <c r="H13" s="78"/>
      <c r="I13" s="78"/>
      <c r="J13" s="4"/>
      <c r="K13" s="4"/>
      <c r="L13" s="639">
        <v>400</v>
      </c>
      <c r="M13" s="1531">
        <v>12271</v>
      </c>
      <c r="N13" s="2008">
        <f>IF(ISERROR((D13-M13)/M13),0,((D13-M13)/M13))</f>
        <v>0.022329068535571674</v>
      </c>
      <c r="O13" s="2000"/>
      <c r="P13" s="1691"/>
    </row>
    <row r="14" spans="1:16" s="230" customFormat="1" ht="12.75">
      <c r="A14" s="636">
        <v>420</v>
      </c>
      <c r="B14" s="753">
        <v>342</v>
      </c>
      <c r="C14" s="888" t="s">
        <v>781</v>
      </c>
      <c r="D14" s="199">
        <v>4733</v>
      </c>
      <c r="E14" s="202"/>
      <c r="F14" s="4"/>
      <c r="G14" s="4"/>
      <c r="H14" s="78"/>
      <c r="I14" s="78"/>
      <c r="J14" s="4"/>
      <c r="K14" s="4"/>
      <c r="L14" s="642"/>
      <c r="M14" s="1278"/>
      <c r="N14" s="2010"/>
      <c r="O14" s="2002"/>
      <c r="P14" s="1691"/>
    </row>
    <row r="15" spans="1:16" s="230" customFormat="1" ht="12.75">
      <c r="A15" s="636">
        <v>480</v>
      </c>
      <c r="B15" s="753" t="s">
        <v>782</v>
      </c>
      <c r="C15" s="888" t="s">
        <v>869</v>
      </c>
      <c r="D15" s="199">
        <v>1266</v>
      </c>
      <c r="E15" s="202"/>
      <c r="G15" s="194"/>
      <c r="H15" s="245"/>
      <c r="I15" s="245"/>
      <c r="J15" s="4"/>
      <c r="K15" s="4"/>
      <c r="L15" s="907"/>
      <c r="M15" s="1269"/>
      <c r="N15" s="2007"/>
      <c r="O15" s="1999"/>
      <c r="P15" s="1691"/>
    </row>
    <row r="16" spans="1:16" s="230" customFormat="1" ht="13.5" thickBot="1">
      <c r="A16" s="649">
        <v>490</v>
      </c>
      <c r="B16" s="881"/>
      <c r="C16" s="889" t="s">
        <v>783</v>
      </c>
      <c r="D16" s="410">
        <f>SUM(D13:D15)</f>
        <v>18544</v>
      </c>
      <c r="E16" s="202"/>
      <c r="F16" s="47"/>
      <c r="G16" s="47"/>
      <c r="H16" s="342"/>
      <c r="I16" s="245"/>
      <c r="J16" s="4"/>
      <c r="K16" s="4"/>
      <c r="L16" s="633">
        <v>490</v>
      </c>
      <c r="M16" s="1587">
        <v>18182</v>
      </c>
      <c r="N16" s="2011">
        <f>IF(ISERROR((D16-M16)/M16),0,((D16-M16)/M16))</f>
        <v>0.01990980090199098</v>
      </c>
      <c r="O16" s="2003"/>
      <c r="P16" s="1691"/>
    </row>
    <row r="17" spans="1:16" s="230" customFormat="1" ht="12.75">
      <c r="A17" s="882">
        <v>500</v>
      </c>
      <c r="B17" s="883">
        <v>351</v>
      </c>
      <c r="C17" s="888" t="s">
        <v>969</v>
      </c>
      <c r="D17" s="199">
        <v>20089</v>
      </c>
      <c r="E17" s="261"/>
      <c r="F17" s="1704"/>
      <c r="G17" s="1704"/>
      <c r="H17" s="1705"/>
      <c r="I17" s="1706"/>
      <c r="J17" s="330"/>
      <c r="K17" s="4"/>
      <c r="L17" s="1553"/>
      <c r="M17" s="1586"/>
      <c r="N17" s="2006"/>
      <c r="O17" s="1998"/>
      <c r="P17" s="1691"/>
    </row>
    <row r="18" spans="1:16" s="230" customFormat="1" ht="12.75">
      <c r="A18" s="885">
        <v>510</v>
      </c>
      <c r="B18" s="627">
        <v>351</v>
      </c>
      <c r="C18" s="888" t="s">
        <v>970</v>
      </c>
      <c r="D18" s="199">
        <v>3920</v>
      </c>
      <c r="E18" s="202"/>
      <c r="F18" s="1704"/>
      <c r="G18" s="1701"/>
      <c r="H18" s="106"/>
      <c r="I18" s="1703"/>
      <c r="J18" s="4"/>
      <c r="K18" s="4"/>
      <c r="L18" s="1554"/>
      <c r="M18" s="1269"/>
      <c r="N18" s="2007"/>
      <c r="O18" s="1999"/>
      <c r="P18" s="1691"/>
    </row>
    <row r="19" spans="1:16" s="230" customFormat="1" ht="12.75">
      <c r="A19" s="885">
        <v>520</v>
      </c>
      <c r="B19" s="627">
        <v>351</v>
      </c>
      <c r="C19" s="884" t="s">
        <v>870</v>
      </c>
      <c r="D19" s="199">
        <v>2467</v>
      </c>
      <c r="E19" s="202"/>
      <c r="F19" s="91" t="s">
        <v>871</v>
      </c>
      <c r="G19" s="1704"/>
      <c r="H19" s="106"/>
      <c r="I19" s="1707"/>
      <c r="J19" s="4"/>
      <c r="K19" s="4"/>
      <c r="L19" s="1554"/>
      <c r="M19" s="1269"/>
      <c r="N19" s="2007"/>
      <c r="O19" s="1999"/>
      <c r="P19" s="1691"/>
    </row>
    <row r="20" spans="1:18" s="230" customFormat="1" ht="12.75">
      <c r="A20" s="885">
        <v>525</v>
      </c>
      <c r="B20" s="627">
        <v>354</v>
      </c>
      <c r="C20" s="888" t="s">
        <v>882</v>
      </c>
      <c r="D20" s="199">
        <v>7725</v>
      </c>
      <c r="E20" s="202"/>
      <c r="F20" s="1693"/>
      <c r="G20" s="1701"/>
      <c r="H20" s="1702"/>
      <c r="I20" s="1703"/>
      <c r="J20" s="4"/>
      <c r="K20" s="4"/>
      <c r="L20" s="882"/>
      <c r="M20" s="1531"/>
      <c r="N20" s="2008"/>
      <c r="O20" s="2000"/>
      <c r="P20" s="1691"/>
      <c r="R20" s="192"/>
    </row>
    <row r="21" spans="1:18" s="230" customFormat="1" ht="12.75">
      <c r="A21" s="885">
        <v>527</v>
      </c>
      <c r="B21" s="627">
        <v>356</v>
      </c>
      <c r="C21" s="888" t="s">
        <v>883</v>
      </c>
      <c r="D21" s="252">
        <v>5574</v>
      </c>
      <c r="E21" s="202"/>
      <c r="F21" s="4"/>
      <c r="G21" s="78"/>
      <c r="H21" s="78"/>
      <c r="I21" s="78"/>
      <c r="J21" s="4"/>
      <c r="K21" s="4"/>
      <c r="L21" s="885">
        <v>527</v>
      </c>
      <c r="M21" s="1520">
        <v>5282</v>
      </c>
      <c r="N21" s="2012">
        <f>IF(ISERROR((D21-M21)/M21),0,((D21-M21)/M21))</f>
        <v>0.05528209011737978</v>
      </c>
      <c r="O21" s="2004"/>
      <c r="P21" s="1691"/>
      <c r="R21" s="192"/>
    </row>
    <row r="22" spans="1:18" s="230" customFormat="1" ht="12.75">
      <c r="A22" s="885">
        <v>550</v>
      </c>
      <c r="B22" s="627">
        <v>358</v>
      </c>
      <c r="C22" s="884" t="s">
        <v>221</v>
      </c>
      <c r="D22" s="252">
        <v>599</v>
      </c>
      <c r="E22" s="202"/>
      <c r="F22" s="4"/>
      <c r="G22" s="4"/>
      <c r="H22" s="78"/>
      <c r="I22" s="78"/>
      <c r="J22" s="4"/>
      <c r="K22" s="4"/>
      <c r="L22" s="1555"/>
      <c r="M22" s="1278"/>
      <c r="N22" s="2010"/>
      <c r="O22" s="2002"/>
      <c r="P22" s="1691"/>
      <c r="R22" s="192"/>
    </row>
    <row r="23" spans="1:18" s="230" customFormat="1" ht="18.75">
      <c r="A23" s="885">
        <v>580</v>
      </c>
      <c r="B23" s="627" t="s">
        <v>522</v>
      </c>
      <c r="C23" s="1624" t="s">
        <v>884</v>
      </c>
      <c r="D23" s="252">
        <v>2169</v>
      </c>
      <c r="E23" s="1905"/>
      <c r="F23" s="1906"/>
      <c r="G23" s="1907"/>
      <c r="H23" s="1908"/>
      <c r="I23" s="32"/>
      <c r="J23" s="1731" t="str">
        <f>IF(SUM(I23)&gt;D23,"Däravrad 585 &gt; rad 580",IF(I23&lt;&gt;0,"","Belopp saknas"))</f>
        <v>Belopp saknas</v>
      </c>
      <c r="K23" s="4"/>
      <c r="L23" s="882"/>
      <c r="M23" s="1531"/>
      <c r="N23" s="2008"/>
      <c r="O23" s="2000"/>
      <c r="P23" s="1691"/>
      <c r="R23" s="1693"/>
    </row>
    <row r="24" spans="1:18" s="230" customFormat="1" ht="13.5" thickBot="1">
      <c r="A24" s="886">
        <v>590</v>
      </c>
      <c r="B24" s="634"/>
      <c r="C24" s="890" t="s">
        <v>784</v>
      </c>
      <c r="D24" s="410">
        <f>SUM(D17:D23)</f>
        <v>42543</v>
      </c>
      <c r="E24" s="202"/>
      <c r="F24" s="4"/>
      <c r="G24" s="47"/>
      <c r="H24" s="78"/>
      <c r="I24" s="78"/>
      <c r="J24" s="4"/>
      <c r="K24" s="4"/>
      <c r="L24" s="886">
        <v>590</v>
      </c>
      <c r="M24" s="1535">
        <v>46369</v>
      </c>
      <c r="N24" s="2009">
        <f>IF(ISERROR((D24-M24)/M24),0,((D24-M24)/M24))</f>
        <v>-0.08251202311889409</v>
      </c>
      <c r="O24" s="2003"/>
      <c r="P24" s="1691"/>
      <c r="R24" s="1693"/>
    </row>
    <row r="25" spans="1:18" s="230" customFormat="1" ht="12.75">
      <c r="A25" s="639">
        <v>310</v>
      </c>
      <c r="B25" s="631" t="s">
        <v>951</v>
      </c>
      <c r="C25" s="884" t="s">
        <v>952</v>
      </c>
      <c r="D25" s="252">
        <v>11177</v>
      </c>
      <c r="E25" s="202"/>
      <c r="F25" s="1824" t="s">
        <v>962</v>
      </c>
      <c r="G25" s="1825" t="s">
        <v>957</v>
      </c>
      <c r="H25" s="860" t="s">
        <v>873</v>
      </c>
      <c r="I25" s="334">
        <v>10880</v>
      </c>
      <c r="J25" s="1610">
        <f>IF(SUM(I25)&gt;D25,"Däravrad 317 &gt; rad 310","")</f>
      </c>
      <c r="K25" s="4"/>
      <c r="L25" s="1556"/>
      <c r="M25" s="1586"/>
      <c r="N25" s="2006"/>
      <c r="O25" s="1998"/>
      <c r="P25" s="1691"/>
      <c r="R25" s="1693"/>
    </row>
    <row r="26" spans="1:18" s="230" customFormat="1" ht="12.75">
      <c r="A26" s="636">
        <v>320</v>
      </c>
      <c r="B26" s="753" t="s">
        <v>955</v>
      </c>
      <c r="C26" s="888" t="s">
        <v>953</v>
      </c>
      <c r="D26" s="252">
        <v>542</v>
      </c>
      <c r="E26" s="202"/>
      <c r="F26" s="1826" t="s">
        <v>963</v>
      </c>
      <c r="G26" s="1827">
        <v>361</v>
      </c>
      <c r="H26" s="931" t="s">
        <v>872</v>
      </c>
      <c r="I26" s="1669">
        <v>501</v>
      </c>
      <c r="J26" s="1610">
        <f>IF(SUM(I26)&gt;D26,"Däravrad 327 &gt; rad 320","")</f>
      </c>
      <c r="K26" s="4"/>
      <c r="L26" s="907"/>
      <c r="M26" s="1269"/>
      <c r="N26" s="2007"/>
      <c r="O26" s="1999"/>
      <c r="P26" s="1691"/>
      <c r="R26" s="192"/>
    </row>
    <row r="27" spans="1:16" s="230" customFormat="1" ht="16.5" customHeight="1">
      <c r="A27" s="636">
        <v>380</v>
      </c>
      <c r="B27" s="1823" t="s">
        <v>928</v>
      </c>
      <c r="C27" s="888" t="s">
        <v>954</v>
      </c>
      <c r="D27" s="252">
        <v>5173</v>
      </c>
      <c r="E27" s="202"/>
      <c r="F27" s="1704"/>
      <c r="G27" s="1704"/>
      <c r="H27" s="106"/>
      <c r="I27" s="1707"/>
      <c r="J27" s="4"/>
      <c r="K27" s="4"/>
      <c r="L27" s="639"/>
      <c r="M27" s="1531"/>
      <c r="N27" s="2008"/>
      <c r="O27" s="2000"/>
      <c r="P27" s="1691"/>
    </row>
    <row r="28" spans="1:16" s="230" customFormat="1" ht="13.5" thickBot="1">
      <c r="A28" s="642">
        <v>390</v>
      </c>
      <c r="B28" s="628"/>
      <c r="C28" s="889" t="s">
        <v>886</v>
      </c>
      <c r="D28" s="411">
        <f>SUM(D25:D27)</f>
        <v>16892</v>
      </c>
      <c r="E28" s="202"/>
      <c r="F28" s="4"/>
      <c r="G28" s="4"/>
      <c r="H28" s="78"/>
      <c r="I28" s="78"/>
      <c r="J28" s="4"/>
      <c r="K28" s="4"/>
      <c r="L28" s="649">
        <v>390</v>
      </c>
      <c r="M28" s="1535">
        <v>16522</v>
      </c>
      <c r="N28" s="2009">
        <f>IF(ISERROR((D28-M28)/M28),0,((D28-M28)/M28))</f>
        <v>0.022394383246580316</v>
      </c>
      <c r="O28" s="2003"/>
      <c r="P28" s="1691"/>
    </row>
    <row r="29" spans="1:16" s="230" customFormat="1" ht="13.5" customHeight="1" thickBot="1">
      <c r="A29" s="2152">
        <v>891</v>
      </c>
      <c r="B29" s="625">
        <v>37</v>
      </c>
      <c r="C29" s="1715" t="s">
        <v>492</v>
      </c>
      <c r="D29" s="253">
        <v>3816</v>
      </c>
      <c r="E29" s="202"/>
      <c r="F29" s="4"/>
      <c r="G29" s="4"/>
      <c r="H29" s="78"/>
      <c r="I29" s="78"/>
      <c r="J29" s="4"/>
      <c r="K29" s="4"/>
      <c r="L29" s="1556"/>
      <c r="M29" s="1586"/>
      <c r="N29" s="2006"/>
      <c r="O29" s="1998"/>
      <c r="P29" s="1691"/>
    </row>
    <row r="30" spans="1:16" s="230" customFormat="1" ht="19.5" customHeight="1">
      <c r="A30" s="2153">
        <v>892</v>
      </c>
      <c r="B30" s="626" t="s">
        <v>403</v>
      </c>
      <c r="C30" s="888" t="s">
        <v>1165</v>
      </c>
      <c r="D30" s="253">
        <v>3366</v>
      </c>
      <c r="E30" s="202"/>
      <c r="H30" s="78"/>
      <c r="I30" s="78"/>
      <c r="J30" s="4"/>
      <c r="K30" s="4"/>
      <c r="L30" s="907"/>
      <c r="M30" s="1269"/>
      <c r="N30" s="2007"/>
      <c r="O30" s="1999"/>
      <c r="P30" s="1691"/>
    </row>
    <row r="31" spans="1:16" s="230" customFormat="1" ht="13.5" thickBot="1">
      <c r="A31" s="2154">
        <v>894</v>
      </c>
      <c r="B31" s="634"/>
      <c r="C31" s="629" t="s">
        <v>498</v>
      </c>
      <c r="D31" s="344">
        <v>121</v>
      </c>
      <c r="E31" s="202">
        <f>IF(D31&lt;500,"","Vad avser övr.periodiseringar?")</f>
      </c>
      <c r="F31" s="4"/>
      <c r="G31" s="4"/>
      <c r="H31" s="78"/>
      <c r="I31" s="78"/>
      <c r="J31" s="4"/>
      <c r="K31" s="4"/>
      <c r="L31" s="907"/>
      <c r="M31" s="1269"/>
      <c r="N31" s="2007"/>
      <c r="O31" s="1999"/>
      <c r="P31" s="1691"/>
    </row>
    <row r="32" spans="1:16" s="230" customFormat="1" ht="13.5" thickBot="1">
      <c r="A32" s="630">
        <v>886</v>
      </c>
      <c r="B32" s="631"/>
      <c r="C32" s="632" t="s">
        <v>717</v>
      </c>
      <c r="D32" s="412">
        <f>SUM(D8+D12+D16+D24+D28+D29+D30+D31)</f>
        <v>127601</v>
      </c>
      <c r="E32" s="202"/>
      <c r="F32" s="1930"/>
      <c r="G32" s="1562"/>
      <c r="H32" s="1562"/>
      <c r="I32" s="1562"/>
      <c r="J32" s="1562"/>
      <c r="K32" s="4"/>
      <c r="L32" s="633"/>
      <c r="M32" s="1587"/>
      <c r="N32" s="2011"/>
      <c r="O32" s="2003"/>
      <c r="P32" s="1691"/>
    </row>
    <row r="33" spans="1:14" s="230" customFormat="1" ht="13.5" thickBot="1">
      <c r="A33" s="633">
        <v>896</v>
      </c>
      <c r="B33" s="634"/>
      <c r="C33" s="635" t="s">
        <v>100</v>
      </c>
      <c r="D33" s="345">
        <f>RR!C7</f>
        <v>127601</v>
      </c>
      <c r="F33" s="2162"/>
      <c r="G33" s="2162"/>
      <c r="H33" s="2162"/>
      <c r="I33" s="2162"/>
      <c r="J33" s="2162"/>
      <c r="K33" s="4"/>
      <c r="M33" s="20"/>
      <c r="N33" s="192"/>
    </row>
    <row r="34" spans="1:11" s="230" customFormat="1" ht="12.75">
      <c r="A34" s="4"/>
      <c r="B34" s="4"/>
      <c r="C34" s="4"/>
      <c r="D34" s="202">
        <f>IF(ABS(D32-D33)&lt;50,"",IF(OR(D32=0,D33=0),"",IF((SUM(D32)/(D33))&lt;&gt;1,(ROUND(D32-D33,0))&amp;" mnkr differens mellan verks.intäkter i RR och summan av verks.intäkter här - måste rättas!","")))</f>
      </c>
      <c r="E34" s="202"/>
      <c r="F34" s="2162"/>
      <c r="G34" s="2162"/>
      <c r="H34" s="2162"/>
      <c r="I34" s="2162"/>
      <c r="J34" s="2162"/>
      <c r="K34" s="4"/>
    </row>
    <row r="35" spans="1:12" s="230" customFormat="1" ht="12.75">
      <c r="A35" s="193"/>
      <c r="B35" s="4"/>
      <c r="C35" s="4"/>
      <c r="D35" s="4"/>
      <c r="E35" s="202"/>
      <c r="F35" s="2162"/>
      <c r="G35" s="2162"/>
      <c r="H35" s="2162"/>
      <c r="I35" s="2162"/>
      <c r="J35" s="2162"/>
      <c r="K35" s="4"/>
      <c r="L35" s="1609" t="s">
        <v>1183</v>
      </c>
    </row>
    <row r="36" spans="1:12" s="230" customFormat="1" ht="16.5" thickBot="1">
      <c r="A36" s="90" t="s">
        <v>398</v>
      </c>
      <c r="B36" s="4"/>
      <c r="C36" s="4"/>
      <c r="D36" s="4"/>
      <c r="E36" s="202"/>
      <c r="F36" s="193"/>
      <c r="G36" s="194"/>
      <c r="H36" s="245"/>
      <c r="I36" s="78"/>
      <c r="J36" s="4"/>
      <c r="K36" s="4"/>
      <c r="L36" s="1609" t="s">
        <v>1184</v>
      </c>
    </row>
    <row r="37" spans="1:16" s="229" customFormat="1" ht="12.75">
      <c r="A37" s="687" t="s">
        <v>695</v>
      </c>
      <c r="B37" s="1821" t="s">
        <v>865</v>
      </c>
      <c r="C37" s="900"/>
      <c r="D37" s="699" t="s">
        <v>1190</v>
      </c>
      <c r="E37" s="202"/>
      <c r="F37" s="91" t="s">
        <v>852</v>
      </c>
      <c r="G37" s="235"/>
      <c r="H37" s="236"/>
      <c r="I37" s="247"/>
      <c r="J37" s="204"/>
      <c r="K37" s="204"/>
      <c r="L37" s="910" t="s">
        <v>695</v>
      </c>
      <c r="M37" s="911" t="s">
        <v>511</v>
      </c>
      <c r="N37" s="912" t="s">
        <v>853</v>
      </c>
      <c r="O37" s="2020"/>
      <c r="P37" s="1690"/>
    </row>
    <row r="38" spans="1:16" s="229" customFormat="1" ht="18.75" customHeight="1">
      <c r="A38" s="901" t="s">
        <v>698</v>
      </c>
      <c r="B38" s="2181"/>
      <c r="C38" s="903"/>
      <c r="D38" s="891">
        <v>2014</v>
      </c>
      <c r="E38" s="202"/>
      <c r="F38" s="248"/>
      <c r="G38" s="85"/>
      <c r="H38" s="147"/>
      <c r="I38" s="246"/>
      <c r="J38" s="204"/>
      <c r="K38" s="204"/>
      <c r="L38" s="913" t="s">
        <v>698</v>
      </c>
      <c r="M38" s="914">
        <v>2013</v>
      </c>
      <c r="N38" s="915" t="s">
        <v>1153</v>
      </c>
      <c r="O38" s="1995"/>
      <c r="P38" s="1690"/>
    </row>
    <row r="39" spans="1:16" s="230" customFormat="1" ht="18" customHeight="1" thickBot="1">
      <c r="A39" s="904"/>
      <c r="B39" s="2189"/>
      <c r="C39" s="682"/>
      <c r="D39" s="906"/>
      <c r="E39" s="202"/>
      <c r="F39" s="795">
        <v>602</v>
      </c>
      <c r="G39" s="796">
        <v>4513</v>
      </c>
      <c r="H39" s="797" t="s">
        <v>172</v>
      </c>
      <c r="I39" s="334">
        <v>136</v>
      </c>
      <c r="J39" s="1577">
        <f>IF(I39&lt;0,"inga minusbelopp","")</f>
      </c>
      <c r="K39" s="4"/>
      <c r="L39" s="916"/>
      <c r="M39" s="917"/>
      <c r="N39" s="915" t="s">
        <v>854</v>
      </c>
      <c r="O39" s="1995"/>
      <c r="P39" s="1690"/>
    </row>
    <row r="40" spans="1:16" s="230" customFormat="1" ht="13.5" thickBot="1">
      <c r="A40" s="907">
        <v>600</v>
      </c>
      <c r="B40" s="908">
        <v>451</v>
      </c>
      <c r="C40" s="909" t="s">
        <v>785</v>
      </c>
      <c r="D40" s="218">
        <v>11925</v>
      </c>
      <c r="E40" s="202"/>
      <c r="F40" s="918">
        <v>603</v>
      </c>
      <c r="G40" s="919">
        <v>4514</v>
      </c>
      <c r="H40" s="920" t="s">
        <v>173</v>
      </c>
      <c r="I40" s="350">
        <v>132</v>
      </c>
      <c r="J40" s="161">
        <f>IF(I40&lt;0,"inga minusbelopp",IF(SUM(I39:I40)&gt;D40,"Däravraderna 602+ 603 &gt; rad 600",IF(I40&gt;Drift!H48,"Redovisas i Driften på rad 412, kol. Bidrag","")))</f>
      </c>
      <c r="K40" s="161"/>
      <c r="L40" s="1556"/>
      <c r="M40" s="1552"/>
      <c r="N40" s="2006"/>
      <c r="O40" s="2013"/>
      <c r="P40" s="1688"/>
    </row>
    <row r="41" spans="1:16" s="230" customFormat="1" ht="18" customHeight="1">
      <c r="A41" s="647">
        <v>610</v>
      </c>
      <c r="B41" s="648">
        <v>452</v>
      </c>
      <c r="C41" s="641" t="s">
        <v>786</v>
      </c>
      <c r="D41" s="116">
        <v>1150</v>
      </c>
      <c r="E41" s="202"/>
      <c r="F41" s="921">
        <v>630</v>
      </c>
      <c r="G41" s="922">
        <v>4538</v>
      </c>
      <c r="H41" s="1700" t="s">
        <v>950</v>
      </c>
      <c r="I41" s="1618">
        <v>4801</v>
      </c>
      <c r="J41" s="338"/>
      <c r="K41" s="338"/>
      <c r="L41" s="907"/>
      <c r="M41" s="877"/>
      <c r="N41" s="2007"/>
      <c r="O41" s="2014"/>
      <c r="P41" s="1688"/>
    </row>
    <row r="42" spans="1:16" s="230" customFormat="1" ht="13.5" thickBot="1">
      <c r="A42" s="647">
        <v>620</v>
      </c>
      <c r="B42" s="645">
        <v>453</v>
      </c>
      <c r="C42" s="646" t="s">
        <v>887</v>
      </c>
      <c r="D42" s="200">
        <v>13859</v>
      </c>
      <c r="E42" s="202"/>
      <c r="F42" s="664">
        <v>631</v>
      </c>
      <c r="G42" s="1832" t="s">
        <v>971</v>
      </c>
      <c r="H42" s="665" t="s">
        <v>934</v>
      </c>
      <c r="I42" s="260">
        <v>176</v>
      </c>
      <c r="J42" s="161"/>
      <c r="K42" s="161"/>
      <c r="L42" s="639"/>
      <c r="M42" s="898"/>
      <c r="N42" s="2008"/>
      <c r="O42" s="2015"/>
      <c r="P42" s="1688"/>
    </row>
    <row r="43" spans="1:16" s="230" customFormat="1" ht="12.75">
      <c r="A43" s="636">
        <v>650</v>
      </c>
      <c r="B43" s="645">
        <v>454</v>
      </c>
      <c r="C43" s="646" t="s">
        <v>876</v>
      </c>
      <c r="D43" s="200">
        <v>475</v>
      </c>
      <c r="E43" s="202"/>
      <c r="F43" s="1833" t="s">
        <v>961</v>
      </c>
      <c r="G43" s="1834" t="s">
        <v>877</v>
      </c>
      <c r="H43" s="1700" t="s">
        <v>878</v>
      </c>
      <c r="I43" s="1618">
        <v>409</v>
      </c>
      <c r="J43" s="161"/>
      <c r="K43" s="161"/>
      <c r="L43" s="907"/>
      <c r="M43" s="877"/>
      <c r="N43" s="2007"/>
      <c r="O43" s="2014"/>
      <c r="P43" s="1688"/>
    </row>
    <row r="44" spans="1:18" s="230" customFormat="1" ht="13.5" thickBot="1">
      <c r="A44" s="633">
        <v>690</v>
      </c>
      <c r="B44" s="650"/>
      <c r="C44" s="618" t="s">
        <v>888</v>
      </c>
      <c r="D44" s="413">
        <f>SUM(D40,D41,D42,D43)</f>
        <v>27409</v>
      </c>
      <c r="E44" s="202"/>
      <c r="F44" s="1835">
        <v>652</v>
      </c>
      <c r="G44" s="1836">
        <v>4542</v>
      </c>
      <c r="H44" s="1714" t="s">
        <v>879</v>
      </c>
      <c r="I44" s="1619">
        <v>69</v>
      </c>
      <c r="J44" s="161"/>
      <c r="L44" s="649">
        <v>690</v>
      </c>
      <c r="M44" s="1535">
        <v>27639</v>
      </c>
      <c r="N44" s="2009">
        <f>IF(ISERROR((D44-M44)/M44),0,((D44-M44)/M44))</f>
        <v>-0.008321574586634828</v>
      </c>
      <c r="O44" s="2016"/>
      <c r="P44" s="1692"/>
      <c r="R44" s="1687"/>
    </row>
    <row r="45" spans="1:16" s="230" customFormat="1" ht="21.75" customHeight="1">
      <c r="A45" s="651">
        <v>100</v>
      </c>
      <c r="B45" s="1829" t="s">
        <v>947</v>
      </c>
      <c r="C45" s="653" t="s">
        <v>787</v>
      </c>
      <c r="D45" s="116">
        <v>223995</v>
      </c>
      <c r="E45" s="202"/>
      <c r="F45" s="1620">
        <v>102</v>
      </c>
      <c r="G45" s="1621">
        <v>512</v>
      </c>
      <c r="H45" s="1622" t="s">
        <v>174</v>
      </c>
      <c r="I45" s="1623">
        <v>3757</v>
      </c>
      <c r="J45" s="161"/>
      <c r="K45" s="161"/>
      <c r="L45" s="882">
        <v>100</v>
      </c>
      <c r="M45" s="1531">
        <v>214902</v>
      </c>
      <c r="N45" s="2008">
        <f>IF(ISERROR((D45-M45)/M45),0,((D45-M45)/M45))</f>
        <v>0.04231230979702376</v>
      </c>
      <c r="O45" s="2017"/>
      <c r="P45" s="1688"/>
    </row>
    <row r="46" spans="1:16" s="230" customFormat="1" ht="18.75">
      <c r="A46" s="636">
        <v>110</v>
      </c>
      <c r="B46" s="637" t="s">
        <v>605</v>
      </c>
      <c r="C46" s="638" t="str">
        <f>"Sociala avg. enl. lag o. avtal (inkl. lönesk. för år 2013), exkl särskild löneskatt på pensi.avsättning"</f>
        <v>Sociala avg. enl. lag o. avtal (inkl. lönesk. för år 2013), exkl särskild löneskatt på pensi.avsättning</v>
      </c>
      <c r="D46" s="352">
        <v>72455</v>
      </c>
      <c r="E46" s="202">
        <f>IF(D45="","",IF(D46/(D45+D48+D51)&lt;0.2,"Låga sociala avgifter",IF(D46/(D45+D48+D51)&gt;0.5,"Höga sociala avgifter","")))</f>
      </c>
      <c r="F46" s="666">
        <v>111</v>
      </c>
      <c r="G46" s="1601" t="s">
        <v>861</v>
      </c>
      <c r="H46" s="667" t="s">
        <v>885</v>
      </c>
      <c r="I46" s="259">
        <v>4851</v>
      </c>
      <c r="J46" s="161"/>
      <c r="K46" s="161"/>
      <c r="L46" s="642"/>
      <c r="M46" s="1278"/>
      <c r="N46" s="2010"/>
      <c r="O46" s="2018"/>
      <c r="P46" s="1688"/>
    </row>
    <row r="47" spans="1:16" s="230" customFormat="1" ht="16.5" customHeight="1">
      <c r="A47" s="639">
        <v>115</v>
      </c>
      <c r="B47" s="640" t="s">
        <v>604</v>
      </c>
      <c r="C47" s="641" t="s">
        <v>149</v>
      </c>
      <c r="D47" s="116">
        <v>1760</v>
      </c>
      <c r="E47" s="202"/>
      <c r="F47" s="4"/>
      <c r="G47" s="4"/>
      <c r="H47" s="78"/>
      <c r="L47" s="639">
        <v>115</v>
      </c>
      <c r="M47" s="1531">
        <v>2019</v>
      </c>
      <c r="N47" s="2008">
        <f>IF(ISERROR((D47-M47)/M47),0,((D47-M47)/M47))</f>
        <v>-0.12828132738979692</v>
      </c>
      <c r="O47" s="2015"/>
      <c r="P47" s="1688"/>
    </row>
    <row r="48" spans="1:16" s="230" customFormat="1" ht="12.75">
      <c r="A48" s="642">
        <v>120</v>
      </c>
      <c r="B48" s="643">
        <v>573</v>
      </c>
      <c r="C48" s="641" t="s">
        <v>890</v>
      </c>
      <c r="D48" s="255">
        <v>9218</v>
      </c>
      <c r="E48" s="202"/>
      <c r="F48" s="795">
        <v>121</v>
      </c>
      <c r="G48" s="796" t="s">
        <v>623</v>
      </c>
      <c r="H48" s="860" t="s">
        <v>935</v>
      </c>
      <c r="I48" s="334">
        <v>1110</v>
      </c>
      <c r="L48" s="636">
        <v>120</v>
      </c>
      <c r="M48" s="1520">
        <v>9233</v>
      </c>
      <c r="N48" s="2012">
        <f>IF(ISERROR((D48-M48)/M48),0,((D48-M48)/M48))</f>
        <v>-0.0016246073865482508</v>
      </c>
      <c r="O48" s="2004"/>
      <c r="P48" s="1691"/>
    </row>
    <row r="49" spans="1:16" s="230" customFormat="1" ht="12.75">
      <c r="A49" s="642">
        <v>180</v>
      </c>
      <c r="B49" s="645">
        <v>571</v>
      </c>
      <c r="C49" s="641" t="s">
        <v>889</v>
      </c>
      <c r="D49" s="200">
        <v>761</v>
      </c>
      <c r="E49" s="202"/>
      <c r="F49" s="798">
        <v>122</v>
      </c>
      <c r="G49" s="754" t="s">
        <v>624</v>
      </c>
      <c r="H49" s="863" t="s">
        <v>936</v>
      </c>
      <c r="I49" s="335">
        <v>7665</v>
      </c>
      <c r="J49" s="1900"/>
      <c r="K49" s="4"/>
      <c r="L49" s="642"/>
      <c r="M49" s="1278"/>
      <c r="N49" s="2010"/>
      <c r="O49" s="2018"/>
      <c r="P49" s="1688"/>
    </row>
    <row r="50" spans="1:16" s="230" customFormat="1" ht="12.75">
      <c r="A50" s="647">
        <v>186</v>
      </c>
      <c r="B50" s="648">
        <v>574</v>
      </c>
      <c r="C50" s="641" t="s">
        <v>10</v>
      </c>
      <c r="D50" s="116">
        <v>104</v>
      </c>
      <c r="E50" s="202"/>
      <c r="F50" s="801">
        <v>123</v>
      </c>
      <c r="G50" s="926">
        <v>5733</v>
      </c>
      <c r="H50" s="665" t="s">
        <v>937</v>
      </c>
      <c r="I50" s="336">
        <v>317</v>
      </c>
      <c r="J50" s="176"/>
      <c r="K50" s="176"/>
      <c r="L50" s="907"/>
      <c r="M50" s="1269"/>
      <c r="N50" s="2007"/>
      <c r="O50" s="2014"/>
      <c r="P50" s="1688"/>
    </row>
    <row r="51" spans="1:16" s="230" customFormat="1" ht="12.75">
      <c r="A51" s="647">
        <v>185</v>
      </c>
      <c r="B51" s="645">
        <v>575</v>
      </c>
      <c r="C51" s="646" t="str">
        <f>"Pensionskostnad, avgiftsbestämd ålderspension"</f>
        <v>Pensionskostnad, avgiftsbestämd ålderspension</v>
      </c>
      <c r="D51" s="200">
        <v>10394</v>
      </c>
      <c r="E51" s="262">
        <f>IF(D45="","",IF(D51/D45&lt;0.03,"Låga pensionskostnader",IF(D51/D45&gt;0.06,"Höga pensionskostnader","")))</f>
      </c>
      <c r="F51" s="4"/>
      <c r="G51" s="4"/>
      <c r="H51" s="78"/>
      <c r="J51" s="4"/>
      <c r="K51" s="4"/>
      <c r="L51" s="907"/>
      <c r="M51" s="1269"/>
      <c r="N51" s="2007"/>
      <c r="O51" s="2014"/>
      <c r="P51" s="1688"/>
    </row>
    <row r="52" spans="1:16" s="230" customFormat="1" ht="13.5" thickBot="1">
      <c r="A52" s="649">
        <v>189</v>
      </c>
      <c r="B52" s="650"/>
      <c r="C52" s="618" t="s">
        <v>788</v>
      </c>
      <c r="D52" s="413">
        <f>SUM(D45,D46,D47,D48,D49,D50,D51)</f>
        <v>318687</v>
      </c>
      <c r="E52" s="202"/>
      <c r="F52" s="4"/>
      <c r="G52" s="4"/>
      <c r="H52" s="78"/>
      <c r="I52" s="78"/>
      <c r="L52" s="649"/>
      <c r="M52" s="1535"/>
      <c r="N52" s="2009"/>
      <c r="O52" s="2016"/>
      <c r="P52" s="1692"/>
    </row>
    <row r="53" spans="1:16" s="230" customFormat="1" ht="12.75">
      <c r="A53" s="651">
        <v>300</v>
      </c>
      <c r="B53" s="648" t="s">
        <v>926</v>
      </c>
      <c r="C53" s="641" t="s">
        <v>925</v>
      </c>
      <c r="D53" s="116">
        <v>8809</v>
      </c>
      <c r="E53" s="202"/>
      <c r="F53" s="792">
        <v>318</v>
      </c>
      <c r="G53" s="923">
        <v>628</v>
      </c>
      <c r="H53" s="924" t="s">
        <v>175</v>
      </c>
      <c r="I53" s="259">
        <v>432</v>
      </c>
      <c r="J53" s="161"/>
      <c r="K53" s="161"/>
      <c r="L53" s="1556"/>
      <c r="M53" s="1586"/>
      <c r="N53" s="2006"/>
      <c r="O53" s="2013"/>
      <c r="P53" s="1688"/>
    </row>
    <row r="54" spans="1:16" s="230" customFormat="1" ht="12.75">
      <c r="A54" s="647">
        <v>325</v>
      </c>
      <c r="B54" s="648">
        <v>644</v>
      </c>
      <c r="C54" s="641" t="s">
        <v>789</v>
      </c>
      <c r="D54" s="116">
        <v>6498</v>
      </c>
      <c r="E54" s="202"/>
      <c r="F54" s="4"/>
      <c r="G54" s="4"/>
      <c r="H54" s="78"/>
      <c r="J54" s="4"/>
      <c r="K54" s="4"/>
      <c r="L54" s="907"/>
      <c r="M54" s="1269"/>
      <c r="N54" s="2007"/>
      <c r="O54" s="2014"/>
      <c r="P54" s="1688"/>
    </row>
    <row r="55" spans="1:16" s="230" customFormat="1" ht="12.75">
      <c r="A55" s="647">
        <v>330</v>
      </c>
      <c r="B55" s="648">
        <v>651</v>
      </c>
      <c r="C55" s="641" t="s">
        <v>790</v>
      </c>
      <c r="D55" s="116">
        <v>377</v>
      </c>
      <c r="E55" s="202"/>
      <c r="F55" s="4"/>
      <c r="G55" s="4"/>
      <c r="H55" s="78"/>
      <c r="I55" s="78"/>
      <c r="L55" s="907"/>
      <c r="M55" s="1269"/>
      <c r="N55" s="2007"/>
      <c r="O55" s="2014"/>
      <c r="P55" s="1688"/>
    </row>
    <row r="56" spans="1:16" s="230" customFormat="1" ht="12.75">
      <c r="A56" s="647">
        <v>340</v>
      </c>
      <c r="B56" s="652" t="s">
        <v>764</v>
      </c>
      <c r="C56" s="653" t="s">
        <v>791</v>
      </c>
      <c r="D56" s="116">
        <v>15048</v>
      </c>
      <c r="E56" s="202"/>
      <c r="F56" s="1837" t="s">
        <v>960</v>
      </c>
      <c r="G56" s="1838">
        <v>641</v>
      </c>
      <c r="H56" s="1767" t="s">
        <v>899</v>
      </c>
      <c r="I56" s="1768">
        <v>2842</v>
      </c>
      <c r="J56" s="161"/>
      <c r="K56" s="4"/>
      <c r="L56" s="639"/>
      <c r="M56" s="1531"/>
      <c r="N56" s="2008"/>
      <c r="O56" s="2015"/>
      <c r="P56" s="1688"/>
    </row>
    <row r="57" spans="1:16" s="230" customFormat="1" ht="12.75" customHeight="1" thickBot="1">
      <c r="A57" s="649">
        <v>360</v>
      </c>
      <c r="B57" s="654"/>
      <c r="C57" s="655" t="s">
        <v>792</v>
      </c>
      <c r="D57" s="413">
        <f>SUM(D53,D54,D55,D56)</f>
        <v>30732</v>
      </c>
      <c r="E57" s="202"/>
      <c r="F57" s="1769"/>
      <c r="G57" s="1770"/>
      <c r="H57" s="1771"/>
      <c r="I57" s="1772"/>
      <c r="J57" s="4"/>
      <c r="K57" s="4"/>
      <c r="L57" s="649">
        <v>360</v>
      </c>
      <c r="M57" s="1535">
        <v>30787</v>
      </c>
      <c r="N57" s="2009">
        <f>IF(ISERROR((D57-M57)/M57),0,((D57-M57)/M57))</f>
        <v>-0.0017864683145483483</v>
      </c>
      <c r="O57" s="2016"/>
      <c r="P57" s="1692"/>
    </row>
    <row r="58" spans="1:16" s="230" customFormat="1" ht="12.75">
      <c r="A58" s="647">
        <v>345</v>
      </c>
      <c r="B58" s="648" t="s">
        <v>945</v>
      </c>
      <c r="C58" s="641" t="s">
        <v>891</v>
      </c>
      <c r="D58" s="116">
        <v>8212</v>
      </c>
      <c r="E58" s="202"/>
      <c r="F58" s="4"/>
      <c r="G58" s="4"/>
      <c r="H58" s="78"/>
      <c r="I58" s="78"/>
      <c r="J58" s="4"/>
      <c r="K58" s="4"/>
      <c r="L58" s="1556"/>
      <c r="M58" s="1586"/>
      <c r="N58" s="2006"/>
      <c r="O58" s="2013"/>
      <c r="P58" s="1688"/>
    </row>
    <row r="59" spans="1:16" s="230" customFormat="1" ht="12.75">
      <c r="A59" s="647">
        <v>401</v>
      </c>
      <c r="B59" s="648">
        <v>46</v>
      </c>
      <c r="C59" s="641" t="s">
        <v>892</v>
      </c>
      <c r="D59" s="116">
        <v>110512</v>
      </c>
      <c r="E59" s="202"/>
      <c r="F59" s="4"/>
      <c r="G59" s="4"/>
      <c r="H59" s="78"/>
      <c r="I59" s="78"/>
      <c r="J59" s="4"/>
      <c r="K59" s="4"/>
      <c r="L59" s="636">
        <v>401</v>
      </c>
      <c r="M59" s="1520">
        <v>104730</v>
      </c>
      <c r="N59" s="2012">
        <f>IF(ISERROR((D59-M59)/M59),0,((D59-M59)/M59))</f>
        <v>0.055208631719660076</v>
      </c>
      <c r="O59" s="2017"/>
      <c r="P59" s="1688"/>
    </row>
    <row r="60" spans="1:16" s="230" customFormat="1" ht="17.25" customHeight="1">
      <c r="A60" s="647">
        <v>410</v>
      </c>
      <c r="B60" s="648">
        <v>74</v>
      </c>
      <c r="C60" s="641" t="s">
        <v>930</v>
      </c>
      <c r="D60" s="116">
        <v>15981</v>
      </c>
      <c r="E60" s="202"/>
      <c r="F60" s="4"/>
      <c r="G60" s="4"/>
      <c r="H60" s="78"/>
      <c r="I60" s="78"/>
      <c r="J60" s="4"/>
      <c r="K60" s="4"/>
      <c r="L60" s="907"/>
      <c r="M60" s="1269"/>
      <c r="N60" s="2007"/>
      <c r="O60" s="2014"/>
      <c r="P60" s="1688"/>
    </row>
    <row r="61" spans="1:16" s="230" customFormat="1" ht="12.75">
      <c r="A61" s="647">
        <v>411</v>
      </c>
      <c r="B61" s="648">
        <v>75</v>
      </c>
      <c r="C61" s="641" t="s">
        <v>793</v>
      </c>
      <c r="D61" s="116">
        <v>890</v>
      </c>
      <c r="E61" s="202"/>
      <c r="F61" s="4"/>
      <c r="G61" s="4"/>
      <c r="H61" s="78"/>
      <c r="I61" s="78"/>
      <c r="J61" s="4"/>
      <c r="K61" s="4"/>
      <c r="L61" s="907"/>
      <c r="M61" s="1269"/>
      <c r="N61" s="2007"/>
      <c r="O61" s="2014"/>
      <c r="P61" s="1688"/>
    </row>
    <row r="62" spans="1:16" s="230" customFormat="1" ht="12.75">
      <c r="A62" s="647">
        <v>415</v>
      </c>
      <c r="B62" s="648" t="s">
        <v>946</v>
      </c>
      <c r="C62" s="641" t="s">
        <v>794</v>
      </c>
      <c r="D62" s="116">
        <v>4375</v>
      </c>
      <c r="E62" s="202"/>
      <c r="F62" s="4"/>
      <c r="G62" s="4"/>
      <c r="H62" s="78"/>
      <c r="I62" s="78"/>
      <c r="J62" s="4"/>
      <c r="K62" s="4"/>
      <c r="L62" s="907"/>
      <c r="M62" s="1269"/>
      <c r="N62" s="2007"/>
      <c r="O62" s="2014"/>
      <c r="P62" s="1688"/>
    </row>
    <row r="63" spans="1:16" s="230" customFormat="1" ht="12.75">
      <c r="A63" s="647">
        <v>416</v>
      </c>
      <c r="B63" s="652">
        <v>68</v>
      </c>
      <c r="C63" s="653" t="s">
        <v>795</v>
      </c>
      <c r="D63" s="116">
        <v>2449</v>
      </c>
      <c r="E63" s="202"/>
      <c r="F63" s="4"/>
      <c r="G63" s="4"/>
      <c r="H63" s="78"/>
      <c r="I63" s="78"/>
      <c r="J63" s="4"/>
      <c r="K63" s="4"/>
      <c r="L63" s="907"/>
      <c r="M63" s="1269"/>
      <c r="N63" s="2007"/>
      <c r="O63" s="2014"/>
      <c r="P63" s="1688"/>
    </row>
    <row r="64" spans="1:16" s="230" customFormat="1" ht="12.75">
      <c r="A64" s="647">
        <v>430</v>
      </c>
      <c r="B64" s="652">
        <v>66</v>
      </c>
      <c r="C64" s="653" t="s">
        <v>893</v>
      </c>
      <c r="D64" s="116">
        <v>1527</v>
      </c>
      <c r="E64" s="202"/>
      <c r="F64" s="4"/>
      <c r="G64" s="4"/>
      <c r="H64" s="78"/>
      <c r="I64" s="78"/>
      <c r="J64" s="4"/>
      <c r="K64" s="4"/>
      <c r="L64" s="907"/>
      <c r="M64" s="1269"/>
      <c r="N64" s="2007"/>
      <c r="O64" s="2014"/>
      <c r="P64" s="1688"/>
    </row>
    <row r="65" spans="1:16" s="230" customFormat="1" ht="12.75">
      <c r="A65" s="647">
        <v>440</v>
      </c>
      <c r="B65" s="652">
        <v>701</v>
      </c>
      <c r="C65" s="653" t="s">
        <v>796</v>
      </c>
      <c r="D65" s="116">
        <v>5361</v>
      </c>
      <c r="E65" s="202"/>
      <c r="F65" s="4"/>
      <c r="G65" s="4"/>
      <c r="H65" s="78"/>
      <c r="I65" s="78"/>
      <c r="J65" s="4"/>
      <c r="K65" s="4"/>
      <c r="L65" s="639"/>
      <c r="M65" s="1531"/>
      <c r="N65" s="2008"/>
      <c r="O65" s="2015"/>
      <c r="P65" s="1688"/>
    </row>
    <row r="66" spans="1:16" s="230" customFormat="1" ht="12.75">
      <c r="A66" s="647">
        <v>450</v>
      </c>
      <c r="B66" s="652">
        <v>601</v>
      </c>
      <c r="C66" s="653" t="s">
        <v>797</v>
      </c>
      <c r="D66" s="116">
        <v>27350</v>
      </c>
      <c r="E66" s="202"/>
      <c r="F66" s="4"/>
      <c r="G66" s="4"/>
      <c r="H66" s="78"/>
      <c r="I66" s="78"/>
      <c r="J66" s="4"/>
      <c r="K66" s="4"/>
      <c r="L66" s="636">
        <v>450</v>
      </c>
      <c r="M66" s="1520">
        <v>26437</v>
      </c>
      <c r="N66" s="2012">
        <f>IF(ISERROR((D66-M66)/M66),0,((D66-M66)/M66))</f>
        <v>0.034534932102734804</v>
      </c>
      <c r="O66" s="2017"/>
      <c r="P66" s="1688"/>
    </row>
    <row r="67" spans="1:16" s="230" customFormat="1" ht="12.75">
      <c r="A67" s="647">
        <v>460</v>
      </c>
      <c r="B67" s="652">
        <v>602</v>
      </c>
      <c r="C67" s="653" t="s">
        <v>798</v>
      </c>
      <c r="D67" s="116">
        <v>60</v>
      </c>
      <c r="E67" s="202"/>
      <c r="F67" s="4"/>
      <c r="G67" s="4"/>
      <c r="H67" s="78"/>
      <c r="I67" s="78"/>
      <c r="J67" s="4"/>
      <c r="K67" s="4"/>
      <c r="L67" s="642"/>
      <c r="M67" s="1278"/>
      <c r="N67" s="2010"/>
      <c r="O67" s="2018"/>
      <c r="P67" s="1688"/>
    </row>
    <row r="68" spans="1:16" s="230" customFormat="1" ht="18.75" customHeight="1">
      <c r="A68" s="647">
        <v>470</v>
      </c>
      <c r="B68" s="1828" t="s">
        <v>932</v>
      </c>
      <c r="C68" s="678" t="s">
        <v>933</v>
      </c>
      <c r="D68" s="256">
        <v>6732</v>
      </c>
      <c r="E68" s="202"/>
      <c r="F68" s="795">
        <v>472</v>
      </c>
      <c r="G68" s="796">
        <v>731</v>
      </c>
      <c r="H68" s="797" t="s">
        <v>0</v>
      </c>
      <c r="I68" s="334">
        <v>1078</v>
      </c>
      <c r="J68" s="4"/>
      <c r="K68" s="4"/>
      <c r="L68" s="907"/>
      <c r="M68" s="1269"/>
      <c r="N68" s="2007"/>
      <c r="O68" s="2014"/>
      <c r="P68" s="1688"/>
    </row>
    <row r="69" spans="1:16" s="230" customFormat="1" ht="12.75">
      <c r="A69" s="647">
        <v>471</v>
      </c>
      <c r="B69" s="648" t="s">
        <v>765</v>
      </c>
      <c r="C69" s="641" t="s">
        <v>799</v>
      </c>
      <c r="D69" s="117">
        <v>11546</v>
      </c>
      <c r="E69" s="202"/>
      <c r="F69" s="798">
        <v>474</v>
      </c>
      <c r="G69" s="754">
        <v>732</v>
      </c>
      <c r="H69" s="925" t="s">
        <v>1</v>
      </c>
      <c r="I69" s="335">
        <v>107</v>
      </c>
      <c r="J69" s="4"/>
      <c r="K69" s="4"/>
      <c r="L69" s="639"/>
      <c r="M69" s="1531"/>
      <c r="N69" s="2008"/>
      <c r="O69" s="2015"/>
      <c r="P69" s="1688"/>
    </row>
    <row r="70" spans="1:16" s="230" customFormat="1" ht="18.75" thickBot="1">
      <c r="A70" s="656">
        <v>479</v>
      </c>
      <c r="B70" s="657"/>
      <c r="C70" s="658" t="s">
        <v>800</v>
      </c>
      <c r="D70" s="414">
        <f>SUM(D58:D69)</f>
        <v>194995</v>
      </c>
      <c r="E70" s="202"/>
      <c r="F70" s="798">
        <v>476</v>
      </c>
      <c r="G70" s="927" t="s">
        <v>404</v>
      </c>
      <c r="H70" s="925" t="s">
        <v>2</v>
      </c>
      <c r="I70" s="335">
        <v>517</v>
      </c>
      <c r="J70" s="4"/>
      <c r="K70" s="4"/>
      <c r="L70" s="649">
        <v>479</v>
      </c>
      <c r="M70" s="1535">
        <v>185910</v>
      </c>
      <c r="N70" s="2009">
        <f>IF(ISERROR((D70-M70)/M70),0,((D70-M70)/M70))</f>
        <v>0.04886773169813351</v>
      </c>
      <c r="O70" s="2016"/>
      <c r="P70" s="1692"/>
    </row>
    <row r="71" spans="1:16" s="230" customFormat="1" ht="12.75" customHeight="1">
      <c r="A71" s="659">
        <v>897</v>
      </c>
      <c r="B71" s="1828" t="s">
        <v>931</v>
      </c>
      <c r="C71" s="653" t="s">
        <v>849</v>
      </c>
      <c r="D71" s="257">
        <v>436</v>
      </c>
      <c r="E71" s="202"/>
      <c r="F71" s="798">
        <v>477</v>
      </c>
      <c r="G71" s="754">
        <v>737</v>
      </c>
      <c r="H71" s="925" t="s">
        <v>3</v>
      </c>
      <c r="I71" s="335">
        <v>13</v>
      </c>
      <c r="J71" s="4"/>
      <c r="K71" s="4"/>
      <c r="L71" s="1556"/>
      <c r="M71" s="1586"/>
      <c r="N71" s="2006"/>
      <c r="O71" s="2013"/>
      <c r="P71" s="1688"/>
    </row>
    <row r="72" spans="1:16" s="230" customFormat="1" ht="12.75" customHeight="1">
      <c r="A72" s="636">
        <v>899</v>
      </c>
      <c r="B72" s="1830">
        <v>787</v>
      </c>
      <c r="C72" s="653" t="s">
        <v>880</v>
      </c>
      <c r="D72" s="254">
        <v>436</v>
      </c>
      <c r="E72" s="202"/>
      <c r="F72" s="1962" t="s">
        <v>384</v>
      </c>
      <c r="G72" s="754"/>
      <c r="H72" s="863" t="s">
        <v>1174</v>
      </c>
      <c r="I72" s="335">
        <v>12</v>
      </c>
      <c r="J72" s="161">
        <f>IF(I72&gt;I71,"rad 479 &gt; rad 477",IF(AND(I71&gt;0,I72=""),"skriv belopp eller 0",""))</f>
      </c>
      <c r="K72" s="4"/>
      <c r="L72" s="907"/>
      <c r="M72" s="1269"/>
      <c r="N72" s="2007"/>
      <c r="O72" s="2014"/>
      <c r="P72" s="1688"/>
    </row>
    <row r="73" spans="1:16" s="230" customFormat="1" ht="12.75" customHeight="1" thickBot="1">
      <c r="A73" s="656">
        <v>900</v>
      </c>
      <c r="B73" s="660">
        <v>789</v>
      </c>
      <c r="C73" s="661" t="s">
        <v>402</v>
      </c>
      <c r="D73" s="258">
        <v>137</v>
      </c>
      <c r="E73" s="143">
        <f>IF(D73&lt;500,"","Vad avser övr.periodiseringar?")</f>
      </c>
      <c r="F73" s="928">
        <v>478</v>
      </c>
      <c r="G73" s="754" t="s">
        <v>897</v>
      </c>
      <c r="H73" s="925" t="s">
        <v>832</v>
      </c>
      <c r="I73" s="335">
        <v>1972</v>
      </c>
      <c r="J73" s="4"/>
      <c r="K73" s="161"/>
      <c r="L73" s="907"/>
      <c r="M73" s="1269"/>
      <c r="N73" s="2007"/>
      <c r="O73" s="2014"/>
      <c r="P73" s="1688"/>
    </row>
    <row r="74" spans="1:16" s="230" customFormat="1" ht="18" customHeight="1" thickBot="1">
      <c r="A74" s="651">
        <v>887</v>
      </c>
      <c r="B74" s="652"/>
      <c r="C74" s="662" t="s">
        <v>718</v>
      </c>
      <c r="D74" s="415">
        <f>SUM(D44+D52+D57+D70+D71+D72+D73)</f>
        <v>572832</v>
      </c>
      <c r="F74" s="664">
        <v>473</v>
      </c>
      <c r="G74" s="1963" t="s">
        <v>972</v>
      </c>
      <c r="H74" s="1716" t="s">
        <v>996</v>
      </c>
      <c r="I74" s="1669">
        <v>387</v>
      </c>
      <c r="J74" s="161">
        <f>IF(SUM(I68:I74)&gt;D68,"Däravraderna 472-478 &gt; rad 470","")</f>
      </c>
      <c r="K74" s="4"/>
      <c r="L74" s="633"/>
      <c r="M74" s="1587"/>
      <c r="N74" s="2011"/>
      <c r="O74" s="2019"/>
      <c r="P74" s="1692"/>
    </row>
    <row r="75" spans="1:16" s="230" customFormat="1" ht="12.75" customHeight="1" thickBot="1">
      <c r="A75" s="663" t="s">
        <v>499</v>
      </c>
      <c r="B75" s="650"/>
      <c r="C75" s="618" t="s">
        <v>101</v>
      </c>
      <c r="D75" s="345">
        <f>RR!C8</f>
        <v>572832</v>
      </c>
      <c r="E75" s="202"/>
      <c r="F75" s="2186"/>
      <c r="G75" s="2187"/>
      <c r="H75" s="2187"/>
      <c r="I75" s="349"/>
      <c r="J75" s="194"/>
      <c r="L75" s="1557"/>
      <c r="M75" s="1558"/>
      <c r="N75" s="1559"/>
      <c r="O75" s="1560"/>
      <c r="P75" s="1688"/>
    </row>
    <row r="76" spans="1:11" s="230" customFormat="1" ht="12.75" customHeight="1">
      <c r="A76" s="165" t="s">
        <v>938</v>
      </c>
      <c r="B76" s="1831"/>
      <c r="C76" s="1831"/>
      <c r="D76" s="43">
        <f>IF(ABS(D74-D75)&lt;50,"",IF(OR(D74=0,D75=0),"",IF((SUM(D74)/(D75))&lt;&gt;1,(ROUND(D74-D75,0))&amp;" tkr differens mellan verks.kostn i RR och summan av verks.kostnader här - måste rättas!","")))</f>
      </c>
      <c r="F76" s="2188"/>
      <c r="G76" s="2188"/>
      <c r="H76" s="2188"/>
      <c r="I76" s="2188"/>
      <c r="J76" s="2188"/>
      <c r="K76" s="4"/>
    </row>
    <row r="77" spans="1:11" s="230" customFormat="1" ht="12.75" customHeight="1">
      <c r="A77" s="165" t="s">
        <v>973</v>
      </c>
      <c r="B77" s="95"/>
      <c r="C77" s="95"/>
      <c r="D77" s="4"/>
      <c r="F77" s="2188"/>
      <c r="G77" s="2188"/>
      <c r="H77" s="2188"/>
      <c r="I77" s="2188"/>
      <c r="J77" s="2188"/>
      <c r="K77" s="4"/>
    </row>
    <row r="78" spans="1:18" s="230" customFormat="1" ht="12.75">
      <c r="A78" s="192"/>
      <c r="B78" s="192"/>
      <c r="C78" s="192"/>
      <c r="D78" s="192"/>
      <c r="F78" s="2188"/>
      <c r="G78" s="2188"/>
      <c r="H78" s="2188"/>
      <c r="I78" s="2188"/>
      <c r="J78" s="2188"/>
      <c r="K78" s="4"/>
      <c r="L78" s="192"/>
      <c r="M78" s="192"/>
      <c r="N78" s="192"/>
      <c r="O78" s="192"/>
      <c r="P78" s="192"/>
      <c r="Q78" s="192"/>
      <c r="R78" s="192"/>
    </row>
    <row r="79" spans="6:10" ht="12.75">
      <c r="F79" s="4"/>
      <c r="G79" s="4"/>
      <c r="H79" s="4"/>
      <c r="I79" s="4"/>
      <c r="J79" s="4"/>
    </row>
  </sheetData>
  <sheetProtection/>
  <mergeCells count="5">
    <mergeCell ref="F75:H75"/>
    <mergeCell ref="F33:J35"/>
    <mergeCell ref="F76:J78"/>
    <mergeCell ref="B6:B7"/>
    <mergeCell ref="B38:B39"/>
  </mergeCells>
  <conditionalFormatting sqref="D2 D8:D11 D13:D15 D25:D27 D40:D43 I48:I50 I53 D45:D51 D53:D56 D71 D73 D29:D31 D58:D69 I68:I74 D17:D23 I39:I46">
    <cfRule type="cellIs" priority="10" dxfId="0" operator="lessThan" stopIfTrue="1">
      <formula>-500</formula>
    </cfRule>
  </conditionalFormatting>
  <conditionalFormatting sqref="I17:I20">
    <cfRule type="cellIs" priority="6" dxfId="0" operator="lessThan" stopIfTrue="1">
      <formula>-500</formula>
    </cfRule>
  </conditionalFormatting>
  <conditionalFormatting sqref="I23">
    <cfRule type="cellIs" priority="5" dxfId="0" operator="lessThan" stopIfTrue="1">
      <formula>-500</formula>
    </cfRule>
  </conditionalFormatting>
  <conditionalFormatting sqref="I56">
    <cfRule type="cellIs" priority="4" dxfId="0" operator="lessThan" stopIfTrue="1">
      <formula>-500</formula>
    </cfRule>
  </conditionalFormatting>
  <conditionalFormatting sqref="I57">
    <cfRule type="cellIs" priority="3" dxfId="0" operator="lessThan" stopIfTrue="1">
      <formula>-500</formula>
    </cfRule>
  </conditionalFormatting>
  <conditionalFormatting sqref="I25:I27">
    <cfRule type="cellIs" priority="2" dxfId="0" operator="lessThan" stopIfTrue="1">
      <formula>-500</formula>
    </cfRule>
  </conditionalFormatting>
  <conditionalFormatting sqref="I23 I25:I26 D40:D73 I48:I50 I53 I56 I68:I74 D8:D31 I39:I46">
    <cfRule type="cellIs" priority="1" dxfId="1" operator="lessThan" stopIfTrue="1">
      <formula>-500</formula>
    </cfRule>
  </conditionalFormatting>
  <dataValidations count="2">
    <dataValidation type="decimal" operator="lessThan" allowBlank="1" showInputMessage="1" showErrorMessage="1" error="Beloppet ska vara i 1000 tal kronor" sqref="I48:I50 D53:D56 D40:D43 D17:D23 D25:D27 D13:D15 I23 D8:D11 D45:D51 I53 I17:I20 I39:I46 I56:I57 D29:D31 D58:D69 D71:D73 I25:I27 I68:I74">
      <formula1>99999999</formula1>
    </dataValidation>
    <dataValidation operator="lessThan" allowBlank="1" showInputMessage="1" showErrorMessage="1" sqref="D74 D32"/>
  </dataValidations>
  <printOptions/>
  <pageMargins left="0.7" right="0.7" top="0.75" bottom="0.75" header="0.3" footer="0.3"/>
  <pageSetup horizontalDpi="600" verticalDpi="600" orientation="portrait" paperSize="9" scale="70" r:id="rId2"/>
  <headerFooter>
    <oddHeader>&amp;L&amp;8Statistiska Centralbyrån
Offentlig ekonomi&amp;R&amp;P</oddHeader>
  </headerFooter>
  <rowBreaks count="1" manualBreakCount="1">
    <brk id="33" max="8" man="1"/>
  </rowBreaks>
  <ignoredErrors>
    <ignoredError sqref="F72:G74 A75 F43:G57 F25:G25" numberStoredAsText="1"/>
    <ignoredError sqref="D12 J4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44"/>
  <sheetViews>
    <sheetView showGridLines="0" zoomScalePageLayoutView="0" workbookViewId="0" topLeftCell="A1">
      <pane ySplit="1" topLeftCell="A2" activePane="bottomLeft" state="frozen"/>
      <selection pane="topLeft" activeCell="F32" sqref="F32"/>
      <selection pane="bottomLeft" activeCell="Q1" sqref="Q1:IV16384"/>
    </sheetView>
  </sheetViews>
  <sheetFormatPr defaultColWidth="0" defaultRowHeight="12.75" zeroHeight="1"/>
  <cols>
    <col min="1" max="1" width="4.00390625" style="192" customWidth="1"/>
    <col min="2" max="2" width="9.140625" style="192" customWidth="1"/>
    <col min="3" max="3" width="30.8515625" style="192" customWidth="1"/>
    <col min="4" max="4" width="10.7109375" style="192" customWidth="1"/>
    <col min="5" max="5" width="6.00390625" style="192" customWidth="1"/>
    <col min="6" max="6" width="5.00390625" style="192" customWidth="1"/>
    <col min="7" max="7" width="2.57421875" style="192" customWidth="1"/>
    <col min="8" max="8" width="4.00390625" style="192" customWidth="1"/>
    <col min="9" max="9" width="8.28125" style="192" customWidth="1"/>
    <col min="10" max="10" width="31.28125" style="192" customWidth="1"/>
    <col min="11" max="11" width="10.7109375" style="192" customWidth="1"/>
    <col min="12" max="12" width="7.7109375" style="192" customWidth="1"/>
    <col min="13" max="13" width="4.28125" style="192" customWidth="1"/>
    <col min="14" max="14" width="3.7109375" style="192" customWidth="1"/>
    <col min="15" max="15" width="11.8515625" style="192" customWidth="1"/>
    <col min="16" max="16" width="7.00390625" style="192" customWidth="1"/>
    <col min="17" max="17" width="16.7109375" style="192" hidden="1" customWidth="1"/>
    <col min="18" max="18" width="7.57421875" style="192" hidden="1" customWidth="1"/>
    <col min="19" max="19" width="0" style="192" hidden="1" customWidth="1"/>
    <col min="20" max="16384" width="9.140625" style="192" hidden="1" customWidth="1"/>
  </cols>
  <sheetData>
    <row r="1" spans="1:18" ht="18">
      <c r="A1" s="591" t="str">
        <f>"Skatteintäkter, utjämningssystem o. generella statliga bidrag samt finansiella poster "&amp;År&amp;", miljoner kronor"</f>
        <v>Skatteintäkter, utjämningssystem o. generella statliga bidrag samt finansiella poster 2014, miljoner kronor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4" t="s">
        <v>502</v>
      </c>
      <c r="N1" s="594"/>
      <c r="O1" s="594"/>
      <c r="P1" s="594"/>
      <c r="Q1" s="594"/>
      <c r="R1" s="595"/>
    </row>
    <row r="2" spans="1:18" ht="12.75" customHeight="1">
      <c r="A2" s="1546"/>
      <c r="D2" s="1660"/>
      <c r="E2" s="166"/>
      <c r="L2" s="166"/>
      <c r="O2" s="4"/>
      <c r="P2" s="4"/>
      <c r="Q2" s="4"/>
      <c r="R2" s="4"/>
    </row>
    <row r="3" spans="4:18" ht="12.75" customHeight="1">
      <c r="D3" s="1660"/>
      <c r="E3" s="166"/>
      <c r="L3" s="166"/>
      <c r="O3" s="4"/>
      <c r="P3" s="4"/>
      <c r="Q3" s="4"/>
      <c r="R3" s="4"/>
    </row>
    <row r="4" spans="1:18" ht="17.25" customHeight="1" thickBot="1">
      <c r="A4" s="90" t="s">
        <v>701</v>
      </c>
      <c r="B4" s="4"/>
      <c r="C4" s="4"/>
      <c r="D4" s="1938"/>
      <c r="H4" s="1939" t="s">
        <v>702</v>
      </c>
      <c r="O4" s="4"/>
      <c r="P4" s="4"/>
      <c r="Q4" s="4"/>
      <c r="R4" s="4"/>
    </row>
    <row r="5" spans="1:18" s="205" customFormat="1" ht="12.75">
      <c r="A5" s="687" t="s">
        <v>695</v>
      </c>
      <c r="B5" s="1813" t="s">
        <v>865</v>
      </c>
      <c r="C5" s="929"/>
      <c r="D5" s="936" t="s">
        <v>512</v>
      </c>
      <c r="E5" s="204"/>
      <c r="F5" s="204"/>
      <c r="G5" s="204"/>
      <c r="H5" s="687" t="s">
        <v>695</v>
      </c>
      <c r="I5" s="1813" t="s">
        <v>865</v>
      </c>
      <c r="J5" s="929"/>
      <c r="K5" s="1964" t="s">
        <v>512</v>
      </c>
      <c r="L5" s="1724"/>
      <c r="M5" s="247" t="s">
        <v>1199</v>
      </c>
      <c r="N5" s="204"/>
      <c r="O5" s="204"/>
      <c r="P5" s="204"/>
      <c r="R5" s="204"/>
    </row>
    <row r="6" spans="1:18" s="205" customFormat="1" ht="12.75">
      <c r="A6" s="689" t="s">
        <v>698</v>
      </c>
      <c r="B6" s="902"/>
      <c r="C6" s="930"/>
      <c r="D6" s="935"/>
      <c r="E6" s="204"/>
      <c r="F6" s="204"/>
      <c r="G6" s="204"/>
      <c r="H6" s="689" t="s">
        <v>698</v>
      </c>
      <c r="I6" s="700"/>
      <c r="J6" s="930"/>
      <c r="K6" s="939"/>
      <c r="L6" s="1725"/>
      <c r="M6" s="204"/>
      <c r="N6" s="204"/>
      <c r="O6" s="204"/>
      <c r="P6" s="204"/>
      <c r="R6" s="204"/>
    </row>
    <row r="7" spans="1:18" ht="15">
      <c r="A7" s="879"/>
      <c r="B7" s="931"/>
      <c r="C7" s="932"/>
      <c r="D7" s="937"/>
      <c r="E7" s="4"/>
      <c r="F7" s="4"/>
      <c r="G7" s="4"/>
      <c r="H7" s="938"/>
      <c r="I7" s="682"/>
      <c r="J7" s="682"/>
      <c r="K7" s="940"/>
      <c r="L7" s="1726"/>
      <c r="M7" s="4"/>
      <c r="N7" s="4"/>
      <c r="O7" s="4"/>
      <c r="P7" s="4"/>
      <c r="R7" s="4"/>
    </row>
    <row r="8" spans="1:18" ht="12.75">
      <c r="A8" s="885">
        <v>600</v>
      </c>
      <c r="B8" s="652">
        <v>801</v>
      </c>
      <c r="C8" s="653" t="s">
        <v>801</v>
      </c>
      <c r="D8" s="416">
        <v>391290</v>
      </c>
      <c r="E8" s="4"/>
      <c r="F8" s="4"/>
      <c r="G8" s="4"/>
      <c r="H8" s="882">
        <v>800</v>
      </c>
      <c r="I8" s="652">
        <v>841</v>
      </c>
      <c r="J8" s="653" t="s">
        <v>815</v>
      </c>
      <c r="K8" s="117">
        <v>2469</v>
      </c>
      <c r="L8" s="1727"/>
      <c r="M8" s="4"/>
      <c r="N8" s="4"/>
      <c r="O8" s="4"/>
      <c r="P8" s="4"/>
      <c r="R8" s="4"/>
    </row>
    <row r="9" spans="1:18" ht="12.75">
      <c r="A9" s="885">
        <v>620</v>
      </c>
      <c r="B9" s="753">
        <v>8052</v>
      </c>
      <c r="C9" s="646" t="str">
        <f>"Slutavräkning, prognos för år 2014"</f>
        <v>Slutavräkning, prognos för år 2014</v>
      </c>
      <c r="D9" s="416">
        <v>69</v>
      </c>
      <c r="E9" s="4"/>
      <c r="F9" s="4"/>
      <c r="G9" s="4"/>
      <c r="H9" s="885">
        <v>810</v>
      </c>
      <c r="I9" s="933">
        <v>844</v>
      </c>
      <c r="J9" s="934" t="s">
        <v>816</v>
      </c>
      <c r="K9" s="117">
        <v>7455</v>
      </c>
      <c r="L9" s="1727"/>
      <c r="M9" s="4"/>
      <c r="N9" s="4"/>
      <c r="O9" s="4"/>
      <c r="P9" s="4"/>
      <c r="R9" s="4"/>
    </row>
    <row r="10" spans="1:18" ht="12.75">
      <c r="A10" s="885">
        <v>625</v>
      </c>
      <c r="B10" s="753">
        <v>8051</v>
      </c>
      <c r="C10" s="646" t="s">
        <v>1149</v>
      </c>
      <c r="D10" s="416">
        <v>-1044</v>
      </c>
      <c r="E10" s="4"/>
      <c r="F10" s="4"/>
      <c r="G10" s="4"/>
      <c r="H10" s="885">
        <v>880</v>
      </c>
      <c r="I10" s="652">
        <v>845</v>
      </c>
      <c r="J10" s="653" t="s">
        <v>817</v>
      </c>
      <c r="K10" s="117">
        <v>48</v>
      </c>
      <c r="L10" s="1727"/>
      <c r="M10" s="4"/>
      <c r="N10" s="4"/>
      <c r="O10" s="4"/>
      <c r="P10" s="4"/>
      <c r="R10" s="4"/>
    </row>
    <row r="11" spans="1:18" ht="12.75">
      <c r="A11" s="885">
        <v>630</v>
      </c>
      <c r="B11" s="753"/>
      <c r="C11" s="646" t="s">
        <v>1150</v>
      </c>
      <c r="D11" s="257">
        <v>4</v>
      </c>
      <c r="E11" s="202">
        <f>IF(OR(D11&lt;-10,D11&gt;10),"Kommentera beloppet","")</f>
      </c>
      <c r="F11" s="4"/>
      <c r="G11" s="4"/>
      <c r="H11" s="885">
        <v>885</v>
      </c>
      <c r="I11" s="652">
        <v>8481</v>
      </c>
      <c r="J11" s="653" t="s">
        <v>536</v>
      </c>
      <c r="K11" s="117">
        <v>54</v>
      </c>
      <c r="L11" s="1727"/>
      <c r="M11" s="4"/>
      <c r="N11" s="4"/>
      <c r="O11" s="4"/>
      <c r="P11" s="4"/>
      <c r="R11" s="4"/>
    </row>
    <row r="12" spans="1:18" ht="12.75">
      <c r="A12" s="885">
        <v>640</v>
      </c>
      <c r="B12" s="648" t="s">
        <v>974</v>
      </c>
      <c r="C12" s="641" t="s">
        <v>975</v>
      </c>
      <c r="D12" s="257">
        <v>3</v>
      </c>
      <c r="E12" s="1765">
        <f>IF(OR(D12&lt;-10,D12&gt;10),"Kommentera beloppet","")</f>
      </c>
      <c r="F12" s="4"/>
      <c r="G12" s="4"/>
      <c r="H12" s="885">
        <v>886</v>
      </c>
      <c r="I12" s="652">
        <v>8482</v>
      </c>
      <c r="J12" s="653" t="s">
        <v>830</v>
      </c>
      <c r="K12" s="117">
        <v>11</v>
      </c>
      <c r="L12" s="1727"/>
      <c r="M12" s="4"/>
      <c r="N12" s="4"/>
      <c r="O12" s="4"/>
      <c r="P12" s="4"/>
      <c r="R12" s="4"/>
    </row>
    <row r="13" spans="1:18" ht="13.5" thickBot="1">
      <c r="A13" s="886">
        <v>680</v>
      </c>
      <c r="B13" s="1720">
        <v>809</v>
      </c>
      <c r="C13" s="1721" t="s">
        <v>802</v>
      </c>
      <c r="D13" s="413">
        <v>149</v>
      </c>
      <c r="E13" s="36"/>
      <c r="F13" s="4"/>
      <c r="G13" s="4"/>
      <c r="H13" s="885">
        <v>887</v>
      </c>
      <c r="I13" s="652">
        <v>8498</v>
      </c>
      <c r="J13" s="653" t="s">
        <v>406</v>
      </c>
      <c r="K13" s="117">
        <v>17</v>
      </c>
      <c r="L13" s="1727"/>
      <c r="M13" s="4"/>
      <c r="N13" s="4"/>
      <c r="O13" s="4"/>
      <c r="P13" s="4"/>
      <c r="R13" s="4"/>
    </row>
    <row r="14" spans="1:18" ht="13.5" thickBot="1">
      <c r="A14" s="649">
        <v>690</v>
      </c>
      <c r="B14" s="654"/>
      <c r="C14" s="655" t="s">
        <v>701</v>
      </c>
      <c r="D14" s="413">
        <f>SUM(D8:D13)</f>
        <v>390471</v>
      </c>
      <c r="E14" s="4"/>
      <c r="F14" s="4"/>
      <c r="G14" s="4"/>
      <c r="H14" s="636">
        <v>888</v>
      </c>
      <c r="I14" s="648" t="s">
        <v>844</v>
      </c>
      <c r="J14" s="641" t="s">
        <v>847</v>
      </c>
      <c r="K14" s="117">
        <v>1948</v>
      </c>
      <c r="L14" s="1728"/>
      <c r="M14" s="1965">
        <v>889</v>
      </c>
      <c r="N14" s="1965">
        <v>8491</v>
      </c>
      <c r="O14" s="1921" t="s">
        <v>1175</v>
      </c>
      <c r="P14" s="1922">
        <v>620</v>
      </c>
      <c r="Q14" s="1765">
        <f>IF(K14=0,"",IF(SUM(P14+P15)&gt;K14,"däravrader 889+891&gt;rad888",IF(P14="","skriv belopp eller 0","")))</f>
      </c>
      <c r="R14" s="4"/>
    </row>
    <row r="15" spans="1:18" ht="13.5" thickBot="1">
      <c r="A15" s="4"/>
      <c r="B15" s="4"/>
      <c r="C15" s="208"/>
      <c r="D15" s="4"/>
      <c r="E15" s="4"/>
      <c r="F15" s="4"/>
      <c r="G15" s="4"/>
      <c r="H15" s="649">
        <v>884</v>
      </c>
      <c r="I15" s="1720">
        <v>843</v>
      </c>
      <c r="J15" s="1721" t="s">
        <v>939</v>
      </c>
      <c r="K15" s="126">
        <v>259</v>
      </c>
      <c r="L15" s="1724"/>
      <c r="M15" s="1966">
        <v>891</v>
      </c>
      <c r="N15" s="1966"/>
      <c r="O15" s="1716" t="s">
        <v>1178</v>
      </c>
      <c r="P15" s="1923">
        <v>0</v>
      </c>
      <c r="Q15" s="1765">
        <f>IF(K14=0,"",IF(P15="","skriv belopp eller 0",""))</f>
      </c>
      <c r="R15" s="4"/>
    </row>
    <row r="16" spans="1:18" ht="16.5" thickBot="1">
      <c r="A16" s="90" t="s">
        <v>842</v>
      </c>
      <c r="B16" s="4"/>
      <c r="C16" s="4"/>
      <c r="D16" s="4"/>
      <c r="E16" s="4"/>
      <c r="F16" s="4"/>
      <c r="G16" s="4"/>
      <c r="H16" s="649">
        <v>890</v>
      </c>
      <c r="I16" s="650"/>
      <c r="J16" s="618" t="s">
        <v>15</v>
      </c>
      <c r="K16" s="1898">
        <f>RR!C13</f>
        <v>12261</v>
      </c>
      <c r="L16" s="1631"/>
      <c r="M16" s="4">
        <f>IF(J16&lt;&gt;"summa rad 800 - 888:","",SUM(K8:K15))</f>
      </c>
      <c r="N16" s="4"/>
      <c r="O16" s="4"/>
      <c r="P16" s="4"/>
      <c r="Q16" s="4"/>
      <c r="R16" s="4"/>
    </row>
    <row r="17" spans="1:18" ht="16.5" thickBot="1">
      <c r="A17" s="90" t="s">
        <v>843</v>
      </c>
      <c r="B17" s="4"/>
      <c r="C17" s="4"/>
      <c r="D17" s="36"/>
      <c r="E17" s="4"/>
      <c r="F17" s="4"/>
      <c r="G17" s="4"/>
      <c r="H17" s="8"/>
      <c r="I17" s="1729"/>
      <c r="J17" s="143"/>
      <c r="K17" s="1729"/>
      <c r="L17" s="1610">
        <f>IF(ABS(K17)&gt;100,"eliminera differensen","")</f>
      </c>
      <c r="M17" s="4"/>
      <c r="N17" s="4"/>
      <c r="O17" s="4"/>
      <c r="P17" s="4"/>
      <c r="Q17" s="4"/>
      <c r="R17" s="4"/>
    </row>
    <row r="18" spans="1:18" ht="16.5" thickBot="1">
      <c r="A18" s="687" t="s">
        <v>695</v>
      </c>
      <c r="B18" s="1813" t="s">
        <v>865</v>
      </c>
      <c r="C18" s="929"/>
      <c r="D18" s="936" t="s">
        <v>512</v>
      </c>
      <c r="E18" s="4"/>
      <c r="F18" s="4"/>
      <c r="G18" s="4"/>
      <c r="H18" s="90" t="s">
        <v>703</v>
      </c>
      <c r="I18" s="194"/>
      <c r="J18" s="194"/>
      <c r="K18" s="194"/>
      <c r="M18" s="4"/>
      <c r="N18" s="4"/>
      <c r="O18" s="4"/>
      <c r="P18" s="4"/>
      <c r="Q18" s="4"/>
      <c r="R18" s="4"/>
    </row>
    <row r="19" spans="1:18" ht="12.75">
      <c r="A19" s="689" t="s">
        <v>698</v>
      </c>
      <c r="B19" s="902"/>
      <c r="C19" s="698"/>
      <c r="D19" s="941"/>
      <c r="E19" s="4"/>
      <c r="F19" s="4"/>
      <c r="G19" s="4"/>
      <c r="H19" s="687" t="s">
        <v>695</v>
      </c>
      <c r="I19" s="1813" t="s">
        <v>865</v>
      </c>
      <c r="J19" s="929"/>
      <c r="K19" s="936" t="s">
        <v>512</v>
      </c>
      <c r="L19" s="1693"/>
      <c r="M19" s="2190"/>
      <c r="N19" s="2190"/>
      <c r="O19" s="2190"/>
      <c r="P19" s="2191"/>
      <c r="R19" s="4"/>
    </row>
    <row r="20" spans="1:18" s="205" customFormat="1" ht="15">
      <c r="A20" s="963"/>
      <c r="B20" s="905"/>
      <c r="C20" s="682"/>
      <c r="D20" s="942"/>
      <c r="E20" s="204"/>
      <c r="F20" s="204"/>
      <c r="G20" s="204"/>
      <c r="H20" s="689" t="s">
        <v>698</v>
      </c>
      <c r="I20" s="943"/>
      <c r="J20" s="930"/>
      <c r="K20" s="935"/>
      <c r="L20" s="106"/>
      <c r="M20" s="2192"/>
      <c r="N20" s="2192"/>
      <c r="O20" s="2192"/>
      <c r="P20" s="2191"/>
      <c r="R20" s="204"/>
    </row>
    <row r="21" spans="1:18" s="205" customFormat="1" ht="12.75">
      <c r="A21" s="636">
        <v>711</v>
      </c>
      <c r="B21" s="753">
        <v>821</v>
      </c>
      <c r="C21" s="646" t="s">
        <v>808</v>
      </c>
      <c r="D21" s="416">
        <v>61842</v>
      </c>
      <c r="E21" s="204"/>
      <c r="F21" s="204"/>
      <c r="G21" s="204"/>
      <c r="H21" s="944"/>
      <c r="I21" s="945"/>
      <c r="J21" s="932"/>
      <c r="K21" s="946"/>
      <c r="L21" s="19"/>
      <c r="P21" s="235"/>
      <c r="R21" s="204"/>
    </row>
    <row r="22" spans="1:18" ht="12.75">
      <c r="A22" s="636">
        <v>713</v>
      </c>
      <c r="B22" s="753">
        <v>822</v>
      </c>
      <c r="C22" s="646" t="s">
        <v>809</v>
      </c>
      <c r="D22" s="416">
        <v>1990</v>
      </c>
      <c r="E22" s="4"/>
      <c r="F22" s="4"/>
      <c r="G22" s="4"/>
      <c r="H22" s="636">
        <v>900</v>
      </c>
      <c r="I22" s="652">
        <v>852</v>
      </c>
      <c r="J22" s="641" t="s">
        <v>901</v>
      </c>
      <c r="K22" s="117">
        <v>6772</v>
      </c>
      <c r="L22" s="1722"/>
      <c r="M22" s="208"/>
      <c r="N22" s="208"/>
      <c r="O22" s="208"/>
      <c r="P22" s="194"/>
      <c r="R22" s="4"/>
    </row>
    <row r="23" spans="1:18" ht="12.75">
      <c r="A23" s="636">
        <v>715</v>
      </c>
      <c r="B23" s="753">
        <v>823</v>
      </c>
      <c r="C23" s="646" t="s">
        <v>810</v>
      </c>
      <c r="D23" s="416">
        <v>2428</v>
      </c>
      <c r="E23" s="4"/>
      <c r="F23" s="4"/>
      <c r="G23" s="4"/>
      <c r="H23" s="636">
        <v>910</v>
      </c>
      <c r="I23" s="648">
        <v>853</v>
      </c>
      <c r="J23" s="641" t="s">
        <v>11</v>
      </c>
      <c r="K23" s="117">
        <v>362</v>
      </c>
      <c r="L23" s="1701"/>
      <c r="M23" s="1693"/>
      <c r="N23" s="166"/>
      <c r="O23" s="300"/>
      <c r="P23" s="143"/>
      <c r="R23" s="4"/>
    </row>
    <row r="24" spans="1:18" ht="12.75">
      <c r="A24" s="636">
        <v>717</v>
      </c>
      <c r="B24" s="753">
        <v>824</v>
      </c>
      <c r="C24" s="646" t="s">
        <v>811</v>
      </c>
      <c r="D24" s="416">
        <v>2235</v>
      </c>
      <c r="E24" s="4"/>
      <c r="F24" s="4"/>
      <c r="G24" s="4"/>
      <c r="H24" s="636">
        <v>920</v>
      </c>
      <c r="I24" s="933" t="s">
        <v>818</v>
      </c>
      <c r="J24" s="934" t="s">
        <v>819</v>
      </c>
      <c r="K24" s="117">
        <v>147</v>
      </c>
      <c r="L24" s="1722"/>
      <c r="M24" s="4"/>
      <c r="N24" s="4"/>
      <c r="O24" s="4"/>
      <c r="P24" s="194"/>
      <c r="R24" s="4"/>
    </row>
    <row r="25" spans="1:18" ht="12.75">
      <c r="A25" s="636">
        <v>719</v>
      </c>
      <c r="B25" s="753">
        <v>825</v>
      </c>
      <c r="C25" s="646" t="s">
        <v>812</v>
      </c>
      <c r="D25" s="416">
        <v>6078</v>
      </c>
      <c r="E25" s="4"/>
      <c r="F25" s="4"/>
      <c r="G25" s="4"/>
      <c r="H25" s="636">
        <v>985</v>
      </c>
      <c r="I25" s="648">
        <v>8581</v>
      </c>
      <c r="J25" s="641" t="s">
        <v>845</v>
      </c>
      <c r="K25" s="117">
        <v>6</v>
      </c>
      <c r="L25" s="1701"/>
      <c r="M25" s="4"/>
      <c r="N25" s="4"/>
      <c r="O25" s="4"/>
      <c r="P25" s="194"/>
      <c r="R25" s="4"/>
    </row>
    <row r="26" spans="1:18" ht="12.75">
      <c r="A26" s="636">
        <v>785</v>
      </c>
      <c r="B26" s="753">
        <v>826</v>
      </c>
      <c r="C26" s="646" t="s">
        <v>813</v>
      </c>
      <c r="D26" s="416">
        <v>3465</v>
      </c>
      <c r="E26" s="4"/>
      <c r="F26" s="4"/>
      <c r="G26" s="4"/>
      <c r="H26" s="636">
        <v>996</v>
      </c>
      <c r="I26" s="648">
        <v>8582</v>
      </c>
      <c r="J26" s="641" t="s">
        <v>846</v>
      </c>
      <c r="K26" s="117">
        <v>0</v>
      </c>
      <c r="L26" s="1701"/>
      <c r="M26" s="4"/>
      <c r="N26" s="4"/>
      <c r="O26" s="4"/>
      <c r="P26" s="4"/>
      <c r="R26" s="4"/>
    </row>
    <row r="27" spans="1:18" ht="12.75">
      <c r="A27" s="636">
        <v>740</v>
      </c>
      <c r="B27" s="648">
        <v>829</v>
      </c>
      <c r="C27" s="646" t="s">
        <v>941</v>
      </c>
      <c r="D27" s="257">
        <v>5</v>
      </c>
      <c r="E27" s="202">
        <f>IF(OR(D27&lt;-10,D27&gt;10),"Kommentera beloppet","")</f>
      </c>
      <c r="F27" s="4"/>
      <c r="G27" s="4"/>
      <c r="H27" s="636">
        <v>997</v>
      </c>
      <c r="I27" s="648" t="s">
        <v>927</v>
      </c>
      <c r="J27" s="641" t="s">
        <v>831</v>
      </c>
      <c r="K27" s="117">
        <v>125</v>
      </c>
      <c r="L27" s="1701"/>
      <c r="M27" s="4"/>
      <c r="N27" s="4"/>
      <c r="O27" s="4"/>
      <c r="P27" s="4"/>
      <c r="R27" s="4"/>
    </row>
    <row r="28" spans="1:18" ht="18.75" thickBot="1">
      <c r="A28" s="649">
        <v>750</v>
      </c>
      <c r="B28" s="650">
        <v>82</v>
      </c>
      <c r="C28" s="1717" t="s">
        <v>814</v>
      </c>
      <c r="D28" s="413">
        <f>SUM(D21:D27)</f>
        <v>78043</v>
      </c>
      <c r="E28" s="36"/>
      <c r="F28" s="4"/>
      <c r="G28" s="4"/>
      <c r="H28" s="636">
        <v>998</v>
      </c>
      <c r="I28" s="1812" t="s">
        <v>940</v>
      </c>
      <c r="J28" s="653" t="s">
        <v>848</v>
      </c>
      <c r="K28" s="117">
        <v>362</v>
      </c>
      <c r="L28" s="1723"/>
      <c r="M28" s="4"/>
      <c r="N28" s="4"/>
      <c r="O28" s="4"/>
      <c r="P28" s="4"/>
      <c r="R28" s="4"/>
    </row>
    <row r="29" spans="1:18" ht="13.5" thickBot="1">
      <c r="A29" s="4"/>
      <c r="B29" s="4"/>
      <c r="C29" s="4"/>
      <c r="D29" s="4"/>
      <c r="E29" s="4"/>
      <c r="F29" s="4"/>
      <c r="G29" s="4"/>
      <c r="H29" s="649">
        <v>984</v>
      </c>
      <c r="I29" s="1720">
        <v>851</v>
      </c>
      <c r="J29" s="1721" t="s">
        <v>900</v>
      </c>
      <c r="K29" s="126">
        <v>13</v>
      </c>
      <c r="L29" s="1693"/>
      <c r="M29" s="4"/>
      <c r="N29" s="4"/>
      <c r="O29" s="4"/>
      <c r="P29" s="4"/>
      <c r="R29" s="4"/>
    </row>
    <row r="30" spans="1:18" ht="13.5" thickBot="1">
      <c r="A30" s="4"/>
      <c r="B30" s="4"/>
      <c r="C30" s="4"/>
      <c r="D30" s="4"/>
      <c r="E30" s="4"/>
      <c r="F30" s="4"/>
      <c r="G30" s="4"/>
      <c r="H30" s="649">
        <v>990</v>
      </c>
      <c r="I30" s="654"/>
      <c r="J30" s="655" t="s">
        <v>16</v>
      </c>
      <c r="K30" s="1897">
        <f>RR!C14</f>
        <v>7787</v>
      </c>
      <c r="M30" s="4"/>
      <c r="N30" s="4"/>
      <c r="O30" s="4"/>
      <c r="P30" s="4"/>
      <c r="Q30" s="4"/>
      <c r="R30" s="4"/>
    </row>
    <row r="31" spans="1:18" ht="16.5" thickBot="1">
      <c r="A31" s="90" t="s">
        <v>840</v>
      </c>
      <c r="B31" s="4"/>
      <c r="C31" s="4"/>
      <c r="D31" s="36"/>
      <c r="E31" s="4"/>
      <c r="F31" s="4"/>
      <c r="G31" s="4"/>
      <c r="H31" s="4"/>
      <c r="I31" s="1730"/>
      <c r="J31" s="202"/>
      <c r="K31" s="1731"/>
      <c r="L31" s="1610">
        <f>IF(ABS(K31)&gt;100,"eliminera differensen","")</f>
      </c>
      <c r="M31" s="4"/>
      <c r="N31" s="4"/>
      <c r="O31" s="4"/>
      <c r="P31" s="4"/>
      <c r="Q31" s="4"/>
      <c r="R31" s="4"/>
    </row>
    <row r="32" spans="1:18" ht="12.75">
      <c r="A32" s="687" t="s">
        <v>695</v>
      </c>
      <c r="B32" s="1813" t="s">
        <v>865</v>
      </c>
      <c r="C32" s="929"/>
      <c r="D32" s="936" t="s">
        <v>512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689" t="s">
        <v>698</v>
      </c>
      <c r="B33" s="902"/>
      <c r="C33" s="698"/>
      <c r="D33" s="9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>
      <c r="A34" s="963"/>
      <c r="B34" s="905"/>
      <c r="C34" s="682"/>
      <c r="D34" s="942"/>
      <c r="E34" s="4"/>
      <c r="F34" s="4"/>
      <c r="G34" s="4"/>
      <c r="H34" s="166"/>
      <c r="I34" s="194"/>
      <c r="J34" s="194"/>
      <c r="K34" s="194"/>
      <c r="L34" s="4"/>
      <c r="M34" s="4"/>
      <c r="N34" s="4"/>
      <c r="O34" s="4"/>
      <c r="P34" s="4"/>
      <c r="Q34" s="4"/>
      <c r="R34" s="4"/>
    </row>
    <row r="35" spans="1:11" ht="12.75">
      <c r="A35" s="885">
        <v>760</v>
      </c>
      <c r="B35" s="652">
        <v>831</v>
      </c>
      <c r="C35" s="653" t="s">
        <v>803</v>
      </c>
      <c r="D35" s="416">
        <v>3874</v>
      </c>
      <c r="E35" s="4"/>
      <c r="F35" s="4"/>
      <c r="G35" s="4"/>
      <c r="H35" s="2161"/>
      <c r="I35" s="2162"/>
      <c r="J35" s="2162"/>
      <c r="K35" s="2162"/>
    </row>
    <row r="36" spans="1:11" ht="12.75">
      <c r="A36" s="885">
        <v>770</v>
      </c>
      <c r="B36" s="652">
        <v>834</v>
      </c>
      <c r="C36" s="653" t="s">
        <v>804</v>
      </c>
      <c r="D36" s="416">
        <v>14</v>
      </c>
      <c r="E36" s="4"/>
      <c r="F36" s="4"/>
      <c r="G36" s="4"/>
      <c r="H36" s="2162"/>
      <c r="I36" s="2162"/>
      <c r="J36" s="2162"/>
      <c r="K36" s="2162"/>
    </row>
    <row r="37" spans="1:18" ht="12.75">
      <c r="A37" s="885">
        <v>780</v>
      </c>
      <c r="B37" s="652">
        <v>835</v>
      </c>
      <c r="C37" s="653" t="s">
        <v>805</v>
      </c>
      <c r="D37" s="417">
        <v>6071</v>
      </c>
      <c r="E37" s="4"/>
      <c r="F37" s="4"/>
      <c r="G37" s="4"/>
      <c r="H37" s="2162"/>
      <c r="I37" s="2162"/>
      <c r="J37" s="2162"/>
      <c r="K37" s="2162"/>
      <c r="L37" s="4"/>
      <c r="M37" s="4"/>
      <c r="N37" s="4"/>
      <c r="O37" s="4"/>
      <c r="P37" s="4"/>
      <c r="Q37" s="4"/>
      <c r="R37" s="4"/>
    </row>
    <row r="38" spans="1:18" ht="12.75">
      <c r="A38" s="885">
        <v>786</v>
      </c>
      <c r="B38" s="652">
        <v>836</v>
      </c>
      <c r="C38" s="653" t="s">
        <v>806</v>
      </c>
      <c r="D38" s="417">
        <v>3465</v>
      </c>
      <c r="E38" s="4"/>
      <c r="F38" s="4"/>
      <c r="G38" s="4"/>
      <c r="H38" s="2162"/>
      <c r="I38" s="2162"/>
      <c r="J38" s="2162"/>
      <c r="K38" s="2162"/>
      <c r="L38" s="4"/>
      <c r="M38" s="4"/>
      <c r="N38" s="4"/>
      <c r="O38" s="4"/>
      <c r="P38" s="4"/>
      <c r="Q38" s="4"/>
      <c r="R38" s="4"/>
    </row>
    <row r="39" spans="1:18" ht="13.5" thickBot="1">
      <c r="A39" s="886">
        <v>790</v>
      </c>
      <c r="B39" s="947"/>
      <c r="C39" s="1718" t="s">
        <v>807</v>
      </c>
      <c r="D39" s="414">
        <f>SUM(D35:D38)</f>
        <v>13424</v>
      </c>
      <c r="E39" s="3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3.5" thickBot="1">
      <c r="A40" s="263"/>
      <c r="B40" s="18"/>
      <c r="C40" s="19"/>
      <c r="D40" s="20"/>
      <c r="E40" s="3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3.5" thickBot="1">
      <c r="A41" s="899">
        <v>765</v>
      </c>
      <c r="B41" s="948">
        <v>828</v>
      </c>
      <c r="C41" s="1719" t="s">
        <v>898</v>
      </c>
      <c r="D41" s="264">
        <v>15476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2">
    <mergeCell ref="H35:K38"/>
    <mergeCell ref="M19:P20"/>
  </mergeCells>
  <conditionalFormatting sqref="D27 D41 K8:K14 K22:K28">
    <cfRule type="cellIs" priority="14" dxfId="0" operator="lessThan" stopIfTrue="1">
      <formula>-500</formula>
    </cfRule>
  </conditionalFormatting>
  <conditionalFormatting sqref="K15">
    <cfRule type="cellIs" priority="13" dxfId="0" operator="lessThan" stopIfTrue="1">
      <formula>-500</formula>
    </cfRule>
  </conditionalFormatting>
  <conditionalFormatting sqref="K29">
    <cfRule type="cellIs" priority="12" dxfId="0" operator="lessThan" stopIfTrue="1">
      <formula>-500</formula>
    </cfRule>
  </conditionalFormatting>
  <conditionalFormatting sqref="I17">
    <cfRule type="expression" priority="5" dxfId="7" stopIfTrue="1">
      <formula>ABS(K17)&gt;100</formula>
    </cfRule>
  </conditionalFormatting>
  <conditionalFormatting sqref="K17">
    <cfRule type="expression" priority="4" dxfId="7" stopIfTrue="1">
      <formula>ABS(K17)&gt;100</formula>
    </cfRule>
  </conditionalFormatting>
  <conditionalFormatting sqref="I31">
    <cfRule type="expression" priority="3" dxfId="7" stopIfTrue="1">
      <formula>ABS(K31)&gt;100</formula>
    </cfRule>
  </conditionalFormatting>
  <conditionalFormatting sqref="K31">
    <cfRule type="expression" priority="2" dxfId="7" stopIfTrue="1">
      <formula>ABS(K31)&gt;100</formula>
    </cfRule>
  </conditionalFormatting>
  <dataValidations count="1">
    <dataValidation type="decimal" operator="lessThan" allowBlank="1" showInputMessage="1" showErrorMessage="1" error="Beloppet ska vara i 1000 tal kronor" sqref="K8:K14 K22:K28 D41 D27 D11">
      <formula1>99999999</formula1>
    </dataValidation>
  </dataValidation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scale="80" r:id="rId2"/>
  <headerFooter>
    <oddHeader>&amp;L&amp;8Statistiska Centralbyrån
Offentlig ekonomi&amp;R&amp;P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5"/>
  <sheetViews>
    <sheetView showGridLines="0" zoomScalePageLayoutView="0" workbookViewId="0" topLeftCell="A1">
      <pane ySplit="1" topLeftCell="A2" activePane="bottomLeft" state="frozen"/>
      <selection pane="topLeft" activeCell="F32" sqref="F32"/>
      <selection pane="bottomLeft" activeCell="A2" sqref="A2"/>
    </sheetView>
  </sheetViews>
  <sheetFormatPr defaultColWidth="0" defaultRowHeight="12.75" zeroHeight="1"/>
  <cols>
    <col min="1" max="1" width="4.00390625" style="163" customWidth="1"/>
    <col min="2" max="2" width="32.28125" style="163" customWidth="1"/>
    <col min="3" max="3" width="10.140625" style="163" customWidth="1"/>
    <col min="4" max="4" width="9.28125" style="163" customWidth="1"/>
    <col min="5" max="5" width="8.421875" style="163" customWidth="1"/>
    <col min="6" max="6" width="9.00390625" style="163" customWidth="1"/>
    <col min="7" max="7" width="10.00390625" style="163" customWidth="1"/>
    <col min="8" max="8" width="8.57421875" style="163" customWidth="1"/>
    <col min="9" max="9" width="17.140625" style="166" customWidth="1"/>
    <col min="10" max="10" width="20.28125" style="163" customWidth="1"/>
    <col min="11" max="11" width="2.8515625" style="163" customWidth="1"/>
    <col min="12" max="12" width="4.140625" style="192" customWidth="1"/>
    <col min="13" max="13" width="3.00390625" style="192" customWidth="1"/>
    <col min="14" max="16384" width="9.140625" style="192" hidden="1" customWidth="1"/>
  </cols>
  <sheetData>
    <row r="1" spans="1:13" s="265" customFormat="1" ht="20.25">
      <c r="A1" s="93" t="str">
        <f>"Investeringsredovisning "&amp;År&amp;", miljoner kronor"</f>
        <v>Investeringsredovisning 2014, miljoner kronor</v>
      </c>
      <c r="B1" s="111"/>
      <c r="C1" s="111"/>
      <c r="D1" s="111"/>
      <c r="E1" s="112"/>
      <c r="F1" s="112"/>
      <c r="G1" s="588" t="s">
        <v>502</v>
      </c>
      <c r="H1" s="589" t="str">
        <f>'Kn Information'!B2</f>
        <v>RIKSTOTAL</v>
      </c>
      <c r="I1" s="178"/>
      <c r="J1" s="113">
        <v>1</v>
      </c>
      <c r="K1" s="113"/>
      <c r="L1" s="113"/>
      <c r="M1" s="113"/>
    </row>
    <row r="2" spans="1:12" s="265" customFormat="1" ht="12.75" customHeight="1">
      <c r="A2" s="1546"/>
      <c r="C2" s="1660"/>
      <c r="D2" s="166"/>
      <c r="H2" s="1940"/>
      <c r="I2" s="166"/>
      <c r="L2" s="266"/>
    </row>
    <row r="3" spans="3:12" s="265" customFormat="1" ht="12.75" customHeight="1" thickBot="1">
      <c r="C3" s="1660"/>
      <c r="D3" s="166"/>
      <c r="G3" s="1941"/>
      <c r="H3" s="1940"/>
      <c r="I3" s="166"/>
      <c r="J3" s="267"/>
      <c r="L3" s="267"/>
    </row>
    <row r="4" spans="1:12" s="265" customFormat="1" ht="18" customHeight="1">
      <c r="A4" s="949" t="s">
        <v>530</v>
      </c>
      <c r="B4" s="950"/>
      <c r="C4" s="2196" t="s">
        <v>555</v>
      </c>
      <c r="D4" s="2196" t="s">
        <v>556</v>
      </c>
      <c r="E4" s="2196" t="s">
        <v>557</v>
      </c>
      <c r="F4" s="1967" t="s">
        <v>193</v>
      </c>
      <c r="G4" s="62"/>
      <c r="H4" s="83"/>
      <c r="I4" s="79"/>
      <c r="J4" s="43"/>
      <c r="K4" s="267"/>
      <c r="L4" s="267"/>
    </row>
    <row r="5" spans="1:12" s="265" customFormat="1" ht="36.75" customHeight="1">
      <c r="A5" s="2149"/>
      <c r="B5" s="951"/>
      <c r="C5" s="2197"/>
      <c r="D5" s="2197"/>
      <c r="E5" s="2197"/>
      <c r="F5" s="952" t="s">
        <v>902</v>
      </c>
      <c r="G5" s="62"/>
      <c r="H5" s="1810"/>
      <c r="I5" s="105"/>
      <c r="J5" s="1698"/>
      <c r="K5" s="267"/>
      <c r="L5" s="267"/>
    </row>
    <row r="6" spans="1:12" s="269" customFormat="1" ht="12.75">
      <c r="A6" s="668" t="s">
        <v>538</v>
      </c>
      <c r="B6" s="669" t="s">
        <v>407</v>
      </c>
      <c r="C6" s="406">
        <v>343728</v>
      </c>
      <c r="D6" s="406">
        <v>18812</v>
      </c>
      <c r="E6" s="406">
        <v>216834</v>
      </c>
      <c r="F6" s="1632">
        <v>65043</v>
      </c>
      <c r="G6" s="63"/>
      <c r="H6" s="1811"/>
      <c r="I6" s="105"/>
      <c r="J6" s="1698"/>
      <c r="K6" s="268"/>
      <c r="L6" s="268"/>
    </row>
    <row r="7" spans="1:12" s="269" customFormat="1" ht="12.75" customHeight="1">
      <c r="A7" s="670" t="s">
        <v>539</v>
      </c>
      <c r="B7" s="671" t="s">
        <v>1164</v>
      </c>
      <c r="C7" s="275">
        <v>42427</v>
      </c>
      <c r="D7" s="276">
        <v>5486</v>
      </c>
      <c r="E7" s="277">
        <v>16801</v>
      </c>
      <c r="F7" s="278">
        <v>2330</v>
      </c>
      <c r="G7" s="1895"/>
      <c r="I7" s="1892">
        <f>IF(SUM(F7)&gt;(E7),"Därav-Kol.F&gt;Kol.E","")</f>
      </c>
      <c r="J7" s="1703"/>
      <c r="K7" s="268"/>
      <c r="L7" s="268"/>
    </row>
    <row r="8" spans="1:12" s="269" customFormat="1" ht="12.75" customHeight="1">
      <c r="A8" s="672" t="s">
        <v>540</v>
      </c>
      <c r="B8" s="671" t="s">
        <v>976</v>
      </c>
      <c r="C8" s="275">
        <v>-7310</v>
      </c>
      <c r="D8" s="276">
        <v>-608</v>
      </c>
      <c r="E8" s="277">
        <v>-2945</v>
      </c>
      <c r="F8" s="278">
        <v>-567</v>
      </c>
      <c r="G8" s="1895"/>
      <c r="I8" s="1892"/>
      <c r="J8" s="1703"/>
      <c r="K8" s="268"/>
      <c r="L8" s="268"/>
    </row>
    <row r="9" spans="1:12" s="269" customFormat="1" ht="12.75" customHeight="1">
      <c r="A9" s="672" t="s">
        <v>541</v>
      </c>
      <c r="B9" s="671" t="s">
        <v>550</v>
      </c>
      <c r="C9" s="356">
        <v>4166</v>
      </c>
      <c r="D9" s="276">
        <v>256</v>
      </c>
      <c r="E9" s="277">
        <v>154</v>
      </c>
      <c r="F9" s="278">
        <v>100</v>
      </c>
      <c r="G9" s="65"/>
      <c r="I9" s="1892">
        <f>IF(SUM(F9)&gt;(E9),"Därav-Kol.F&gt;Kol.E","")</f>
      </c>
      <c r="J9" s="66"/>
      <c r="K9" s="268"/>
      <c r="L9" s="268"/>
    </row>
    <row r="10" spans="1:12" s="269" customFormat="1" ht="12.75" customHeight="1">
      <c r="A10" s="672" t="s">
        <v>390</v>
      </c>
      <c r="B10" s="671" t="s">
        <v>537</v>
      </c>
      <c r="C10" s="356">
        <v>-299</v>
      </c>
      <c r="D10" s="276">
        <v>-18</v>
      </c>
      <c r="E10" s="277">
        <v>-6</v>
      </c>
      <c r="F10" s="278">
        <v>-5</v>
      </c>
      <c r="G10" s="65"/>
      <c r="I10" s="1892">
        <f>IF(SUM(F10)&lt;(E10),"Därav-Kol.F&gt;Kol.E","")</f>
      </c>
      <c r="J10" s="66"/>
      <c r="K10" s="268"/>
      <c r="L10" s="268"/>
    </row>
    <row r="11" spans="1:12" s="269" customFormat="1" ht="12.75" customHeight="1">
      <c r="A11" s="672" t="s">
        <v>391</v>
      </c>
      <c r="B11" s="671" t="s">
        <v>387</v>
      </c>
      <c r="C11" s="275">
        <v>-14371</v>
      </c>
      <c r="D11" s="276">
        <v>-4267</v>
      </c>
      <c r="E11" s="1901">
        <v>-8</v>
      </c>
      <c r="F11" s="1902">
        <v>-2</v>
      </c>
      <c r="G11" s="1903"/>
      <c r="I11" s="1892">
        <f>IF(SUM(F11)&lt;(E11),"Därav-Kol.F&gt;Kol.E","")</f>
      </c>
      <c r="J11" s="66" t="s">
        <v>192</v>
      </c>
      <c r="K11" s="268"/>
      <c r="L11" s="268"/>
    </row>
    <row r="12" spans="1:12" s="269" customFormat="1" ht="12.75" customHeight="1">
      <c r="A12" s="672" t="s">
        <v>392</v>
      </c>
      <c r="B12" s="671" t="s">
        <v>170</v>
      </c>
      <c r="C12" s="279">
        <v>-449</v>
      </c>
      <c r="D12" s="280">
        <v>-36</v>
      </c>
      <c r="E12" s="57">
        <v>-163</v>
      </c>
      <c r="F12" s="606">
        <v>-64</v>
      </c>
      <c r="G12" s="65"/>
      <c r="H12" s="1892"/>
      <c r="I12" s="1904"/>
      <c r="J12" s="1931"/>
      <c r="K12" s="1932"/>
      <c r="L12" s="1932"/>
    </row>
    <row r="13" spans="1:12" s="269" customFormat="1" ht="12.75" customHeight="1">
      <c r="A13" s="673" t="s">
        <v>393</v>
      </c>
      <c r="B13" s="671" t="s">
        <v>388</v>
      </c>
      <c r="C13" s="275">
        <v>1608</v>
      </c>
      <c r="D13" s="276">
        <v>36</v>
      </c>
      <c r="E13" s="277">
        <v>-1283</v>
      </c>
      <c r="F13" s="278">
        <v>-290</v>
      </c>
      <c r="G13" s="65"/>
      <c r="H13" s="1892"/>
      <c r="I13" s="2198"/>
      <c r="J13" s="2199"/>
      <c r="K13" s="2199"/>
      <c r="L13" s="2199"/>
    </row>
    <row r="14" spans="1:12" s="269" customFormat="1" ht="12.75" customHeight="1">
      <c r="A14" s="672" t="s">
        <v>394</v>
      </c>
      <c r="B14" s="671" t="s">
        <v>389</v>
      </c>
      <c r="C14" s="275">
        <v>1547</v>
      </c>
      <c r="D14" s="276">
        <v>-199</v>
      </c>
      <c r="E14" s="277">
        <v>-2498</v>
      </c>
      <c r="F14" s="278">
        <v>157</v>
      </c>
      <c r="G14" s="1895"/>
      <c r="H14" s="1892"/>
      <c r="I14" s="2199"/>
      <c r="J14" s="2199"/>
      <c r="K14" s="2199"/>
      <c r="L14" s="2199"/>
    </row>
    <row r="15" spans="1:12" s="269" customFormat="1" ht="12" thickBot="1">
      <c r="A15" s="674" t="s">
        <v>395</v>
      </c>
      <c r="B15" s="675" t="s">
        <v>408</v>
      </c>
      <c r="C15" s="339">
        <f>'BR'!D10</f>
        <v>371047</v>
      </c>
      <c r="D15" s="340">
        <f>'BR'!D11</f>
        <v>19461</v>
      </c>
      <c r="E15" s="340">
        <f>'BR'!D17</f>
        <v>226886</v>
      </c>
      <c r="F15" s="341">
        <f>'BR'!D13</f>
        <v>66702</v>
      </c>
      <c r="G15" s="63"/>
      <c r="H15" s="64"/>
      <c r="I15" s="2199"/>
      <c r="J15" s="2199"/>
      <c r="K15" s="2199"/>
      <c r="L15" s="2199"/>
    </row>
    <row r="16" spans="1:12" s="269" customFormat="1" ht="11.25">
      <c r="A16" s="67"/>
      <c r="B16" s="63"/>
      <c r="C16" s="160">
        <f>IF(ABS(SUM(C6:C14)-C15)&gt;100,"Diff mot BR rad 021","")</f>
      </c>
      <c r="D16" s="160">
        <f>IF(ABS(SUM(D6:D14)-D15)&gt;100,"Diff mot BR rad 023","")</f>
      </c>
      <c r="E16" s="160">
        <f>IF(ABS(SUM(E6:E14)-E15)&gt;100,"Diff mot BR rad 035","")</f>
      </c>
      <c r="F16" s="160">
        <f>IF(ABS(SUM(F6:F14)-F15)&gt;100,"Diff mot BR rad 036","")</f>
      </c>
      <c r="G16" s="68"/>
      <c r="H16" s="65"/>
      <c r="I16" s="65"/>
      <c r="J16" s="66"/>
      <c r="K16" s="268"/>
      <c r="L16" s="268"/>
    </row>
    <row r="17" spans="1:12" ht="16.5" customHeight="1">
      <c r="A17" s="330"/>
      <c r="B17" s="230"/>
      <c r="C17" s="43">
        <f>IF(C16&lt;&gt;"diff mot BR rad 021","",C15-SUM(C6:C14))</f>
      </c>
      <c r="D17" s="43">
        <f>IF(D16&lt;&gt;"diff mot BR rad 023","",D15-SUM(D6:D14))</f>
      </c>
      <c r="E17" s="43">
        <f>IF(E16&lt;&gt;"diff mot BR rad 035","",E15-SUM(E6:E14))</f>
      </c>
      <c r="F17" s="43">
        <f>IF(F16&lt;&gt;"diff mot BR rad 036","",F15-SUM(F6:F14))</f>
      </c>
      <c r="G17" s="330"/>
      <c r="H17" s="4"/>
      <c r="I17" s="47"/>
      <c r="J17" s="47"/>
      <c r="K17" s="4"/>
      <c r="L17" s="193"/>
    </row>
    <row r="18" spans="1:12" ht="17.2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1890"/>
      <c r="K18" s="4"/>
      <c r="L18" s="193"/>
    </row>
    <row r="19" spans="1:12" s="271" customFormat="1" ht="22.5" customHeight="1" thickBot="1">
      <c r="A19" s="1891" t="s">
        <v>1197</v>
      </c>
      <c r="B19" s="270"/>
      <c r="C19" s="69"/>
      <c r="D19" s="70"/>
      <c r="E19" s="71"/>
      <c r="F19" s="71"/>
      <c r="G19" s="71"/>
      <c r="H19" s="71"/>
      <c r="I19" s="179"/>
      <c r="J19" s="177"/>
      <c r="K19" s="72"/>
      <c r="L19" s="270"/>
    </row>
    <row r="20" spans="1:12" ht="14.25" customHeight="1">
      <c r="A20" s="953" t="s">
        <v>695</v>
      </c>
      <c r="B20" s="954" t="s">
        <v>21</v>
      </c>
      <c r="C20" s="1893" t="s">
        <v>1171</v>
      </c>
      <c r="D20" s="955" t="s">
        <v>193</v>
      </c>
      <c r="E20" s="956"/>
      <c r="F20" s="957"/>
      <c r="G20" s="1893" t="s">
        <v>1171</v>
      </c>
      <c r="H20" s="958" t="s">
        <v>193</v>
      </c>
      <c r="I20" s="39"/>
      <c r="J20" s="39"/>
      <c r="K20" s="44"/>
      <c r="L20" s="4"/>
    </row>
    <row r="21" spans="1:12" ht="27.75" customHeight="1">
      <c r="A21" s="2151" t="s">
        <v>698</v>
      </c>
      <c r="B21" s="903"/>
      <c r="C21" s="1894" t="s">
        <v>1172</v>
      </c>
      <c r="D21" s="1885" t="s">
        <v>1167</v>
      </c>
      <c r="E21" s="1885" t="s">
        <v>1168</v>
      </c>
      <c r="F21" s="1886" t="s">
        <v>1169</v>
      </c>
      <c r="G21" s="1894" t="s">
        <v>991</v>
      </c>
      <c r="H21" s="1887" t="s">
        <v>1170</v>
      </c>
      <c r="I21" s="8"/>
      <c r="J21" s="73"/>
      <c r="K21" s="44"/>
      <c r="L21" s="4"/>
    </row>
    <row r="22" spans="1:12" ht="12.75">
      <c r="A22" s="959"/>
      <c r="B22" s="961"/>
      <c r="C22" s="962"/>
      <c r="D22" s="960"/>
      <c r="E22" s="1018" t="s">
        <v>194</v>
      </c>
      <c r="F22" s="1888" t="s">
        <v>195</v>
      </c>
      <c r="G22" s="698" t="s">
        <v>992</v>
      </c>
      <c r="H22" s="1889" t="s">
        <v>196</v>
      </c>
      <c r="I22" s="8"/>
      <c r="J22" s="73"/>
      <c r="K22" s="44"/>
      <c r="L22" s="4"/>
    </row>
    <row r="23" spans="1:12" ht="48.75" customHeight="1">
      <c r="A23" s="963"/>
      <c r="B23" s="964"/>
      <c r="C23" s="965"/>
      <c r="D23" s="2150" t="s">
        <v>1198</v>
      </c>
      <c r="E23" s="1732" t="s">
        <v>197</v>
      </c>
      <c r="F23" s="1733" t="s">
        <v>198</v>
      </c>
      <c r="G23" s="1750" t="s">
        <v>993</v>
      </c>
      <c r="H23" s="1734" t="s">
        <v>199</v>
      </c>
      <c r="I23" s="8"/>
      <c r="J23" s="8"/>
      <c r="K23" s="44"/>
      <c r="L23" s="4"/>
    </row>
    <row r="24" spans="1:12" ht="12.75">
      <c r="A24" s="966"/>
      <c r="B24" s="967" t="s">
        <v>22</v>
      </c>
      <c r="C24" s="2026"/>
      <c r="D24" s="2026"/>
      <c r="E24" s="2026"/>
      <c r="F24" s="2027"/>
      <c r="G24" s="2026"/>
      <c r="H24" s="2028"/>
      <c r="I24" s="180"/>
      <c r="J24" s="181"/>
      <c r="K24" s="182"/>
      <c r="L24" s="182"/>
    </row>
    <row r="25" spans="1:12" ht="12.75">
      <c r="A25" s="968" t="s">
        <v>247</v>
      </c>
      <c r="B25" s="680" t="s">
        <v>23</v>
      </c>
      <c r="C25" s="281">
        <v>61</v>
      </c>
      <c r="D25" s="281">
        <v>33</v>
      </c>
      <c r="E25" s="281">
        <v>11</v>
      </c>
      <c r="F25" s="282">
        <v>11</v>
      </c>
      <c r="G25" s="281">
        <v>0</v>
      </c>
      <c r="H25" s="283">
        <v>0</v>
      </c>
      <c r="I25" s="353"/>
      <c r="J25" s="353">
        <f>IF(SUM(H25)&gt;(G25+100),"Kol.H &gt; Kol.G","")</f>
      </c>
      <c r="K25" s="354"/>
      <c r="L25" s="202"/>
    </row>
    <row r="26" spans="1:12" ht="18.75">
      <c r="A26" s="969" t="s">
        <v>248</v>
      </c>
      <c r="B26" s="970" t="s">
        <v>200</v>
      </c>
      <c r="C26" s="21">
        <v>5034</v>
      </c>
      <c r="D26" s="21">
        <v>2057</v>
      </c>
      <c r="E26" s="21">
        <v>66</v>
      </c>
      <c r="F26" s="22">
        <v>2707</v>
      </c>
      <c r="G26" s="21">
        <v>419</v>
      </c>
      <c r="H26" s="117">
        <v>80</v>
      </c>
      <c r="I26" s="353"/>
      <c r="J26" s="353">
        <f aca="true" t="shared" si="0" ref="J26:J65">IF(SUM(H26)&gt;(G26+100),"Kol.H &gt; Kol.G","")</f>
      </c>
      <c r="K26" s="354"/>
      <c r="L26" s="202"/>
    </row>
    <row r="27" spans="1:12" ht="12.75">
      <c r="A27" s="672" t="s">
        <v>381</v>
      </c>
      <c r="B27" s="641" t="s">
        <v>201</v>
      </c>
      <c r="C27" s="21">
        <v>288</v>
      </c>
      <c r="D27" s="21">
        <v>233</v>
      </c>
      <c r="E27" s="21">
        <v>9</v>
      </c>
      <c r="F27" s="22">
        <v>16</v>
      </c>
      <c r="G27" s="21">
        <v>60</v>
      </c>
      <c r="H27" s="117">
        <v>46</v>
      </c>
      <c r="I27" s="353"/>
      <c r="J27" s="353">
        <f t="shared" si="0"/>
      </c>
      <c r="K27" s="354"/>
      <c r="L27" s="202"/>
    </row>
    <row r="28" spans="1:12" ht="12.75">
      <c r="A28" s="672" t="s">
        <v>251</v>
      </c>
      <c r="B28" s="641" t="s">
        <v>1006</v>
      </c>
      <c r="C28" s="21">
        <v>7546</v>
      </c>
      <c r="D28" s="21">
        <v>6451</v>
      </c>
      <c r="E28" s="21">
        <v>192</v>
      </c>
      <c r="F28" s="22">
        <v>190</v>
      </c>
      <c r="G28" s="21">
        <v>1158</v>
      </c>
      <c r="H28" s="117">
        <v>539</v>
      </c>
      <c r="I28" s="353"/>
      <c r="J28" s="353">
        <f t="shared" si="0"/>
      </c>
      <c r="K28" s="354"/>
      <c r="L28" s="202"/>
    </row>
    <row r="29" spans="1:12" ht="12.75">
      <c r="A29" s="672" t="s">
        <v>252</v>
      </c>
      <c r="B29" s="641" t="s">
        <v>24</v>
      </c>
      <c r="C29" s="21">
        <v>1251</v>
      </c>
      <c r="D29" s="21">
        <v>916</v>
      </c>
      <c r="E29" s="21">
        <v>84</v>
      </c>
      <c r="F29" s="22">
        <v>33</v>
      </c>
      <c r="G29" s="21">
        <v>95</v>
      </c>
      <c r="H29" s="117">
        <v>22</v>
      </c>
      <c r="I29" s="353"/>
      <c r="J29" s="353">
        <f>IF(SUM(H29)&gt;(G29+100),"Kol.H &gt; Kol.G","")</f>
      </c>
      <c r="K29" s="354"/>
      <c r="L29" s="202"/>
    </row>
    <row r="30" spans="1:12" ht="12.75">
      <c r="A30" s="672" t="s">
        <v>382</v>
      </c>
      <c r="B30" s="641" t="s">
        <v>203</v>
      </c>
      <c r="C30" s="21">
        <v>86</v>
      </c>
      <c r="D30" s="21">
        <v>56</v>
      </c>
      <c r="E30" s="21">
        <v>18</v>
      </c>
      <c r="F30" s="22">
        <v>3</v>
      </c>
      <c r="G30" s="21">
        <v>3</v>
      </c>
      <c r="H30" s="117">
        <v>2</v>
      </c>
      <c r="I30" s="353"/>
      <c r="J30" s="353">
        <f t="shared" si="0"/>
      </c>
      <c r="K30" s="354"/>
      <c r="L30" s="202"/>
    </row>
    <row r="31" spans="1:12" ht="12.75">
      <c r="A31" s="672" t="s">
        <v>256</v>
      </c>
      <c r="B31" s="641" t="s">
        <v>25</v>
      </c>
      <c r="C31" s="21">
        <v>347</v>
      </c>
      <c r="D31" s="21">
        <v>140</v>
      </c>
      <c r="E31" s="21">
        <v>180</v>
      </c>
      <c r="F31" s="22">
        <v>6</v>
      </c>
      <c r="G31" s="21">
        <v>11</v>
      </c>
      <c r="H31" s="117">
        <v>5</v>
      </c>
      <c r="I31" s="353"/>
      <c r="J31" s="353">
        <f t="shared" si="0"/>
      </c>
      <c r="K31" s="354"/>
      <c r="L31" s="202"/>
    </row>
    <row r="32" spans="1:12" ht="12.75">
      <c r="A32" s="672" t="s">
        <v>257</v>
      </c>
      <c r="B32" s="641" t="s">
        <v>204</v>
      </c>
      <c r="C32" s="21">
        <v>59</v>
      </c>
      <c r="D32" s="21">
        <v>44</v>
      </c>
      <c r="E32" s="21">
        <v>6</v>
      </c>
      <c r="F32" s="22">
        <v>0</v>
      </c>
      <c r="G32" s="21">
        <v>7</v>
      </c>
      <c r="H32" s="117">
        <v>3</v>
      </c>
      <c r="I32" s="353"/>
      <c r="J32" s="353">
        <f t="shared" si="0"/>
      </c>
      <c r="K32" s="354"/>
      <c r="L32" s="202"/>
    </row>
    <row r="33" spans="1:12" ht="12.75">
      <c r="A33" s="679" t="s">
        <v>258</v>
      </c>
      <c r="B33" s="680" t="s">
        <v>205</v>
      </c>
      <c r="C33" s="420">
        <f aca="true" t="shared" si="1" ref="C33:H33">SUM(C26:C32)</f>
        <v>14611</v>
      </c>
      <c r="D33" s="420">
        <f t="shared" si="1"/>
        <v>9897</v>
      </c>
      <c r="E33" s="420">
        <f t="shared" si="1"/>
        <v>555</v>
      </c>
      <c r="F33" s="421">
        <f t="shared" si="1"/>
        <v>2955</v>
      </c>
      <c r="G33" s="422">
        <f t="shared" si="1"/>
        <v>1753</v>
      </c>
      <c r="H33" s="423">
        <f t="shared" si="1"/>
        <v>697</v>
      </c>
      <c r="I33" s="353"/>
      <c r="J33" s="353"/>
      <c r="K33" s="355"/>
      <c r="L33" s="202"/>
    </row>
    <row r="34" spans="1:12" ht="12.75">
      <c r="A34" s="681" t="s">
        <v>268</v>
      </c>
      <c r="B34" s="682" t="s">
        <v>206</v>
      </c>
      <c r="C34" s="284">
        <v>4371</v>
      </c>
      <c r="D34" s="284">
        <v>3378</v>
      </c>
      <c r="E34" s="284">
        <v>442</v>
      </c>
      <c r="F34" s="285">
        <v>311</v>
      </c>
      <c r="G34" s="284">
        <v>92</v>
      </c>
      <c r="H34" s="286">
        <v>23</v>
      </c>
      <c r="I34" s="353"/>
      <c r="J34" s="353">
        <f t="shared" si="0"/>
      </c>
      <c r="K34" s="354"/>
      <c r="L34" s="202"/>
    </row>
    <row r="35" spans="1:12" ht="18.75">
      <c r="A35" s="971" t="s">
        <v>274</v>
      </c>
      <c r="B35" s="1578" t="s">
        <v>857</v>
      </c>
      <c r="C35" s="281">
        <v>1979</v>
      </c>
      <c r="D35" s="281">
        <v>1646</v>
      </c>
      <c r="E35" s="281">
        <v>206</v>
      </c>
      <c r="F35" s="282">
        <v>14</v>
      </c>
      <c r="G35" s="281">
        <v>0</v>
      </c>
      <c r="H35" s="283">
        <v>0</v>
      </c>
      <c r="I35" s="353"/>
      <c r="J35" s="353">
        <f t="shared" si="0"/>
      </c>
      <c r="K35" s="354"/>
      <c r="L35" s="202"/>
    </row>
    <row r="36" spans="1:12" ht="12.75">
      <c r="A36" s="676"/>
      <c r="B36" s="677" t="s">
        <v>207</v>
      </c>
      <c r="C36" s="2022"/>
      <c r="D36" s="2022"/>
      <c r="E36" s="2022"/>
      <c r="F36" s="2024"/>
      <c r="G36" s="2023"/>
      <c r="H36" s="2025"/>
      <c r="I36" s="353"/>
      <c r="J36" s="353"/>
      <c r="K36" s="354"/>
      <c r="L36" s="202"/>
    </row>
    <row r="37" spans="1:12" ht="12.75">
      <c r="A37" s="670" t="s">
        <v>434</v>
      </c>
      <c r="B37" s="678" t="s">
        <v>841</v>
      </c>
      <c r="C37" s="21">
        <v>6112</v>
      </c>
      <c r="D37" s="21">
        <v>4757</v>
      </c>
      <c r="E37" s="21">
        <v>668</v>
      </c>
      <c r="F37" s="22">
        <v>370</v>
      </c>
      <c r="G37" s="21">
        <v>5</v>
      </c>
      <c r="H37" s="117">
        <v>4</v>
      </c>
      <c r="I37" s="353"/>
      <c r="J37" s="353">
        <f t="shared" si="0"/>
      </c>
      <c r="K37" s="354"/>
      <c r="L37" s="202"/>
    </row>
    <row r="38" spans="1:12" ht="12.75">
      <c r="A38" s="672" t="s">
        <v>383</v>
      </c>
      <c r="B38" s="641" t="s">
        <v>208</v>
      </c>
      <c r="C38" s="21">
        <v>945</v>
      </c>
      <c r="D38" s="21">
        <v>612</v>
      </c>
      <c r="E38" s="21">
        <v>259</v>
      </c>
      <c r="F38" s="22">
        <v>8</v>
      </c>
      <c r="G38" s="21">
        <v>1</v>
      </c>
      <c r="H38" s="117">
        <v>0</v>
      </c>
      <c r="I38" s="353"/>
      <c r="J38" s="353">
        <f t="shared" si="0"/>
      </c>
      <c r="K38" s="354"/>
      <c r="L38" s="202"/>
    </row>
    <row r="39" spans="1:12" ht="12.75">
      <c r="A39" s="670" t="s">
        <v>384</v>
      </c>
      <c r="B39" s="641" t="s">
        <v>26</v>
      </c>
      <c r="C39" s="21">
        <v>204</v>
      </c>
      <c r="D39" s="21">
        <v>80</v>
      </c>
      <c r="E39" s="21">
        <v>103</v>
      </c>
      <c r="F39" s="22">
        <v>2</v>
      </c>
      <c r="G39" s="21">
        <v>1</v>
      </c>
      <c r="H39" s="117">
        <v>1</v>
      </c>
      <c r="I39" s="353"/>
      <c r="J39" s="353">
        <f t="shared" si="0"/>
      </c>
      <c r="K39" s="354"/>
      <c r="L39" s="354"/>
    </row>
    <row r="40" spans="1:12" ht="12.75">
      <c r="A40" s="679" t="s">
        <v>283</v>
      </c>
      <c r="B40" s="680" t="s">
        <v>27</v>
      </c>
      <c r="C40" s="420">
        <f aca="true" t="shared" si="2" ref="C40:H40">SUM(C37:C39)</f>
        <v>7261</v>
      </c>
      <c r="D40" s="420">
        <f t="shared" si="2"/>
        <v>5449</v>
      </c>
      <c r="E40" s="420">
        <f t="shared" si="2"/>
        <v>1030</v>
      </c>
      <c r="F40" s="421">
        <f t="shared" si="2"/>
        <v>380</v>
      </c>
      <c r="G40" s="422">
        <f t="shared" si="2"/>
        <v>7</v>
      </c>
      <c r="H40" s="423">
        <f t="shared" si="2"/>
        <v>5</v>
      </c>
      <c r="I40" s="353"/>
      <c r="J40" s="353"/>
      <c r="K40" s="354"/>
      <c r="L40" s="354"/>
    </row>
    <row r="41" spans="1:12" ht="12.75">
      <c r="A41" s="681" t="s">
        <v>284</v>
      </c>
      <c r="B41" s="682" t="s">
        <v>209</v>
      </c>
      <c r="C41" s="420">
        <f aca="true" t="shared" si="3" ref="C41:H41">C35+C40</f>
        <v>9240</v>
      </c>
      <c r="D41" s="420">
        <f t="shared" si="3"/>
        <v>7095</v>
      </c>
      <c r="E41" s="420">
        <f t="shared" si="3"/>
        <v>1236</v>
      </c>
      <c r="F41" s="424">
        <f t="shared" si="3"/>
        <v>394</v>
      </c>
      <c r="G41" s="422">
        <f t="shared" si="3"/>
        <v>7</v>
      </c>
      <c r="H41" s="425">
        <f t="shared" si="3"/>
        <v>5</v>
      </c>
      <c r="I41" s="353"/>
      <c r="J41" s="353"/>
      <c r="K41" s="354"/>
      <c r="L41" s="354"/>
    </row>
    <row r="42" spans="1:12" ht="18.75">
      <c r="A42" s="668" t="s">
        <v>285</v>
      </c>
      <c r="B42" s="683" t="s">
        <v>210</v>
      </c>
      <c r="C42" s="21">
        <v>9</v>
      </c>
      <c r="D42" s="21">
        <v>5</v>
      </c>
      <c r="E42" s="21">
        <v>2</v>
      </c>
      <c r="F42" s="22">
        <v>0</v>
      </c>
      <c r="G42" s="21">
        <v>1</v>
      </c>
      <c r="H42" s="117">
        <v>0</v>
      </c>
      <c r="I42" s="353"/>
      <c r="J42" s="353">
        <f t="shared" si="0"/>
      </c>
      <c r="K42" s="354"/>
      <c r="L42" s="354"/>
    </row>
    <row r="43" spans="1:12" ht="12.75">
      <c r="A43" s="684" t="s">
        <v>286</v>
      </c>
      <c r="B43" s="641" t="s">
        <v>109</v>
      </c>
      <c r="C43" s="21">
        <v>54</v>
      </c>
      <c r="D43" s="21">
        <v>31</v>
      </c>
      <c r="E43" s="21">
        <v>18</v>
      </c>
      <c r="F43" s="22">
        <v>0</v>
      </c>
      <c r="G43" s="21">
        <v>0</v>
      </c>
      <c r="H43" s="117">
        <v>0</v>
      </c>
      <c r="I43" s="353"/>
      <c r="J43" s="353">
        <f t="shared" si="0"/>
      </c>
      <c r="K43" s="354"/>
      <c r="L43" s="202"/>
    </row>
    <row r="44" spans="1:12" ht="12.75">
      <c r="A44" s="672" t="s">
        <v>476</v>
      </c>
      <c r="B44" s="685" t="s">
        <v>545</v>
      </c>
      <c r="C44" s="563">
        <v>2230</v>
      </c>
      <c r="D44" s="21">
        <v>1579</v>
      </c>
      <c r="E44" s="21">
        <v>344</v>
      </c>
      <c r="F44" s="22">
        <v>99</v>
      </c>
      <c r="G44" s="21">
        <v>48</v>
      </c>
      <c r="H44" s="117">
        <v>46</v>
      </c>
      <c r="I44" s="353"/>
      <c r="J44" s="353">
        <f t="shared" si="0"/>
      </c>
      <c r="K44" s="354"/>
      <c r="L44" s="202"/>
    </row>
    <row r="45" spans="1:12" ht="18.75">
      <c r="A45" s="672" t="s">
        <v>561</v>
      </c>
      <c r="B45" s="678" t="s">
        <v>562</v>
      </c>
      <c r="C45" s="563">
        <v>666</v>
      </c>
      <c r="D45" s="21">
        <v>413</v>
      </c>
      <c r="E45" s="21">
        <v>63</v>
      </c>
      <c r="F45" s="22">
        <v>27</v>
      </c>
      <c r="G45" s="21">
        <v>4</v>
      </c>
      <c r="H45" s="117">
        <v>3</v>
      </c>
      <c r="I45" s="353"/>
      <c r="J45" s="353">
        <f t="shared" si="0"/>
      </c>
      <c r="K45" s="354"/>
      <c r="L45" s="202"/>
    </row>
    <row r="46" spans="1:12" ht="12.75">
      <c r="A46" s="672" t="s">
        <v>385</v>
      </c>
      <c r="B46" s="641" t="s">
        <v>211</v>
      </c>
      <c r="C46" s="21">
        <v>115</v>
      </c>
      <c r="D46" s="21">
        <v>61</v>
      </c>
      <c r="E46" s="21">
        <v>37</v>
      </c>
      <c r="F46" s="22">
        <v>1</v>
      </c>
      <c r="G46" s="21">
        <v>0</v>
      </c>
      <c r="H46" s="117">
        <v>0</v>
      </c>
      <c r="I46" s="353"/>
      <c r="J46" s="353">
        <f t="shared" si="0"/>
      </c>
      <c r="K46" s="354"/>
      <c r="L46" s="202"/>
    </row>
    <row r="47" spans="1:12" ht="12.75">
      <c r="A47" s="679" t="s">
        <v>386</v>
      </c>
      <c r="B47" s="972" t="s">
        <v>212</v>
      </c>
      <c r="C47" s="420">
        <f aca="true" t="shared" si="4" ref="C47:H47">SUM(C42:C46)</f>
        <v>3074</v>
      </c>
      <c r="D47" s="420">
        <f t="shared" si="4"/>
        <v>2089</v>
      </c>
      <c r="E47" s="420">
        <f t="shared" si="4"/>
        <v>464</v>
      </c>
      <c r="F47" s="421">
        <f t="shared" si="4"/>
        <v>127</v>
      </c>
      <c r="G47" s="422">
        <f t="shared" si="4"/>
        <v>53</v>
      </c>
      <c r="H47" s="423">
        <f t="shared" si="4"/>
        <v>49</v>
      </c>
      <c r="I47" s="353"/>
      <c r="J47" s="353"/>
      <c r="K47" s="355"/>
      <c r="L47" s="202"/>
    </row>
    <row r="48" spans="1:12" ht="12.75">
      <c r="A48" s="681" t="s">
        <v>291</v>
      </c>
      <c r="B48" s="682" t="s">
        <v>213</v>
      </c>
      <c r="C48" s="284">
        <v>71</v>
      </c>
      <c r="D48" s="284">
        <v>35</v>
      </c>
      <c r="E48" s="284">
        <v>21</v>
      </c>
      <c r="F48" s="285">
        <v>7</v>
      </c>
      <c r="G48" s="284">
        <v>0</v>
      </c>
      <c r="H48" s="286">
        <v>0</v>
      </c>
      <c r="I48" s="353"/>
      <c r="J48" s="353">
        <f t="shared" si="0"/>
      </c>
      <c r="K48" s="354"/>
      <c r="L48" s="202"/>
    </row>
    <row r="49" spans="1:12" ht="12.75">
      <c r="A49" s="971" t="s">
        <v>292</v>
      </c>
      <c r="B49" s="680" t="s">
        <v>28</v>
      </c>
      <c r="C49" s="420">
        <f aca="true" t="shared" si="5" ref="C49:H49">SUM(C25,C33,C34,C41,C47,C48)</f>
        <v>31428</v>
      </c>
      <c r="D49" s="420">
        <f t="shared" si="5"/>
        <v>22527</v>
      </c>
      <c r="E49" s="420">
        <f t="shared" si="5"/>
        <v>2729</v>
      </c>
      <c r="F49" s="426">
        <f t="shared" si="5"/>
        <v>3805</v>
      </c>
      <c r="G49" s="427">
        <f t="shared" si="5"/>
        <v>1905</v>
      </c>
      <c r="H49" s="428">
        <f t="shared" si="5"/>
        <v>774</v>
      </c>
      <c r="I49" s="353"/>
      <c r="J49" s="353"/>
      <c r="K49" s="354"/>
      <c r="L49" s="202"/>
    </row>
    <row r="50" spans="1:12" ht="27.75">
      <c r="A50" s="969" t="s">
        <v>293</v>
      </c>
      <c r="B50" s="973" t="s">
        <v>214</v>
      </c>
      <c r="C50" s="21">
        <v>1607</v>
      </c>
      <c r="D50" s="21">
        <v>1378</v>
      </c>
      <c r="E50" s="21">
        <v>10</v>
      </c>
      <c r="F50" s="22">
        <v>132</v>
      </c>
      <c r="G50" s="21">
        <v>23</v>
      </c>
      <c r="H50" s="117">
        <v>2</v>
      </c>
      <c r="I50" s="353"/>
      <c r="J50" s="353">
        <f t="shared" si="0"/>
      </c>
      <c r="K50" s="354"/>
      <c r="L50" s="202"/>
    </row>
    <row r="51" spans="1:12" ht="12.75">
      <c r="A51" s="684" t="s">
        <v>294</v>
      </c>
      <c r="B51" s="653" t="s">
        <v>29</v>
      </c>
      <c r="C51" s="21">
        <v>190</v>
      </c>
      <c r="D51" s="21">
        <v>163</v>
      </c>
      <c r="E51" s="21">
        <v>10</v>
      </c>
      <c r="F51" s="22">
        <v>10</v>
      </c>
      <c r="G51" s="21">
        <v>3</v>
      </c>
      <c r="H51" s="117">
        <v>1</v>
      </c>
      <c r="I51" s="353"/>
      <c r="J51" s="353">
        <f t="shared" si="0"/>
      </c>
      <c r="K51" s="354"/>
      <c r="L51" s="202"/>
    </row>
    <row r="52" spans="1:12" ht="12.75">
      <c r="A52" s="684" t="s">
        <v>295</v>
      </c>
      <c r="B52" s="653" t="s">
        <v>30</v>
      </c>
      <c r="C52" s="21">
        <v>248</v>
      </c>
      <c r="D52" s="21">
        <v>146</v>
      </c>
      <c r="E52" s="21">
        <v>15</v>
      </c>
      <c r="F52" s="22">
        <v>74</v>
      </c>
      <c r="G52" s="21">
        <v>10</v>
      </c>
      <c r="H52" s="117">
        <v>5</v>
      </c>
      <c r="I52" s="353"/>
      <c r="J52" s="353">
        <f t="shared" si="0"/>
      </c>
      <c r="K52" s="354"/>
      <c r="L52" s="202"/>
    </row>
    <row r="53" spans="1:12" ht="12.75">
      <c r="A53" s="684" t="s">
        <v>296</v>
      </c>
      <c r="B53" s="653" t="s">
        <v>31</v>
      </c>
      <c r="C53" s="21">
        <v>2105</v>
      </c>
      <c r="D53" s="21">
        <v>1756</v>
      </c>
      <c r="E53" s="21">
        <v>7</v>
      </c>
      <c r="F53" s="22">
        <v>91</v>
      </c>
      <c r="G53" s="21">
        <v>8</v>
      </c>
      <c r="H53" s="117">
        <v>0</v>
      </c>
      <c r="I53" s="353"/>
      <c r="J53" s="353">
        <f t="shared" si="0"/>
      </c>
      <c r="K53" s="354"/>
      <c r="L53" s="202"/>
    </row>
    <row r="54" spans="1:12" ht="12.75">
      <c r="A54" s="974" t="s">
        <v>297</v>
      </c>
      <c r="B54" s="975" t="s">
        <v>32</v>
      </c>
      <c r="C54" s="420">
        <f aca="true" t="shared" si="6" ref="C54:H54">SUM(C50:C53)</f>
        <v>4150</v>
      </c>
      <c r="D54" s="420">
        <f t="shared" si="6"/>
        <v>3443</v>
      </c>
      <c r="E54" s="420">
        <f t="shared" si="6"/>
        <v>42</v>
      </c>
      <c r="F54" s="421">
        <f t="shared" si="6"/>
        <v>307</v>
      </c>
      <c r="G54" s="422">
        <f t="shared" si="6"/>
        <v>44</v>
      </c>
      <c r="H54" s="423">
        <f t="shared" si="6"/>
        <v>8</v>
      </c>
      <c r="I54" s="353"/>
      <c r="J54" s="353"/>
      <c r="K54" s="355"/>
      <c r="L54" s="202"/>
    </row>
    <row r="55" spans="1:12" ht="18.75">
      <c r="A55" s="668" t="s">
        <v>298</v>
      </c>
      <c r="B55" s="976" t="s">
        <v>215</v>
      </c>
      <c r="C55" s="21">
        <v>15</v>
      </c>
      <c r="D55" s="21">
        <v>6</v>
      </c>
      <c r="E55" s="21">
        <v>7</v>
      </c>
      <c r="F55" s="22">
        <v>1</v>
      </c>
      <c r="G55" s="21">
        <v>0</v>
      </c>
      <c r="H55" s="117">
        <v>0</v>
      </c>
      <c r="I55" s="353"/>
      <c r="J55" s="353">
        <f t="shared" si="0"/>
      </c>
      <c r="K55" s="354"/>
      <c r="L55" s="202"/>
    </row>
    <row r="56" spans="1:12" ht="12.75">
      <c r="A56" s="684" t="s">
        <v>299</v>
      </c>
      <c r="B56" s="692" t="s">
        <v>1005</v>
      </c>
      <c r="C56" s="21">
        <v>647</v>
      </c>
      <c r="D56" s="21">
        <v>548</v>
      </c>
      <c r="E56" s="21">
        <v>3</v>
      </c>
      <c r="F56" s="22">
        <v>14</v>
      </c>
      <c r="G56" s="21">
        <v>155</v>
      </c>
      <c r="H56" s="117">
        <v>131</v>
      </c>
      <c r="I56" s="353"/>
      <c r="J56" s="353">
        <f t="shared" si="0"/>
      </c>
      <c r="K56" s="354"/>
      <c r="L56" s="202"/>
    </row>
    <row r="57" spans="1:12" ht="12.75">
      <c r="A57" s="684" t="s">
        <v>300</v>
      </c>
      <c r="B57" s="977" t="s">
        <v>33</v>
      </c>
      <c r="C57" s="21">
        <v>17</v>
      </c>
      <c r="D57" s="21">
        <v>17</v>
      </c>
      <c r="E57" s="21">
        <v>0</v>
      </c>
      <c r="F57" s="22">
        <v>0</v>
      </c>
      <c r="G57" s="21">
        <v>2</v>
      </c>
      <c r="H57" s="117">
        <v>2</v>
      </c>
      <c r="I57" s="353"/>
      <c r="J57" s="353">
        <f t="shared" si="0"/>
      </c>
      <c r="K57" s="354"/>
      <c r="L57" s="202"/>
    </row>
    <row r="58" spans="1:12" ht="12.75">
      <c r="A58" s="974" t="s">
        <v>301</v>
      </c>
      <c r="B58" s="682" t="s">
        <v>34</v>
      </c>
      <c r="C58" s="420">
        <f aca="true" t="shared" si="7" ref="C58:H58">SUM(C55:C57)</f>
        <v>679</v>
      </c>
      <c r="D58" s="420">
        <f t="shared" si="7"/>
        <v>571</v>
      </c>
      <c r="E58" s="420">
        <f t="shared" si="7"/>
        <v>10</v>
      </c>
      <c r="F58" s="421">
        <f t="shared" si="7"/>
        <v>15</v>
      </c>
      <c r="G58" s="422">
        <f t="shared" si="7"/>
        <v>157</v>
      </c>
      <c r="H58" s="423">
        <f t="shared" si="7"/>
        <v>133</v>
      </c>
      <c r="I58" s="353"/>
      <c r="J58" s="353"/>
      <c r="K58" s="355"/>
      <c r="L58" s="202"/>
    </row>
    <row r="59" spans="1:12" ht="18.75">
      <c r="A59" s="668" t="s">
        <v>302</v>
      </c>
      <c r="B59" s="683" t="s">
        <v>216</v>
      </c>
      <c r="C59" s="21">
        <v>231</v>
      </c>
      <c r="D59" s="21">
        <v>209</v>
      </c>
      <c r="E59" s="21">
        <v>4</v>
      </c>
      <c r="F59" s="22">
        <v>0</v>
      </c>
      <c r="G59" s="21">
        <v>9</v>
      </c>
      <c r="H59" s="117">
        <v>8</v>
      </c>
      <c r="I59" s="353"/>
      <c r="J59" s="353">
        <f t="shared" si="0"/>
      </c>
      <c r="K59" s="354"/>
      <c r="L59" s="202"/>
    </row>
    <row r="60" spans="1:12" ht="12.75">
      <c r="A60" s="684" t="s">
        <v>303</v>
      </c>
      <c r="B60" s="653" t="s">
        <v>35</v>
      </c>
      <c r="C60" s="21">
        <v>31</v>
      </c>
      <c r="D60" s="21">
        <v>22</v>
      </c>
      <c r="E60" s="21">
        <v>1</v>
      </c>
      <c r="F60" s="22">
        <v>4</v>
      </c>
      <c r="G60" s="21">
        <v>2</v>
      </c>
      <c r="H60" s="117">
        <v>0</v>
      </c>
      <c r="I60" s="353"/>
      <c r="J60" s="353">
        <f t="shared" si="0"/>
      </c>
      <c r="K60" s="354"/>
      <c r="L60" s="202"/>
    </row>
    <row r="61" spans="1:12" ht="12.75">
      <c r="A61" s="684" t="s">
        <v>304</v>
      </c>
      <c r="B61" s="653" t="s">
        <v>36</v>
      </c>
      <c r="C61" s="21">
        <v>4578</v>
      </c>
      <c r="D61" s="21">
        <v>3760</v>
      </c>
      <c r="E61" s="21">
        <v>146</v>
      </c>
      <c r="F61" s="22">
        <v>132</v>
      </c>
      <c r="G61" s="21">
        <v>215</v>
      </c>
      <c r="H61" s="117">
        <v>13</v>
      </c>
      <c r="I61" s="353"/>
      <c r="J61" s="353">
        <f t="shared" si="0"/>
      </c>
      <c r="K61" s="354"/>
      <c r="L61" s="202"/>
    </row>
    <row r="62" spans="1:12" ht="12.75">
      <c r="A62" s="684" t="s">
        <v>305</v>
      </c>
      <c r="B62" s="653" t="s">
        <v>37</v>
      </c>
      <c r="C62" s="21">
        <v>375</v>
      </c>
      <c r="D62" s="21">
        <v>218</v>
      </c>
      <c r="E62" s="21">
        <v>113</v>
      </c>
      <c r="F62" s="22">
        <v>12</v>
      </c>
      <c r="G62" s="21">
        <v>12</v>
      </c>
      <c r="H62" s="117">
        <v>0</v>
      </c>
      <c r="I62" s="353"/>
      <c r="J62" s="353">
        <f t="shared" si="0"/>
      </c>
      <c r="K62" s="354"/>
      <c r="L62" s="202"/>
    </row>
    <row r="63" spans="1:12" ht="12.75">
      <c r="A63" s="974" t="s">
        <v>306</v>
      </c>
      <c r="B63" s="682" t="s">
        <v>217</v>
      </c>
      <c r="C63" s="420">
        <f aca="true" t="shared" si="8" ref="C63:H63">SUM(C59:C62)</f>
        <v>5215</v>
      </c>
      <c r="D63" s="420">
        <f t="shared" si="8"/>
        <v>4209</v>
      </c>
      <c r="E63" s="420">
        <f t="shared" si="8"/>
        <v>264</v>
      </c>
      <c r="F63" s="421">
        <f t="shared" si="8"/>
        <v>148</v>
      </c>
      <c r="G63" s="422">
        <f t="shared" si="8"/>
        <v>238</v>
      </c>
      <c r="H63" s="423">
        <f t="shared" si="8"/>
        <v>21</v>
      </c>
      <c r="I63" s="353"/>
      <c r="J63" s="353"/>
      <c r="K63" s="355"/>
      <c r="L63" s="202"/>
    </row>
    <row r="64" spans="1:12" ht="12.75">
      <c r="A64" s="2021" t="s">
        <v>307</v>
      </c>
      <c r="B64" s="680" t="s">
        <v>38</v>
      </c>
      <c r="C64" s="420">
        <f aca="true" t="shared" si="9" ref="C64:H64">SUM(C54,C58,C63)</f>
        <v>10044</v>
      </c>
      <c r="D64" s="420">
        <f t="shared" si="9"/>
        <v>8223</v>
      </c>
      <c r="E64" s="420">
        <f t="shared" si="9"/>
        <v>316</v>
      </c>
      <c r="F64" s="426">
        <f t="shared" si="9"/>
        <v>470</v>
      </c>
      <c r="G64" s="422">
        <f t="shared" si="9"/>
        <v>439</v>
      </c>
      <c r="H64" s="428">
        <f t="shared" si="9"/>
        <v>162</v>
      </c>
      <c r="I64" s="353"/>
      <c r="J64" s="353"/>
      <c r="K64" s="354"/>
      <c r="L64" s="202"/>
    </row>
    <row r="65" spans="1:12" ht="13.5" thickBot="1">
      <c r="A65" s="978" t="s">
        <v>310</v>
      </c>
      <c r="B65" s="979" t="s">
        <v>40</v>
      </c>
      <c r="C65" s="287">
        <v>6836</v>
      </c>
      <c r="D65" s="287">
        <v>4543</v>
      </c>
      <c r="E65" s="287">
        <v>1167</v>
      </c>
      <c r="F65" s="288">
        <v>709</v>
      </c>
      <c r="G65" s="287">
        <v>44</v>
      </c>
      <c r="H65" s="289">
        <v>17</v>
      </c>
      <c r="I65" s="353"/>
      <c r="J65" s="353">
        <f t="shared" si="0"/>
      </c>
      <c r="K65" s="354"/>
      <c r="L65" s="202"/>
    </row>
    <row r="66" spans="1:12" ht="27" customHeight="1" thickBot="1">
      <c r="A66" s="980" t="s">
        <v>311</v>
      </c>
      <c r="B66" s="764" t="s">
        <v>41</v>
      </c>
      <c r="C66" s="429">
        <f aca="true" t="shared" si="10" ref="C66:H66">SUM(C49,C64,C65:C65)</f>
        <v>48308</v>
      </c>
      <c r="D66" s="429">
        <f t="shared" si="10"/>
        <v>35293</v>
      </c>
      <c r="E66" s="429">
        <f t="shared" si="10"/>
        <v>4212</v>
      </c>
      <c r="F66" s="430">
        <f t="shared" si="10"/>
        <v>4984</v>
      </c>
      <c r="G66" s="431">
        <f t="shared" si="10"/>
        <v>2388</v>
      </c>
      <c r="H66" s="432">
        <f t="shared" si="10"/>
        <v>953</v>
      </c>
      <c r="I66" s="1550"/>
      <c r="J66" s="1868">
        <f>IF(G66=0,"",IF(SUM(G66-H66)&gt;4999,(ROUND(G66-H66,0))&amp;" tkr övr. invest.inkomster. Ange motparter och belopps-storlek för respektive post",""))</f>
      </c>
      <c r="K66" s="1561"/>
      <c r="L66" s="202"/>
    </row>
    <row r="67" spans="1:12" ht="5.25" customHeight="1">
      <c r="A67" s="1871"/>
      <c r="B67" s="1872"/>
      <c r="C67" s="88"/>
      <c r="D67" s="88"/>
      <c r="E67" s="88"/>
      <c r="F67" s="1873"/>
      <c r="G67" s="88"/>
      <c r="H67" s="88"/>
      <c r="I67" s="1550"/>
      <c r="J67" s="1868"/>
      <c r="K67" s="1874"/>
      <c r="L67" s="349"/>
    </row>
    <row r="68" spans="1:12" ht="10.5" customHeight="1">
      <c r="A68" s="1704"/>
      <c r="B68" s="166"/>
      <c r="C68" s="1698"/>
      <c r="D68" s="1869"/>
      <c r="E68" s="8"/>
      <c r="F68" s="245"/>
      <c r="G68" s="1870"/>
      <c r="H68" s="75"/>
      <c r="I68" s="1551"/>
      <c r="J68" s="76"/>
      <c r="K68" s="77"/>
      <c r="L68" s="4"/>
    </row>
    <row r="69" spans="1:12" ht="3" customHeight="1">
      <c r="A69" s="78"/>
      <c r="B69" s="79"/>
      <c r="C69" s="5"/>
      <c r="D69" s="43"/>
      <c r="E69" s="81"/>
      <c r="F69" s="81"/>
      <c r="G69" s="84"/>
      <c r="H69" s="272"/>
      <c r="I69" s="515"/>
      <c r="J69" s="82"/>
      <c r="K69" s="47"/>
      <c r="L69" s="4"/>
    </row>
    <row r="70" spans="1:12" ht="11.25" customHeight="1">
      <c r="A70" s="1745"/>
      <c r="B70" s="1746"/>
      <c r="C70" s="161"/>
      <c r="D70" s="80"/>
      <c r="F70" s="81"/>
      <c r="G70" s="84"/>
      <c r="H70" s="272"/>
      <c r="I70" s="1928"/>
      <c r="J70" s="1933"/>
      <c r="K70" s="8"/>
      <c r="L70" s="194"/>
    </row>
    <row r="71" spans="1:13" ht="12.75">
      <c r="A71" s="2193"/>
      <c r="B71" s="105"/>
      <c r="C71" s="1698"/>
      <c r="D71" s="39"/>
      <c r="E71" s="1572"/>
      <c r="F71" s="1573"/>
      <c r="G71" s="1573"/>
      <c r="H71" s="1573"/>
      <c r="I71" s="2162"/>
      <c r="J71" s="2195"/>
      <c r="K71" s="2195"/>
      <c r="L71" s="2195"/>
      <c r="M71" s="1574"/>
    </row>
    <row r="72" spans="1:13" ht="12.75">
      <c r="A72" s="2194"/>
      <c r="B72" s="105"/>
      <c r="C72" s="1698"/>
      <c r="D72" s="73"/>
      <c r="E72" s="1573"/>
      <c r="F72" s="1573"/>
      <c r="G72" s="1573"/>
      <c r="H72" s="1573"/>
      <c r="I72" s="2195"/>
      <c r="J72" s="2195"/>
      <c r="K72" s="2195"/>
      <c r="L72" s="2195"/>
      <c r="M72" s="1574"/>
    </row>
    <row r="73" spans="1:13" ht="12.75">
      <c r="A73" s="1747"/>
      <c r="B73" s="1748"/>
      <c r="C73" s="167"/>
      <c r="D73" s="273"/>
      <c r="E73" s="1573"/>
      <c r="F73" s="1573"/>
      <c r="G73" s="1573"/>
      <c r="H73" s="1573"/>
      <c r="I73" s="2195"/>
      <c r="J73" s="2195"/>
      <c r="K73" s="2195"/>
      <c r="L73" s="2195"/>
      <c r="M73" s="1574"/>
    </row>
    <row r="74" spans="1:13" ht="12.75">
      <c r="A74" s="1749"/>
      <c r="B74" s="1748"/>
      <c r="C74" s="167"/>
      <c r="D74" s="78"/>
      <c r="E74" s="1573"/>
      <c r="F74" s="1573"/>
      <c r="G74" s="1573"/>
      <c r="H74" s="1573"/>
      <c r="I74" s="2195"/>
      <c r="J74" s="2195"/>
      <c r="K74" s="2195"/>
      <c r="L74" s="2195"/>
      <c r="M74" s="1574"/>
    </row>
    <row r="75" spans="1:13" ht="12.75">
      <c r="A75" s="4"/>
      <c r="B75" s="4"/>
      <c r="C75" s="4"/>
      <c r="D75" s="4"/>
      <c r="E75" s="4"/>
      <c r="F75" s="4"/>
      <c r="G75" s="4"/>
      <c r="H75" s="4"/>
      <c r="I75" s="1574"/>
      <c r="J75" s="1574"/>
      <c r="K75" s="1574"/>
      <c r="L75" s="1574"/>
      <c r="M75" s="1574"/>
    </row>
    <row r="76" spans="1:11" ht="14.25" customHeight="1" hidden="1">
      <c r="A76" s="192"/>
      <c r="B76" s="192"/>
      <c r="C76" s="192"/>
      <c r="D76" s="192"/>
      <c r="E76" s="192"/>
      <c r="F76" s="192"/>
      <c r="G76" s="192"/>
      <c r="H76" s="192"/>
      <c r="J76" s="192"/>
      <c r="K76" s="192"/>
    </row>
    <row r="77" spans="1:11" ht="14.25" customHeight="1" hidden="1">
      <c r="A77" s="274"/>
      <c r="B77" s="164"/>
      <c r="C77" s="165"/>
      <c r="D77" s="165"/>
      <c r="E77" s="165"/>
      <c r="F77" s="165"/>
      <c r="G77" s="165"/>
      <c r="H77" s="165"/>
      <c r="I77" s="165"/>
      <c r="J77" s="165"/>
      <c r="K77" s="166"/>
    </row>
    <row r="78" spans="1:11" ht="14.25" customHeight="1" hidden="1">
      <c r="A78" s="274"/>
      <c r="B78" s="164"/>
      <c r="C78" s="165"/>
      <c r="D78" s="165"/>
      <c r="E78" s="165"/>
      <c r="F78" s="165"/>
      <c r="G78" s="165"/>
      <c r="H78" s="165"/>
      <c r="J78" s="164"/>
      <c r="K78" s="166"/>
    </row>
    <row r="79" spans="1:11" ht="14.25" customHeight="1" hidden="1">
      <c r="A79" s="274"/>
      <c r="B79" s="164"/>
      <c r="C79" s="165"/>
      <c r="D79" s="165"/>
      <c r="E79" s="165"/>
      <c r="F79" s="165"/>
      <c r="G79" s="165"/>
      <c r="H79" s="165"/>
      <c r="I79" s="165"/>
      <c r="J79" s="165"/>
      <c r="K79" s="166"/>
    </row>
    <row r="80" spans="1:11" ht="14.25" customHeight="1" hidden="1">
      <c r="A80" s="274"/>
      <c r="B80" s="164"/>
      <c r="C80" s="165"/>
      <c r="D80" s="165"/>
      <c r="E80" s="165"/>
      <c r="F80" s="165"/>
      <c r="G80" s="165"/>
      <c r="H80" s="165"/>
      <c r="I80" s="165"/>
      <c r="J80" s="165"/>
      <c r="K80" s="166"/>
    </row>
    <row r="81" spans="1:11" ht="14.25" customHeight="1" hidden="1">
      <c r="A81" s="166"/>
      <c r="B81" s="164"/>
      <c r="C81" s="164"/>
      <c r="D81" s="164"/>
      <c r="E81" s="164"/>
      <c r="F81" s="164"/>
      <c r="G81" s="165"/>
      <c r="H81" s="165"/>
      <c r="I81" s="165"/>
      <c r="J81" s="165"/>
      <c r="K81" s="166"/>
    </row>
    <row r="82" spans="1:11" ht="14.25" customHeight="1" hidden="1">
      <c r="A82" s="164"/>
      <c r="B82" s="164"/>
      <c r="C82" s="164"/>
      <c r="D82" s="164"/>
      <c r="E82" s="164"/>
      <c r="F82" s="164"/>
      <c r="G82" s="164"/>
      <c r="H82" s="164"/>
      <c r="J82" s="164"/>
      <c r="K82" s="166"/>
    </row>
    <row r="83" spans="1:11" ht="14.25" customHeight="1" hidden="1">
      <c r="A83" s="192"/>
      <c r="B83" s="192"/>
      <c r="C83" s="192"/>
      <c r="D83" s="192"/>
      <c r="E83" s="192"/>
      <c r="F83" s="192"/>
      <c r="G83" s="192"/>
      <c r="H83" s="192"/>
      <c r="J83" s="192"/>
      <c r="K83" s="192"/>
    </row>
    <row r="84" spans="1:11" ht="14.25" customHeight="1" hidden="1">
      <c r="A84" s="192"/>
      <c r="B84" s="192"/>
      <c r="C84" s="192"/>
      <c r="D84" s="192"/>
      <c r="E84" s="192"/>
      <c r="F84" s="192"/>
      <c r="G84" s="192"/>
      <c r="H84" s="192"/>
      <c r="J84" s="192"/>
      <c r="K84" s="192"/>
    </row>
    <row r="85" spans="1:11" ht="14.25" customHeight="1" hidden="1">
      <c r="A85" s="192"/>
      <c r="B85" s="192"/>
      <c r="C85" s="192"/>
      <c r="D85" s="192"/>
      <c r="E85" s="192"/>
      <c r="F85" s="192"/>
      <c r="G85" s="192"/>
      <c r="H85" s="192"/>
      <c r="J85" s="192"/>
      <c r="K85" s="192"/>
    </row>
    <row r="86" ht="12.75"/>
    <row r="87" ht="12.75"/>
  </sheetData>
  <sheetProtection/>
  <mergeCells count="6">
    <mergeCell ref="A71:A72"/>
    <mergeCell ref="I71:L74"/>
    <mergeCell ref="E4:E5"/>
    <mergeCell ref="D4:D5"/>
    <mergeCell ref="C4:C5"/>
    <mergeCell ref="I13:L15"/>
  </mergeCells>
  <conditionalFormatting sqref="D68 C73:C74 C25:H32 C34:H35 C37:H39 C42:H46 C48:H48 C50:H53 C55:H57 C59:H62 C65:H65">
    <cfRule type="cellIs" priority="4" dxfId="0" operator="lessThan" stopIfTrue="1">
      <formula>-500</formula>
    </cfRule>
  </conditionalFormatting>
  <conditionalFormatting sqref="C8:F8 C10:F11">
    <cfRule type="cellIs" priority="6" dxfId="17" operator="greaterThan" stopIfTrue="1">
      <formula>1</formula>
    </cfRule>
  </conditionalFormatting>
  <conditionalFormatting sqref="C7:F7 C9:F9">
    <cfRule type="cellIs" priority="7" dxfId="32" operator="lessThan" stopIfTrue="1">
      <formula>-1</formula>
    </cfRule>
  </conditionalFormatting>
  <conditionalFormatting sqref="C36:H36">
    <cfRule type="cellIs" priority="1" dxfId="0" operator="lessThan" stopIfTrue="1">
      <formula>-500</formula>
    </cfRule>
  </conditionalFormatting>
  <dataValidations count="2">
    <dataValidation type="decimal" operator="lessThan" allowBlank="1" showInputMessage="1" showErrorMessage="1" error="Beloppet ska vara i 1000 tal kronor" sqref="C25:H32 C34:H35 C37:H39 C42:H46 C48:H48 C50:H53 C55:H57 C59:H62 C73:C74 D68 C6:F7 C9:F9 C12:F14 J7:J8 C65:H65">
      <formula1>99999999</formula1>
    </dataValidation>
    <dataValidation type="decimal" operator="lessThanOrEqual" allowBlank="1" showInputMessage="1" showErrorMessage="1" error="Minustecken måste anges" sqref="C8:F8 C10:F11">
      <formula1>0</formula1>
    </dataValidation>
  </dataValidation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64" r:id="rId2"/>
  <headerFooter>
    <oddHeader>&amp;L&amp;8Statistiska Centralbyrå
Offentlig ekonomi&amp;R&amp;P</oddHeader>
  </headerFooter>
  <ignoredErrors>
    <ignoredError sqref="A6:A15 A25:A66" numberStoredAsText="1"/>
    <ignoredError sqref="C33:I3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01"/>
  <sheetViews>
    <sheetView showGridLines="0" zoomScalePageLayoutView="0" workbookViewId="0" topLeftCell="A1">
      <pane xSplit="2" ySplit="10" topLeftCell="C104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R116" sqref="R116"/>
    </sheetView>
  </sheetViews>
  <sheetFormatPr defaultColWidth="9.140625" defaultRowHeight="12.75" zeroHeight="1"/>
  <cols>
    <col min="1" max="1" width="3.8515625" style="232" customWidth="1"/>
    <col min="2" max="2" width="28.8515625" style="232" customWidth="1"/>
    <col min="3" max="5" width="8.7109375" style="232" customWidth="1"/>
    <col min="6" max="6" width="9.7109375" style="232" customWidth="1"/>
    <col min="7" max="7" width="11.140625" style="232" customWidth="1"/>
    <col min="8" max="8" width="9.7109375" style="232" customWidth="1"/>
    <col min="9" max="10" width="8.7109375" style="232" customWidth="1"/>
    <col min="11" max="11" width="1.28515625" style="232" customWidth="1"/>
    <col min="12" max="15" width="8.7109375" style="232" customWidth="1"/>
    <col min="16" max="16" width="10.00390625" style="232" customWidth="1"/>
    <col min="17" max="17" width="3.7109375" style="232" customWidth="1"/>
    <col min="18" max="19" width="8.7109375" style="232" customWidth="1"/>
    <col min="20" max="20" width="10.8515625" style="232" customWidth="1"/>
    <col min="21" max="21" width="2.28125" style="232" customWidth="1"/>
    <col min="22" max="22" width="8.7109375" style="232" customWidth="1"/>
    <col min="23" max="23" width="10.57421875" style="232" customWidth="1"/>
    <col min="24" max="24" width="2.28125" style="232" customWidth="1"/>
    <col min="25" max="25" width="9.8515625" style="232" customWidth="1"/>
    <col min="26" max="27" width="8.7109375" style="232" customWidth="1"/>
    <col min="28" max="28" width="8.7109375" style="163" customWidth="1"/>
    <col min="29" max="29" width="14.140625" style="163" customWidth="1"/>
    <col min="30" max="30" width="3.140625" style="192" customWidth="1"/>
    <col min="31" max="31" width="6.8515625" style="483" customWidth="1"/>
    <col min="32" max="16384" width="9.140625" style="192" customWidth="1"/>
  </cols>
  <sheetData>
    <row r="1" spans="1:32" ht="21.75" customHeight="1">
      <c r="A1" s="191"/>
      <c r="B1" s="94"/>
      <c r="C1" s="93" t="str">
        <f>"Driftredovisning "&amp;År&amp;",miljoner kronor"</f>
        <v>Driftredovisning 2014,miljoner kronor</v>
      </c>
      <c r="D1" s="94"/>
      <c r="E1" s="94"/>
      <c r="F1" s="191"/>
      <c r="G1" s="191"/>
      <c r="H1" s="191"/>
      <c r="I1" s="588" t="s">
        <v>502</v>
      </c>
      <c r="J1" s="589"/>
      <c r="K1" s="220"/>
      <c r="L1" s="191"/>
      <c r="M1" s="191"/>
      <c r="N1" s="191"/>
      <c r="O1" s="191"/>
      <c r="P1" s="191"/>
      <c r="Q1" s="191"/>
      <c r="R1" s="93" t="str">
        <f>"Driftredovisning "&amp;År&amp;", miljoner kronor"</f>
        <v>Driftredovisning 2014, miljoner kronor</v>
      </c>
      <c r="S1" s="191"/>
      <c r="T1" s="191"/>
      <c r="U1" s="191"/>
      <c r="V1" s="191"/>
      <c r="W1" s="191"/>
      <c r="X1" s="191"/>
      <c r="Y1" s="588" t="s">
        <v>502</v>
      </c>
      <c r="Z1" s="589"/>
      <c r="AA1" s="191"/>
      <c r="AB1" s="480"/>
      <c r="AC1" s="480"/>
      <c r="AD1" s="191"/>
      <c r="AE1" s="480"/>
      <c r="AF1" s="191"/>
    </row>
    <row r="2" spans="1:32" ht="12.75" customHeight="1">
      <c r="A2" s="1546"/>
      <c r="C2" s="1660"/>
      <c r="D2" s="166"/>
      <c r="G2" s="1707"/>
      <c r="H2" s="166"/>
      <c r="I2" s="192"/>
      <c r="J2" s="192"/>
      <c r="N2" s="166"/>
      <c r="O2" s="4"/>
      <c r="P2" s="4"/>
      <c r="Q2" s="221" t="s">
        <v>122</v>
      </c>
      <c r="R2" s="4"/>
      <c r="S2" s="222"/>
      <c r="T2" s="4"/>
      <c r="U2" s="4"/>
      <c r="V2" s="4"/>
      <c r="W2" s="4"/>
      <c r="X2" s="194"/>
      <c r="Y2" s="4"/>
      <c r="Z2" s="230"/>
      <c r="AA2" s="230"/>
      <c r="AB2" s="1671"/>
      <c r="AC2" s="1577"/>
      <c r="AD2" s="1588"/>
      <c r="AE2" s="1602"/>
      <c r="AF2" s="230"/>
    </row>
    <row r="3" spans="3:32" s="228" customFormat="1" ht="12.75" customHeight="1" thickBot="1">
      <c r="C3" s="1660"/>
      <c r="D3" s="166"/>
      <c r="G3" s="1942"/>
      <c r="H3" s="166"/>
      <c r="I3" s="1943"/>
      <c r="N3" s="166"/>
      <c r="O3" s="224"/>
      <c r="P3" s="224"/>
      <c r="Q3" s="225"/>
      <c r="R3" s="223"/>
      <c r="S3" s="224"/>
      <c r="T3" s="224"/>
      <c r="U3" s="226"/>
      <c r="V3" s="223"/>
      <c r="W3" s="224"/>
      <c r="X3" s="226"/>
      <c r="Y3" s="223" t="s">
        <v>156</v>
      </c>
      <c r="Z3" s="1603"/>
      <c r="AA3" s="1603"/>
      <c r="AB3" s="1672"/>
      <c r="AC3" s="1673"/>
      <c r="AD3" s="1674"/>
      <c r="AE3" s="1604"/>
      <c r="AF3" s="1605"/>
    </row>
    <row r="4" spans="1:32" s="205" customFormat="1" ht="17.25" customHeight="1">
      <c r="A4" s="981" t="s">
        <v>232</v>
      </c>
      <c r="B4" s="982" t="s">
        <v>21</v>
      </c>
      <c r="C4" s="2200" t="s">
        <v>42</v>
      </c>
      <c r="D4" s="2201"/>
      <c r="E4" s="2202" t="s">
        <v>43</v>
      </c>
      <c r="F4" s="2203"/>
      <c r="G4" s="2203"/>
      <c r="H4" s="2204"/>
      <c r="I4" s="2208" t="s">
        <v>44</v>
      </c>
      <c r="J4" s="2209"/>
      <c r="K4" s="1968"/>
      <c r="L4" s="2205" t="s">
        <v>158</v>
      </c>
      <c r="M4" s="2206"/>
      <c r="N4" s="2206"/>
      <c r="O4" s="2207"/>
      <c r="P4" s="1061"/>
      <c r="Q4" s="89"/>
      <c r="R4" s="2217" t="s">
        <v>45</v>
      </c>
      <c r="S4" s="2218"/>
      <c r="T4" s="2219"/>
      <c r="U4" s="127"/>
      <c r="V4" s="949" t="s">
        <v>160</v>
      </c>
      <c r="W4" s="1083"/>
      <c r="X4" s="39"/>
      <c r="Y4" s="1115" t="s">
        <v>47</v>
      </c>
      <c r="Z4" s="2220" t="s">
        <v>519</v>
      </c>
      <c r="AA4" s="2221"/>
      <c r="AB4" s="2222"/>
      <c r="AC4" s="1625" t="s">
        <v>1192</v>
      </c>
      <c r="AD4" s="1655"/>
      <c r="AE4" s="2215" t="s">
        <v>1193</v>
      </c>
      <c r="AF4" s="229"/>
    </row>
    <row r="5" spans="1:32" ht="35.25" customHeight="1">
      <c r="A5" s="1649"/>
      <c r="B5" s="1650"/>
      <c r="C5" s="1633" t="s">
        <v>222</v>
      </c>
      <c r="D5" s="1017" t="s">
        <v>558</v>
      </c>
      <c r="E5" s="1766" t="s">
        <v>1009</v>
      </c>
      <c r="F5" s="1017" t="s">
        <v>903</v>
      </c>
      <c r="G5" s="1018" t="s">
        <v>231</v>
      </c>
      <c r="H5" s="1019" t="s">
        <v>888</v>
      </c>
      <c r="I5" s="1020" t="s">
        <v>513</v>
      </c>
      <c r="J5" s="1021" t="s">
        <v>559</v>
      </c>
      <c r="K5" s="39"/>
      <c r="L5" s="1062" t="s">
        <v>602</v>
      </c>
      <c r="M5" s="1063" t="s">
        <v>514</v>
      </c>
      <c r="N5" s="1064" t="s">
        <v>515</v>
      </c>
      <c r="O5" s="983"/>
      <c r="P5" s="1065" t="s">
        <v>528</v>
      </c>
      <c r="Q5" s="51"/>
      <c r="R5" s="1081" t="s">
        <v>779</v>
      </c>
      <c r="S5" s="1019" t="s">
        <v>516</v>
      </c>
      <c r="T5" s="1082" t="s">
        <v>517</v>
      </c>
      <c r="U5" s="34"/>
      <c r="V5" s="1066"/>
      <c r="W5" s="1084" t="s">
        <v>529</v>
      </c>
      <c r="X5" s="39"/>
      <c r="Y5" s="2232" t="s">
        <v>518</v>
      </c>
      <c r="Z5" s="1023" t="s">
        <v>1154</v>
      </c>
      <c r="AA5" s="1023" t="s">
        <v>1155</v>
      </c>
      <c r="AB5" s="1023" t="s">
        <v>864</v>
      </c>
      <c r="AC5" s="1626"/>
      <c r="AD5" s="1675"/>
      <c r="AE5" s="2216"/>
      <c r="AF5" s="230"/>
    </row>
    <row r="6" spans="1:32" ht="74.25" customHeight="1" thickBot="1">
      <c r="A6" s="984"/>
      <c r="B6" s="1839" t="s">
        <v>865</v>
      </c>
      <c r="C6" s="1840" t="s">
        <v>948</v>
      </c>
      <c r="D6" s="1751"/>
      <c r="E6" s="1752" t="s">
        <v>977</v>
      </c>
      <c r="F6" s="1752" t="s">
        <v>942</v>
      </c>
      <c r="G6" s="1841" t="s">
        <v>949</v>
      </c>
      <c r="H6" s="1752" t="s">
        <v>52</v>
      </c>
      <c r="I6" s="1753" t="s">
        <v>53</v>
      </c>
      <c r="J6" s="1754"/>
      <c r="K6" s="39"/>
      <c r="L6" s="1651"/>
      <c r="M6" s="1652"/>
      <c r="N6" s="1634" t="s">
        <v>1011</v>
      </c>
      <c r="O6" s="1635" t="s">
        <v>1012</v>
      </c>
      <c r="P6" s="1067"/>
      <c r="Q6" s="2107"/>
      <c r="R6" s="1763" t="s">
        <v>1004</v>
      </c>
      <c r="S6" s="1755" t="s">
        <v>54</v>
      </c>
      <c r="T6" s="1756" t="s">
        <v>904</v>
      </c>
      <c r="U6" s="34"/>
      <c r="V6" s="984"/>
      <c r="W6" s="1067"/>
      <c r="X6" s="1698"/>
      <c r="Y6" s="2233"/>
      <c r="Z6" s="1099"/>
      <c r="AA6" s="1099"/>
      <c r="AB6" s="1100"/>
      <c r="AC6" s="1626"/>
      <c r="AD6" s="1676"/>
      <c r="AE6" s="2216"/>
      <c r="AF6" s="230"/>
    </row>
    <row r="7" spans="1:32" ht="5.25" customHeight="1">
      <c r="A7" s="984"/>
      <c r="B7" s="2029"/>
      <c r="C7" s="2030"/>
      <c r="D7" s="2031"/>
      <c r="E7" s="2032"/>
      <c r="F7" s="2033"/>
      <c r="G7" s="2034"/>
      <c r="H7" s="2035"/>
      <c r="I7" s="2036"/>
      <c r="J7" s="2037"/>
      <c r="K7" s="2038"/>
      <c r="L7" s="1637"/>
      <c r="M7" s="1638"/>
      <c r="N7" s="2123"/>
      <c r="O7" s="985"/>
      <c r="P7" s="1069"/>
      <c r="Q7" s="2107"/>
      <c r="R7" s="2039"/>
      <c r="S7" s="1925"/>
      <c r="T7" s="2040"/>
      <c r="U7" s="2107"/>
      <c r="V7" s="1066"/>
      <c r="W7" s="1069"/>
      <c r="X7" s="2107"/>
      <c r="Y7" s="1627"/>
      <c r="Z7" s="1099"/>
      <c r="AA7" s="1101"/>
      <c r="AB7" s="1100"/>
      <c r="AC7" s="1626"/>
      <c r="AD7" s="1676"/>
      <c r="AE7" s="2216"/>
      <c r="AF7" s="230"/>
    </row>
    <row r="8" spans="1:32" ht="8.25" customHeight="1">
      <c r="A8" s="986"/>
      <c r="B8" s="2041"/>
      <c r="C8" s="2042"/>
      <c r="D8" s="2043"/>
      <c r="E8" s="1020"/>
      <c r="F8" s="1023"/>
      <c r="G8" s="2044"/>
      <c r="H8" s="2045"/>
      <c r="I8" s="2046"/>
      <c r="J8" s="2047"/>
      <c r="K8" s="2038"/>
      <c r="L8" s="1066"/>
      <c r="M8" s="1025"/>
      <c r="N8" s="2094"/>
      <c r="O8" s="985"/>
      <c r="P8" s="1069"/>
      <c r="Q8" s="2107"/>
      <c r="R8" s="2039"/>
      <c r="S8" s="1925"/>
      <c r="T8" s="2040"/>
      <c r="U8" s="2107"/>
      <c r="V8" s="1070"/>
      <c r="W8" s="1069"/>
      <c r="X8" s="2107"/>
      <c r="Y8" s="1627"/>
      <c r="Z8" s="1102"/>
      <c r="AA8" s="1103"/>
      <c r="AB8" s="1024"/>
      <c r="AC8" s="1626"/>
      <c r="AD8" s="1068"/>
      <c r="AE8" s="1116"/>
      <c r="AF8" s="230"/>
    </row>
    <row r="9" spans="1:32" ht="4.5" customHeight="1">
      <c r="A9" s="984"/>
      <c r="B9" s="2048"/>
      <c r="C9" s="2049"/>
      <c r="D9" s="2050"/>
      <c r="E9" s="2051"/>
      <c r="F9" s="2052"/>
      <c r="G9" s="2044"/>
      <c r="H9" s="2045"/>
      <c r="I9" s="2053"/>
      <c r="J9" s="2054"/>
      <c r="K9" s="1068"/>
      <c r="L9" s="1070"/>
      <c r="M9" s="1025"/>
      <c r="N9" s="962"/>
      <c r="O9" s="1506"/>
      <c r="P9" s="1069"/>
      <c r="Q9" s="2107"/>
      <c r="R9" s="1070"/>
      <c r="S9" s="2055"/>
      <c r="T9" s="2054"/>
      <c r="U9" s="2109"/>
      <c r="V9" s="1070"/>
      <c r="W9" s="1085"/>
      <c r="X9" s="2109"/>
      <c r="Y9" s="1627"/>
      <c r="Z9" s="1102"/>
      <c r="AA9" s="1102"/>
      <c r="AB9" s="1024"/>
      <c r="AC9" s="1626"/>
      <c r="AD9" s="1068"/>
      <c r="AE9" s="1117"/>
      <c r="AF9" s="230"/>
    </row>
    <row r="10" spans="1:32" ht="4.5" customHeight="1">
      <c r="A10" s="987"/>
      <c r="B10" s="2056"/>
      <c r="C10" s="1026"/>
      <c r="D10" s="2057"/>
      <c r="E10" s="2058"/>
      <c r="F10" s="2057"/>
      <c r="G10" s="1018"/>
      <c r="H10" s="2059"/>
      <c r="I10" s="1026"/>
      <c r="J10" s="2060"/>
      <c r="K10" s="1068"/>
      <c r="L10" s="1071"/>
      <c r="M10" s="1026"/>
      <c r="N10" s="965"/>
      <c r="O10" s="1636"/>
      <c r="P10" s="1072"/>
      <c r="Q10" s="2108"/>
      <c r="R10" s="1071"/>
      <c r="S10" s="2057"/>
      <c r="T10" s="2060"/>
      <c r="U10" s="2109"/>
      <c r="V10" s="1071"/>
      <c r="W10" s="1086"/>
      <c r="X10" s="2109"/>
      <c r="Y10" s="1118"/>
      <c r="Z10" s="1104"/>
      <c r="AA10" s="1105"/>
      <c r="AB10" s="1106"/>
      <c r="AC10" s="1107"/>
      <c r="AD10" s="1119"/>
      <c r="AE10" s="1120"/>
      <c r="AF10" s="230"/>
    </row>
    <row r="11" spans="1:32" ht="11.25" customHeight="1">
      <c r="A11" s="988"/>
      <c r="B11" s="989" t="s">
        <v>22</v>
      </c>
      <c r="C11" s="1027"/>
      <c r="D11" s="1028"/>
      <c r="E11" s="1027"/>
      <c r="F11" s="1029"/>
      <c r="G11" s="1030"/>
      <c r="H11" s="1031"/>
      <c r="I11" s="1027"/>
      <c r="J11" s="1032"/>
      <c r="K11" s="231"/>
      <c r="L11" s="1073"/>
      <c r="M11" s="1029"/>
      <c r="N11" s="1028"/>
      <c r="O11" s="1074"/>
      <c r="P11" s="1032"/>
      <c r="Q11" s="231"/>
      <c r="R11" s="1073"/>
      <c r="S11" s="1029"/>
      <c r="T11" s="1032"/>
      <c r="U11" s="231"/>
      <c r="V11" s="1087"/>
      <c r="W11" s="1088"/>
      <c r="X11" s="2110"/>
      <c r="Y11" s="1121"/>
      <c r="Z11" s="1108"/>
      <c r="AA11" s="1108"/>
      <c r="AB11" s="1109"/>
      <c r="AC11" s="1110"/>
      <c r="AD11" s="1122"/>
      <c r="AE11" s="1123"/>
      <c r="AF11" s="193"/>
    </row>
    <row r="12" spans="1:32" ht="11.25" customHeight="1">
      <c r="A12" s="990"/>
      <c r="B12" s="991" t="s">
        <v>55</v>
      </c>
      <c r="C12" s="1033"/>
      <c r="D12" s="1034"/>
      <c r="E12" s="1033"/>
      <c r="F12" s="1035"/>
      <c r="G12" s="1036"/>
      <c r="H12" s="1037"/>
      <c r="I12" s="1033"/>
      <c r="J12" s="1038"/>
      <c r="K12" s="231"/>
      <c r="L12" s="1075"/>
      <c r="M12" s="1035"/>
      <c r="N12" s="1034"/>
      <c r="O12" s="1076"/>
      <c r="P12" s="1038"/>
      <c r="Q12" s="231"/>
      <c r="R12" s="1075"/>
      <c r="S12" s="1035"/>
      <c r="T12" s="1038"/>
      <c r="U12" s="231"/>
      <c r="V12" s="1089"/>
      <c r="W12" s="1090"/>
      <c r="X12" s="31"/>
      <c r="Y12" s="1124"/>
      <c r="Z12" s="1108"/>
      <c r="AA12" s="1108"/>
      <c r="AB12" s="1109"/>
      <c r="AC12" s="1110"/>
      <c r="AD12" s="1122"/>
      <c r="AE12" s="1123"/>
      <c r="AF12" s="193"/>
    </row>
    <row r="13" spans="1:32" ht="12.75">
      <c r="A13" s="670" t="s">
        <v>243</v>
      </c>
      <c r="B13" s="992" t="s">
        <v>56</v>
      </c>
      <c r="C13" s="21">
        <v>1744</v>
      </c>
      <c r="D13" s="22">
        <v>542</v>
      </c>
      <c r="E13" s="23">
        <v>53</v>
      </c>
      <c r="F13" s="21">
        <v>14</v>
      </c>
      <c r="G13" s="21">
        <v>336</v>
      </c>
      <c r="H13" s="22">
        <v>61</v>
      </c>
      <c r="I13" s="21">
        <v>18</v>
      </c>
      <c r="J13" s="117">
        <v>15</v>
      </c>
      <c r="K13" s="32"/>
      <c r="L13" s="120">
        <v>59</v>
      </c>
      <c r="M13" s="21">
        <v>185</v>
      </c>
      <c r="N13" s="22">
        <v>19</v>
      </c>
      <c r="O13" s="516">
        <f>IF(I$120=0,0,(SUM(C13:E13,G13,I13:M13)-V13)/(SUM(C$110:E$110,G$110,I$110:M$110)-V$110)*I$120)</f>
        <v>95.82260528294792</v>
      </c>
      <c r="P13" s="433">
        <f>SUM(C13:O13)</f>
        <v>3141.8226052829477</v>
      </c>
      <c r="Q13" s="52"/>
      <c r="R13" s="120">
        <v>5</v>
      </c>
      <c r="S13" s="21">
        <v>1</v>
      </c>
      <c r="T13" s="117">
        <v>93</v>
      </c>
      <c r="U13" s="53"/>
      <c r="V13" s="129">
        <v>53</v>
      </c>
      <c r="W13" s="469">
        <f>SUM(R13:V13)</f>
        <v>152</v>
      </c>
      <c r="X13" s="60"/>
      <c r="Y13" s="1177">
        <f>P13-V13-(IF(AND('[1]Motpart'!$Y$9="",'[1]Motpart'!$Z$9=""),0,IF(AND('[1]Motpart'!$Y$9=0,'[1]Motpart'!$Z$9=0),0,((T13/$T$17)*('[1]Motpart'!$Y$9+'[1]Motpart'!$Z$9)))))</f>
        <v>3076.202249870993</v>
      </c>
      <c r="Z13" s="1111"/>
      <c r="AA13" s="1112"/>
      <c r="AB13" s="1113"/>
      <c r="AC13" s="1114"/>
      <c r="AD13" s="1125"/>
      <c r="AE13" s="1123"/>
      <c r="AF13" s="193"/>
    </row>
    <row r="14" spans="1:32" ht="12.75">
      <c r="A14" s="670" t="s">
        <v>244</v>
      </c>
      <c r="B14" s="993" t="s">
        <v>57</v>
      </c>
      <c r="C14" s="24">
        <v>15</v>
      </c>
      <c r="D14" s="22">
        <v>5</v>
      </c>
      <c r="E14" s="26">
        <v>0</v>
      </c>
      <c r="F14" s="24">
        <v>0</v>
      </c>
      <c r="G14" s="24">
        <v>5</v>
      </c>
      <c r="H14" s="25">
        <v>423</v>
      </c>
      <c r="I14" s="24">
        <v>0</v>
      </c>
      <c r="J14" s="118">
        <v>0</v>
      </c>
      <c r="K14" s="32"/>
      <c r="L14" s="121">
        <v>1</v>
      </c>
      <c r="M14" s="24">
        <v>2</v>
      </c>
      <c r="N14" s="22">
        <v>0</v>
      </c>
      <c r="O14" s="434">
        <f>IF(I$120=0,0,(SUM(C14:E14,G14,I14:M14)-V14)/(SUM(C$110:E$110,G$110,I$110:M$110)-V$110)*I$120)</f>
        <v>0.8593955630757661</v>
      </c>
      <c r="P14" s="433">
        <f>SUM(C14:O14)</f>
        <v>451.8593955630758</v>
      </c>
      <c r="Q14" s="52"/>
      <c r="R14" s="121">
        <v>0</v>
      </c>
      <c r="S14" s="24">
        <v>0</v>
      </c>
      <c r="T14" s="118">
        <v>1</v>
      </c>
      <c r="U14" s="53"/>
      <c r="V14" s="130">
        <v>2</v>
      </c>
      <c r="W14" s="469">
        <f>SUM(R14:V14)</f>
        <v>3</v>
      </c>
      <c r="X14" s="60"/>
      <c r="Y14" s="1127">
        <f>P14-V14-(IF(AND('[1]Motpart'!$Y$9="",'[1]Motpart'!$Z$9=""),0,IF(AND('[1]Motpart'!$Y$9=0,'[1]Motpart'!$Z$9=0),0,((T14/$T$17)*('[1]Motpart'!$Y$9+'[1]Motpart'!$Z$9)))))</f>
        <v>449.7236928167107</v>
      </c>
      <c r="Z14" s="1109"/>
      <c r="AA14" s="1109"/>
      <c r="AB14" s="1109"/>
      <c r="AC14" s="1972"/>
      <c r="AD14" s="1125"/>
      <c r="AE14" s="1123"/>
      <c r="AF14" s="193"/>
    </row>
    <row r="15" spans="1:32" ht="12.75">
      <c r="A15" s="670" t="s">
        <v>245</v>
      </c>
      <c r="B15" s="993" t="s">
        <v>58</v>
      </c>
      <c r="C15" s="24">
        <v>105</v>
      </c>
      <c r="D15" s="22">
        <v>31</v>
      </c>
      <c r="E15" s="26">
        <v>5</v>
      </c>
      <c r="F15" s="24">
        <v>8</v>
      </c>
      <c r="G15" s="24">
        <v>219</v>
      </c>
      <c r="H15" s="25">
        <v>0</v>
      </c>
      <c r="I15" s="24">
        <v>3</v>
      </c>
      <c r="J15" s="118">
        <v>0</v>
      </c>
      <c r="K15" s="32"/>
      <c r="L15" s="121">
        <v>3</v>
      </c>
      <c r="M15" s="24">
        <v>8</v>
      </c>
      <c r="N15" s="22">
        <v>2</v>
      </c>
      <c r="O15" s="434">
        <f>IF(I$120=0,0,(SUM(C15:E15,G15,I15:M15)-V15)/(SUM(C$110:E$110,G$110,I$110:M$110)-V$110)*I$120)</f>
        <v>12.262913611581125</v>
      </c>
      <c r="P15" s="433">
        <f>SUM(C15:O15)</f>
        <v>396.2629136115811</v>
      </c>
      <c r="Q15" s="52"/>
      <c r="R15" s="121">
        <v>5</v>
      </c>
      <c r="S15" s="24">
        <v>0</v>
      </c>
      <c r="T15" s="118">
        <v>8</v>
      </c>
      <c r="U15" s="53"/>
      <c r="V15" s="130">
        <v>3</v>
      </c>
      <c r="W15" s="469">
        <f>SUM(R15:V15)</f>
        <v>16</v>
      </c>
      <c r="X15" s="60"/>
      <c r="Y15" s="1177">
        <f>P15-V15-(IF(AND('[1]Motpart'!$Y$9="",'[1]Motpart'!$Z$9=""),0,IF(AND('[1]Motpart'!$Y$9=0,'[1]Motpart'!$Z$9=0),0,((T15/$T$17)*('[1]Motpart'!$Y$9+'[1]Motpart'!$Z$9)))))</f>
        <v>392.17729164066026</v>
      </c>
      <c r="Z15" s="1109"/>
      <c r="AA15" s="1109"/>
      <c r="AB15" s="1109"/>
      <c r="AC15" s="1972"/>
      <c r="AD15" s="1125"/>
      <c r="AE15" s="1123"/>
      <c r="AF15" s="193"/>
    </row>
    <row r="16" spans="1:32" ht="12.75">
      <c r="A16" s="670" t="s">
        <v>246</v>
      </c>
      <c r="B16" s="993" t="s">
        <v>59</v>
      </c>
      <c r="C16" s="24">
        <v>1329</v>
      </c>
      <c r="D16" s="22">
        <v>435</v>
      </c>
      <c r="E16" s="26">
        <v>48</v>
      </c>
      <c r="F16" s="24">
        <v>99</v>
      </c>
      <c r="G16" s="24">
        <v>756</v>
      </c>
      <c r="H16" s="25">
        <v>117</v>
      </c>
      <c r="I16" s="24">
        <v>19</v>
      </c>
      <c r="J16" s="118">
        <v>16</v>
      </c>
      <c r="K16" s="32"/>
      <c r="L16" s="121">
        <v>48</v>
      </c>
      <c r="M16" s="24">
        <v>223</v>
      </c>
      <c r="N16" s="22">
        <v>19</v>
      </c>
      <c r="O16" s="434">
        <f>IF(I$120=0,0,(SUM(C16:E16,G16,I16:M16)-V16)/(SUM(C$110:E$110,G$110,I$110:M$110)-V$110)*I$120)</f>
        <v>82.27059832675316</v>
      </c>
      <c r="P16" s="433">
        <f>SUM(C16:O16)</f>
        <v>3191.2705983267533</v>
      </c>
      <c r="Q16" s="52"/>
      <c r="R16" s="121">
        <v>27</v>
      </c>
      <c r="S16" s="24">
        <v>0</v>
      </c>
      <c r="T16" s="118">
        <v>517</v>
      </c>
      <c r="U16" s="53"/>
      <c r="V16" s="130">
        <v>385</v>
      </c>
      <c r="W16" s="469">
        <f>SUM(R16:V16)</f>
        <v>929</v>
      </c>
      <c r="X16" s="60"/>
      <c r="Y16" s="1177">
        <f>P16-V16-(IF(AND('[1]Motpart'!$Y$9="",'[1]Motpart'!$Z$9=""),0,IF(AND('[1]Motpart'!$Y$9=0,'[1]Motpart'!$Z$9=0),0,((T16/$T$17)*('[1]Motpart'!$Y$9+'[1]Motpart'!$Z$9)))))</f>
        <v>2736.112278455994</v>
      </c>
      <c r="Z16" s="1109"/>
      <c r="AA16" s="1109"/>
      <c r="AB16" s="1109"/>
      <c r="AC16" s="1972"/>
      <c r="AD16" s="1125"/>
      <c r="AE16" s="1123"/>
      <c r="AF16" s="193"/>
    </row>
    <row r="17" spans="1:32" ht="12.75" customHeight="1" thickBot="1">
      <c r="A17" s="672" t="s">
        <v>247</v>
      </c>
      <c r="B17" s="993" t="s">
        <v>60</v>
      </c>
      <c r="C17" s="418">
        <f>SUM(C13:C16)</f>
        <v>3193</v>
      </c>
      <c r="D17" s="27">
        <f aca="true" t="shared" si="0" ref="D17:O17">SUM(D13:D16)</f>
        <v>1013</v>
      </c>
      <c r="E17" s="436">
        <f t="shared" si="0"/>
        <v>106</v>
      </c>
      <c r="F17" s="418">
        <f t="shared" si="0"/>
        <v>121</v>
      </c>
      <c r="G17" s="418">
        <f t="shared" si="0"/>
        <v>1316</v>
      </c>
      <c r="H17" s="27">
        <f t="shared" si="0"/>
        <v>601</v>
      </c>
      <c r="I17" s="418">
        <f t="shared" si="0"/>
        <v>40</v>
      </c>
      <c r="J17" s="122">
        <f t="shared" si="0"/>
        <v>31</v>
      </c>
      <c r="K17" s="167"/>
      <c r="L17" s="435">
        <f>SUM(L13:L16)</f>
        <v>111</v>
      </c>
      <c r="M17" s="418">
        <f t="shared" si="0"/>
        <v>418</v>
      </c>
      <c r="N17" s="27">
        <f t="shared" si="0"/>
        <v>40</v>
      </c>
      <c r="O17" s="27">
        <f t="shared" si="0"/>
        <v>191.21551278435797</v>
      </c>
      <c r="P17" s="122">
        <f>SUM(P6:P16)</f>
        <v>7181.215512784358</v>
      </c>
      <c r="Q17" s="52"/>
      <c r="R17" s="435">
        <f>SUM(R13:R16)</f>
        <v>37</v>
      </c>
      <c r="S17" s="418">
        <f>SUM(S13:S16)</f>
        <v>1</v>
      </c>
      <c r="T17" s="122">
        <f>SUM(T13:T16)</f>
        <v>619</v>
      </c>
      <c r="U17" s="52"/>
      <c r="V17" s="133">
        <f>SUM(V13:V16)</f>
        <v>443</v>
      </c>
      <c r="W17" s="134">
        <f>SUM(W13:W16)</f>
        <v>1100</v>
      </c>
      <c r="X17" s="60"/>
      <c r="Y17" s="1127">
        <f>P17-V17-SUM('[1]Motpart'!Y9:Z9)</f>
        <v>6654.215512784358</v>
      </c>
      <c r="Z17" s="1128">
        <f>(P17-W17)*1000000/invanare</f>
        <v>623.8836600066744</v>
      </c>
      <c r="AA17" s="1128">
        <f>Y17*1000000/invanare</f>
        <v>682.6688381396141</v>
      </c>
      <c r="AB17" s="1128">
        <v>624</v>
      </c>
      <c r="AC17" s="1129">
        <f>IF(ISERROR((AA17-AB17)/AB17)," ",((AA17-AB17)/AB17))</f>
        <v>0.09402057394168924</v>
      </c>
      <c r="AD17" s="1130"/>
      <c r="AE17" s="1131"/>
      <c r="AF17" s="193"/>
    </row>
    <row r="18" spans="1:32" ht="11.25" customHeight="1">
      <c r="A18" s="994"/>
      <c r="B18" s="995" t="s">
        <v>61</v>
      </c>
      <c r="C18" s="1039"/>
      <c r="D18" s="1040"/>
      <c r="E18" s="1039"/>
      <c r="F18" s="1041"/>
      <c r="G18" s="1041"/>
      <c r="H18" s="1040"/>
      <c r="I18" s="1041"/>
      <c r="J18" s="1042"/>
      <c r="K18" s="32"/>
      <c r="L18" s="1077"/>
      <c r="M18" s="1041"/>
      <c r="N18" s="1040"/>
      <c r="O18" s="1040"/>
      <c r="P18" s="1042"/>
      <c r="Q18" s="53"/>
      <c r="R18" s="1077"/>
      <c r="S18" s="1041"/>
      <c r="T18" s="1042"/>
      <c r="U18" s="53"/>
      <c r="V18" s="1091"/>
      <c r="W18" s="1092"/>
      <c r="X18" s="32"/>
      <c r="Y18" s="2111"/>
      <c r="Z18" s="1132"/>
      <c r="AA18" s="1112"/>
      <c r="AB18" s="1113"/>
      <c r="AC18" s="1114"/>
      <c r="AD18" s="1122"/>
      <c r="AE18" s="1133"/>
      <c r="AF18" s="193"/>
    </row>
    <row r="19" spans="1:32" ht="12.75">
      <c r="A19" s="670" t="s">
        <v>248</v>
      </c>
      <c r="B19" s="996" t="s">
        <v>62</v>
      </c>
      <c r="C19" s="21">
        <v>2838</v>
      </c>
      <c r="D19" s="22">
        <v>1088</v>
      </c>
      <c r="E19" s="21">
        <v>637</v>
      </c>
      <c r="F19" s="21">
        <v>158</v>
      </c>
      <c r="G19" s="21">
        <v>1475</v>
      </c>
      <c r="H19" s="22">
        <v>65</v>
      </c>
      <c r="I19" s="21">
        <v>664</v>
      </c>
      <c r="J19" s="117">
        <v>736</v>
      </c>
      <c r="K19" s="32"/>
      <c r="L19" s="120">
        <v>317</v>
      </c>
      <c r="M19" s="21">
        <v>1246</v>
      </c>
      <c r="N19" s="22">
        <v>54</v>
      </c>
      <c r="O19" s="434">
        <f aca="true" t="shared" si="1" ref="O19:O29">IF(I$120=0,0,(SUM(C19:E19,G19,I19:M19)-V19)/(SUM(C$110:E$110,G$110,I$110:M$110)-V$110)*I$120)</f>
        <v>211.17993278811807</v>
      </c>
      <c r="P19" s="433">
        <f>SUM(C19:O19)</f>
        <v>9489.179932788118</v>
      </c>
      <c r="Q19" s="52"/>
      <c r="R19" s="120">
        <v>1896</v>
      </c>
      <c r="S19" s="21">
        <v>313</v>
      </c>
      <c r="T19" s="117">
        <v>1601</v>
      </c>
      <c r="U19" s="53"/>
      <c r="V19" s="129">
        <v>2612</v>
      </c>
      <c r="W19" s="469">
        <f aca="true" t="shared" si="2" ref="W19:W29">SUM(R19:V19)</f>
        <v>6422</v>
      </c>
      <c r="X19" s="60"/>
      <c r="Y19" s="1177">
        <f>P19-V19-(IF(AND('[1]Motpart'!$Y$10="",'[1]Motpart'!$Z$10=""),0,IF(AND('[1]Motpart'!$Y$10=0,'[1]Motpart'!$Z$10=0),0,((T19/$T$30)*('[1]Motpart'!$Y$10+'[1]Motpart'!$Z$10)))))</f>
        <v>6801.2242008657195</v>
      </c>
      <c r="Z19" s="1134"/>
      <c r="AA19" s="1112"/>
      <c r="AB19" s="1113"/>
      <c r="AC19" s="1114"/>
      <c r="AD19" s="1135"/>
      <c r="AE19" s="1133"/>
      <c r="AF19" s="193"/>
    </row>
    <row r="20" spans="1:32" ht="12.75">
      <c r="A20" s="670" t="s">
        <v>249</v>
      </c>
      <c r="B20" s="993" t="s">
        <v>63</v>
      </c>
      <c r="C20" s="21">
        <v>411</v>
      </c>
      <c r="D20" s="22">
        <v>158</v>
      </c>
      <c r="E20" s="21">
        <v>73</v>
      </c>
      <c r="F20" s="21">
        <v>88</v>
      </c>
      <c r="G20" s="21">
        <v>668</v>
      </c>
      <c r="H20" s="22">
        <v>588</v>
      </c>
      <c r="I20" s="21">
        <v>41</v>
      </c>
      <c r="J20" s="117">
        <v>46</v>
      </c>
      <c r="K20" s="32"/>
      <c r="L20" s="121">
        <v>36</v>
      </c>
      <c r="M20" s="24">
        <v>105</v>
      </c>
      <c r="N20" s="22">
        <v>30</v>
      </c>
      <c r="O20" s="434">
        <f t="shared" si="1"/>
        <v>48.42363461176913</v>
      </c>
      <c r="P20" s="433">
        <f aca="true" t="shared" si="3" ref="P20:P29">SUM(C20:O20)</f>
        <v>2292.423634611769</v>
      </c>
      <c r="Q20" s="52"/>
      <c r="R20" s="121">
        <v>34</v>
      </c>
      <c r="S20" s="24">
        <v>20</v>
      </c>
      <c r="T20" s="118">
        <v>388</v>
      </c>
      <c r="U20" s="53"/>
      <c r="V20" s="130">
        <v>73</v>
      </c>
      <c r="W20" s="469">
        <f t="shared" si="2"/>
        <v>515</v>
      </c>
      <c r="X20" s="60"/>
      <c r="Y20" s="1177">
        <f>P20-V20-(IF(AND('[1]Motpart'!$Y$10="",'[1]Motpart'!$Z$10=""),0,IF(AND('[1]Motpart'!$Y$10=0,'[1]Motpart'!$Z$10=0),0,((T20/$T$30)*('[1]Motpart'!$Y$10+'[1]Motpart'!$Z$10)))))</f>
        <v>2201.0158744706755</v>
      </c>
      <c r="Z20" s="1134"/>
      <c r="AA20" s="1112"/>
      <c r="AB20" s="1113"/>
      <c r="AC20" s="1114"/>
      <c r="AD20" s="1122"/>
      <c r="AE20" s="1133"/>
      <c r="AF20" s="193"/>
    </row>
    <row r="21" spans="1:32" ht="12.75">
      <c r="A21" s="670" t="s">
        <v>743</v>
      </c>
      <c r="B21" s="993" t="s">
        <v>64</v>
      </c>
      <c r="C21" s="21">
        <v>119</v>
      </c>
      <c r="D21" s="22">
        <v>44</v>
      </c>
      <c r="E21" s="21">
        <v>5</v>
      </c>
      <c r="F21" s="21">
        <v>20</v>
      </c>
      <c r="G21" s="21">
        <v>38</v>
      </c>
      <c r="H21" s="22">
        <v>5</v>
      </c>
      <c r="I21" s="21">
        <v>9</v>
      </c>
      <c r="J21" s="117">
        <v>0</v>
      </c>
      <c r="K21" s="32"/>
      <c r="L21" s="121">
        <v>3</v>
      </c>
      <c r="M21" s="24">
        <v>24</v>
      </c>
      <c r="N21" s="22">
        <v>2</v>
      </c>
      <c r="O21" s="434">
        <f t="shared" si="1"/>
        <v>7.6353990411731525</v>
      </c>
      <c r="P21" s="433">
        <f t="shared" si="3"/>
        <v>276.6353990411732</v>
      </c>
      <c r="Q21" s="52"/>
      <c r="R21" s="121">
        <v>5</v>
      </c>
      <c r="S21" s="24">
        <v>0</v>
      </c>
      <c r="T21" s="118">
        <v>105</v>
      </c>
      <c r="U21" s="53"/>
      <c r="V21" s="130">
        <v>11</v>
      </c>
      <c r="W21" s="469">
        <f t="shared" si="2"/>
        <v>121</v>
      </c>
      <c r="X21" s="60"/>
      <c r="Y21" s="1177">
        <f>P21-V21-(IF(AND('[1]Motpart'!$Y$10="",'[1]Motpart'!$Z$10=""),0,IF(AND('[1]Motpart'!$Y$10=0,'[1]Motpart'!$Z$10=0),0,((T21/$T$30)*('[1]Motpart'!$Y$10+'[1]Motpart'!$Z$10)))))</f>
        <v>260.6539175596917</v>
      </c>
      <c r="Z21" s="1134"/>
      <c r="AA21" s="1112"/>
      <c r="AB21" s="1113"/>
      <c r="AC21" s="1114"/>
      <c r="AD21" s="1122"/>
      <c r="AE21" s="1133"/>
      <c r="AF21" s="193"/>
    </row>
    <row r="22" spans="1:32" ht="12.75">
      <c r="A22" s="670" t="s">
        <v>250</v>
      </c>
      <c r="B22" s="993" t="s">
        <v>65</v>
      </c>
      <c r="C22" s="21">
        <v>159</v>
      </c>
      <c r="D22" s="22">
        <v>59</v>
      </c>
      <c r="E22" s="21">
        <v>60</v>
      </c>
      <c r="F22" s="21">
        <v>96</v>
      </c>
      <c r="G22" s="21">
        <v>197</v>
      </c>
      <c r="H22" s="22">
        <v>250</v>
      </c>
      <c r="I22" s="21">
        <v>15</v>
      </c>
      <c r="J22" s="117">
        <v>35</v>
      </c>
      <c r="K22" s="32"/>
      <c r="L22" s="121">
        <v>25</v>
      </c>
      <c r="M22" s="24">
        <v>29</v>
      </c>
      <c r="N22" s="22">
        <v>7</v>
      </c>
      <c r="O22" s="434">
        <f t="shared" si="1"/>
        <v>18.7744876856552</v>
      </c>
      <c r="P22" s="433">
        <f t="shared" si="3"/>
        <v>950.7744876856552</v>
      </c>
      <c r="Q22" s="52"/>
      <c r="R22" s="121">
        <v>53</v>
      </c>
      <c r="S22" s="24">
        <v>28</v>
      </c>
      <c r="T22" s="118">
        <v>124</v>
      </c>
      <c r="U22" s="53"/>
      <c r="V22" s="130">
        <v>11</v>
      </c>
      <c r="W22" s="469">
        <f t="shared" si="2"/>
        <v>216</v>
      </c>
      <c r="X22" s="60"/>
      <c r="Y22" s="1177">
        <f>P22-V22-(IF(AND('[1]Motpart'!$Y$10="",'[1]Motpart'!$Z$10=""),0,IF(AND('[1]Motpart'!$Y$10=0,'[1]Motpart'!$Z$10=0),0,((T22/$T$30)*('[1]Motpart'!$Y$10+'[1]Motpart'!$Z$10)))))</f>
        <v>933.8915952694294</v>
      </c>
      <c r="Z22" s="1112"/>
      <c r="AA22" s="1112"/>
      <c r="AB22" s="1113"/>
      <c r="AC22" s="1114"/>
      <c r="AD22" s="1125"/>
      <c r="AE22" s="1133"/>
      <c r="AF22" s="193"/>
    </row>
    <row r="23" spans="1:32" ht="12.75">
      <c r="A23" s="670" t="s">
        <v>251</v>
      </c>
      <c r="B23" s="1004" t="s">
        <v>1006</v>
      </c>
      <c r="C23" s="21">
        <v>1669</v>
      </c>
      <c r="D23" s="22">
        <v>644</v>
      </c>
      <c r="E23" s="21">
        <v>4230</v>
      </c>
      <c r="F23" s="21">
        <v>2305</v>
      </c>
      <c r="G23" s="21">
        <v>1416</v>
      </c>
      <c r="H23" s="22">
        <v>645</v>
      </c>
      <c r="I23" s="21">
        <v>82</v>
      </c>
      <c r="J23" s="117">
        <v>4003</v>
      </c>
      <c r="K23" s="32"/>
      <c r="L23" s="121">
        <v>229</v>
      </c>
      <c r="M23" s="24">
        <v>2607</v>
      </c>
      <c r="N23" s="22">
        <v>59</v>
      </c>
      <c r="O23" s="434">
        <f t="shared" si="1"/>
        <v>389.83504888136866</v>
      </c>
      <c r="P23" s="433">
        <f t="shared" si="3"/>
        <v>18278.83504888137</v>
      </c>
      <c r="Q23" s="52"/>
      <c r="R23" s="121">
        <v>2454</v>
      </c>
      <c r="S23" s="24">
        <v>16</v>
      </c>
      <c r="T23" s="118">
        <v>2096</v>
      </c>
      <c r="U23" s="53"/>
      <c r="V23" s="130">
        <v>3086</v>
      </c>
      <c r="W23" s="469">
        <f t="shared" si="2"/>
        <v>7652</v>
      </c>
      <c r="X23" s="60"/>
      <c r="Y23" s="1177">
        <f>P23-V23-(IF(AND('[1]Motpart'!$Y$10="",'[1]Motpart'!$Z$10=""),0,IF(AND('[1]Motpart'!$Y$10=0,'[1]Motpart'!$Z$10=0),0,((T23/$T$30)*('[1]Motpart'!$Y$10+'[1]Motpart'!$Z$10)))))</f>
        <v>15093.395189974844</v>
      </c>
      <c r="Z23" s="1112"/>
      <c r="AA23" s="1112"/>
      <c r="AB23" s="1113"/>
      <c r="AC23" s="1114"/>
      <c r="AD23" s="1125"/>
      <c r="AE23" s="1133"/>
      <c r="AF23" s="193"/>
    </row>
    <row r="24" spans="1:32" ht="12.75">
      <c r="A24" s="670" t="s">
        <v>252</v>
      </c>
      <c r="B24" s="993" t="s">
        <v>24</v>
      </c>
      <c r="C24" s="21">
        <v>801</v>
      </c>
      <c r="D24" s="22">
        <v>304</v>
      </c>
      <c r="E24" s="21">
        <v>590</v>
      </c>
      <c r="F24" s="21">
        <v>787</v>
      </c>
      <c r="G24" s="21">
        <v>349</v>
      </c>
      <c r="H24" s="22">
        <v>16</v>
      </c>
      <c r="I24" s="21">
        <v>30</v>
      </c>
      <c r="J24" s="117">
        <v>668</v>
      </c>
      <c r="K24" s="32"/>
      <c r="L24" s="121">
        <v>69</v>
      </c>
      <c r="M24" s="24">
        <v>1409</v>
      </c>
      <c r="N24" s="22">
        <v>20</v>
      </c>
      <c r="O24" s="434">
        <f t="shared" si="1"/>
        <v>101.90448157548411</v>
      </c>
      <c r="P24" s="433">
        <f t="shared" si="3"/>
        <v>5144.904481575484</v>
      </c>
      <c r="Q24" s="52"/>
      <c r="R24" s="121">
        <v>15</v>
      </c>
      <c r="S24" s="24">
        <v>6</v>
      </c>
      <c r="T24" s="118">
        <v>306</v>
      </c>
      <c r="U24" s="53"/>
      <c r="V24" s="130">
        <v>1137</v>
      </c>
      <c r="W24" s="469">
        <f t="shared" si="2"/>
        <v>1464</v>
      </c>
      <c r="X24" s="60"/>
      <c r="Y24" s="1177">
        <f>P24-V24-(IF(AND('[1]Motpart'!$Y$10="",'[1]Motpart'!$Z$10=""),0,IF(AND('[1]Motpart'!$Y$10=0,'[1]Motpart'!$Z$10=0),0,((T24/$T$30)*('[1]Motpart'!$Y$10+'[1]Motpart'!$Z$10)))))</f>
        <v>3993.3870212580237</v>
      </c>
      <c r="Z24" s="1112"/>
      <c r="AA24" s="1112"/>
      <c r="AB24" s="1113"/>
      <c r="AC24" s="1114"/>
      <c r="AD24" s="1125"/>
      <c r="AE24" s="1133"/>
      <c r="AF24" s="193"/>
    </row>
    <row r="25" spans="1:32" ht="12.75">
      <c r="A25" s="670" t="s">
        <v>253</v>
      </c>
      <c r="B25" s="993" t="s">
        <v>67</v>
      </c>
      <c r="C25" s="21">
        <v>999</v>
      </c>
      <c r="D25" s="22">
        <v>383</v>
      </c>
      <c r="E25" s="21">
        <v>43</v>
      </c>
      <c r="F25" s="21">
        <v>77</v>
      </c>
      <c r="G25" s="21">
        <v>229</v>
      </c>
      <c r="H25" s="22">
        <v>24</v>
      </c>
      <c r="I25" s="21">
        <v>27</v>
      </c>
      <c r="J25" s="117">
        <v>9</v>
      </c>
      <c r="K25" s="32"/>
      <c r="L25" s="121">
        <v>52</v>
      </c>
      <c r="M25" s="24">
        <v>131</v>
      </c>
      <c r="N25" s="22">
        <v>8</v>
      </c>
      <c r="O25" s="434">
        <f t="shared" si="1"/>
        <v>55.46406749388983</v>
      </c>
      <c r="P25" s="433">
        <f t="shared" si="3"/>
        <v>2037.4640674938898</v>
      </c>
      <c r="Q25" s="52"/>
      <c r="R25" s="121">
        <v>700</v>
      </c>
      <c r="S25" s="24">
        <v>0</v>
      </c>
      <c r="T25" s="118">
        <v>148</v>
      </c>
      <c r="U25" s="53"/>
      <c r="V25" s="130">
        <v>195</v>
      </c>
      <c r="W25" s="469">
        <f t="shared" si="2"/>
        <v>1043</v>
      </c>
      <c r="X25" s="60"/>
      <c r="Y25" s="1127">
        <f>P25-V25-(IF(AND('[1]Motpart'!$Y$10="",'[1]Motpart'!$Z$10=""),0,IF(AND('[1]Motpart'!$Y$10=0,'[1]Motpart'!$Z$10=0),0,((T25/$T$30)*('[1]Motpart'!$Y$10+'[1]Motpart'!$Z$10)))))</f>
        <v>1835.4425507390397</v>
      </c>
      <c r="Z25" s="1111"/>
      <c r="AA25" s="1112"/>
      <c r="AB25" s="1113"/>
      <c r="AC25" s="1114"/>
      <c r="AD25" s="1135"/>
      <c r="AE25" s="1133"/>
      <c r="AF25" s="193"/>
    </row>
    <row r="26" spans="1:32" ht="12.75">
      <c r="A26" s="670" t="s">
        <v>254</v>
      </c>
      <c r="B26" s="993" t="s">
        <v>68</v>
      </c>
      <c r="C26" s="21">
        <v>371</v>
      </c>
      <c r="D26" s="22">
        <v>144</v>
      </c>
      <c r="E26" s="21">
        <v>107</v>
      </c>
      <c r="F26" s="21">
        <v>40</v>
      </c>
      <c r="G26" s="21">
        <v>278</v>
      </c>
      <c r="H26" s="22">
        <v>90</v>
      </c>
      <c r="I26" s="21">
        <v>13</v>
      </c>
      <c r="J26" s="117">
        <v>25</v>
      </c>
      <c r="K26" s="32"/>
      <c r="L26" s="121">
        <v>26</v>
      </c>
      <c r="M26" s="24">
        <v>104</v>
      </c>
      <c r="N26" s="22">
        <v>4</v>
      </c>
      <c r="O26" s="434">
        <f t="shared" si="1"/>
        <v>33.18589020492574</v>
      </c>
      <c r="P26" s="433">
        <f t="shared" si="3"/>
        <v>1235.1858902049257</v>
      </c>
      <c r="Q26" s="52"/>
      <c r="R26" s="121">
        <v>61</v>
      </c>
      <c r="S26" s="24">
        <v>2</v>
      </c>
      <c r="T26" s="118">
        <v>311</v>
      </c>
      <c r="U26" s="53"/>
      <c r="V26" s="130">
        <v>64</v>
      </c>
      <c r="W26" s="469">
        <f t="shared" si="2"/>
        <v>438</v>
      </c>
      <c r="X26" s="60"/>
      <c r="Y26" s="1127">
        <f>P26-V26-(IF(AND('[1]Motpart'!$Y$10="",'[1]Motpart'!$Z$10=""),0,IF(AND('[1]Motpart'!$Y$10=0,'[1]Motpart'!$Z$10=0),0,((T26/$T$30)*('[1]Motpart'!$Y$10+'[1]Motpart'!$Z$10)))))</f>
        <v>1156.4312164835853</v>
      </c>
      <c r="Z26" s="1113"/>
      <c r="AA26" s="1113"/>
      <c r="AB26" s="1113"/>
      <c r="AC26" s="1113"/>
      <c r="AD26" s="1125"/>
      <c r="AE26" s="1133"/>
      <c r="AF26" s="193"/>
    </row>
    <row r="27" spans="1:32" ht="12.75">
      <c r="A27" s="670" t="s">
        <v>255</v>
      </c>
      <c r="B27" s="993" t="s">
        <v>69</v>
      </c>
      <c r="C27" s="21">
        <v>94</v>
      </c>
      <c r="D27" s="22">
        <v>36</v>
      </c>
      <c r="E27" s="21">
        <v>3</v>
      </c>
      <c r="F27" s="21">
        <v>12</v>
      </c>
      <c r="G27" s="21">
        <v>23</v>
      </c>
      <c r="H27" s="22">
        <v>1</v>
      </c>
      <c r="I27" s="21">
        <v>2</v>
      </c>
      <c r="J27" s="117">
        <v>2</v>
      </c>
      <c r="K27" s="32"/>
      <c r="L27" s="121">
        <v>4</v>
      </c>
      <c r="M27" s="24">
        <v>19</v>
      </c>
      <c r="N27" s="22">
        <v>1</v>
      </c>
      <c r="O27" s="434">
        <f t="shared" si="1"/>
        <v>5.75133953750705</v>
      </c>
      <c r="P27" s="433">
        <f t="shared" si="3"/>
        <v>202.75133953750705</v>
      </c>
      <c r="Q27" s="52"/>
      <c r="R27" s="121">
        <v>148</v>
      </c>
      <c r="S27" s="24">
        <v>0</v>
      </c>
      <c r="T27" s="118">
        <v>15</v>
      </c>
      <c r="U27" s="53"/>
      <c r="V27" s="130">
        <v>9</v>
      </c>
      <c r="W27" s="469">
        <f t="shared" si="2"/>
        <v>172</v>
      </c>
      <c r="X27" s="60"/>
      <c r="Y27" s="1177">
        <f>P27-V27-(IF(AND('[1]Motpart'!$Y$10="",'[1]Motpart'!$Z$10=""),0,IF(AND('[1]Motpart'!$Y$10=0,'[1]Motpart'!$Z$10=0),0,((T27/$T$30)*('[1]Motpart'!$Y$10+'[1]Motpart'!$Z$10)))))</f>
        <v>193.03969932586685</v>
      </c>
      <c r="Z27" s="1113"/>
      <c r="AA27" s="1113"/>
      <c r="AB27" s="1113"/>
      <c r="AC27" s="1113"/>
      <c r="AD27" s="1125"/>
      <c r="AE27" s="1133"/>
      <c r="AF27" s="193"/>
    </row>
    <row r="28" spans="1:32" ht="12.75">
      <c r="A28" s="670" t="s">
        <v>256</v>
      </c>
      <c r="B28" s="993" t="s">
        <v>25</v>
      </c>
      <c r="C28" s="21">
        <v>1469</v>
      </c>
      <c r="D28" s="22">
        <v>556</v>
      </c>
      <c r="E28" s="21">
        <v>184</v>
      </c>
      <c r="F28" s="21">
        <v>3316</v>
      </c>
      <c r="G28" s="21">
        <v>311</v>
      </c>
      <c r="H28" s="22">
        <v>792</v>
      </c>
      <c r="I28" s="21">
        <v>105</v>
      </c>
      <c r="J28" s="117">
        <v>202</v>
      </c>
      <c r="K28" s="32"/>
      <c r="L28" s="121">
        <v>223</v>
      </c>
      <c r="M28" s="24">
        <v>114</v>
      </c>
      <c r="N28" s="22">
        <v>18</v>
      </c>
      <c r="O28" s="434">
        <f t="shared" si="1"/>
        <v>100.28485147584132</v>
      </c>
      <c r="P28" s="433">
        <f t="shared" si="3"/>
        <v>7390.284851475842</v>
      </c>
      <c r="Q28" s="52"/>
      <c r="R28" s="121">
        <v>162</v>
      </c>
      <c r="S28" s="24">
        <v>38</v>
      </c>
      <c r="T28" s="118">
        <v>344</v>
      </c>
      <c r="U28" s="53"/>
      <c r="V28" s="130">
        <v>130</v>
      </c>
      <c r="W28" s="469">
        <f t="shared" si="2"/>
        <v>674</v>
      </c>
      <c r="X28" s="60"/>
      <c r="Y28" s="1177">
        <f>P28-V28-(IF(AND('[1]Motpart'!$Y$10="",'[1]Motpart'!$Z$10=""),0,IF(AND('[1]Motpart'!$Y$10=0,'[1]Motpart'!$Z$10=0),0,((T28/$T$30)*('[1]Motpart'!$Y$10+'[1]Motpart'!$Z$10)))))</f>
        <v>7243.964569288893</v>
      </c>
      <c r="Z28" s="1113"/>
      <c r="AA28" s="1113"/>
      <c r="AB28" s="1113"/>
      <c r="AC28" s="1113"/>
      <c r="AD28" s="1125"/>
      <c r="AE28" s="1133"/>
      <c r="AF28" s="193"/>
    </row>
    <row r="29" spans="1:32" ht="12.75">
      <c r="A29" s="670" t="s">
        <v>257</v>
      </c>
      <c r="B29" s="993" t="s">
        <v>70</v>
      </c>
      <c r="C29" s="21">
        <v>94</v>
      </c>
      <c r="D29" s="22">
        <v>36</v>
      </c>
      <c r="E29" s="21">
        <v>17</v>
      </c>
      <c r="F29" s="21">
        <v>26</v>
      </c>
      <c r="G29" s="21">
        <v>88</v>
      </c>
      <c r="H29" s="22">
        <v>6</v>
      </c>
      <c r="I29" s="21">
        <v>3</v>
      </c>
      <c r="J29" s="117">
        <v>15</v>
      </c>
      <c r="K29" s="32"/>
      <c r="L29" s="121">
        <v>7</v>
      </c>
      <c r="M29" s="24">
        <v>37</v>
      </c>
      <c r="N29" s="22">
        <v>1</v>
      </c>
      <c r="O29" s="434">
        <f t="shared" si="1"/>
        <v>9.288082816318855</v>
      </c>
      <c r="P29" s="433">
        <f t="shared" si="3"/>
        <v>339.2880828163189</v>
      </c>
      <c r="Q29" s="52"/>
      <c r="R29" s="121">
        <v>10</v>
      </c>
      <c r="S29" s="24">
        <v>2</v>
      </c>
      <c r="T29" s="118">
        <v>232</v>
      </c>
      <c r="U29" s="53"/>
      <c r="V29" s="130">
        <v>16</v>
      </c>
      <c r="W29" s="469">
        <f t="shared" si="2"/>
        <v>260</v>
      </c>
      <c r="X29" s="60"/>
      <c r="Y29" s="1177">
        <f>P29-V29-(IF(AND('[1]Motpart'!$Y$10="",'[1]Motpart'!$Z$10=""),0,IF(AND('[1]Motpart'!$Y$10=0,'[1]Motpart'!$Z$10=0),0,((T29/$T$30)*('[1]Motpart'!$Y$10+'[1]Motpart'!$Z$10)))))</f>
        <v>312.2813808762836</v>
      </c>
      <c r="Z29" s="1113"/>
      <c r="AA29" s="1113"/>
      <c r="AB29" s="1113"/>
      <c r="AC29" s="1113"/>
      <c r="AD29" s="1969"/>
      <c r="AE29" s="1133"/>
      <c r="AF29" s="193"/>
    </row>
    <row r="30" spans="1:32" ht="12.75" customHeight="1" thickBot="1">
      <c r="A30" s="672" t="s">
        <v>258</v>
      </c>
      <c r="B30" s="993" t="s">
        <v>71</v>
      </c>
      <c r="C30" s="418">
        <f aca="true" t="shared" si="4" ref="C30:M30">SUM(C19:C29)</f>
        <v>9024</v>
      </c>
      <c r="D30" s="27">
        <f t="shared" si="4"/>
        <v>3452</v>
      </c>
      <c r="E30" s="27">
        <f t="shared" si="4"/>
        <v>5949</v>
      </c>
      <c r="F30" s="437">
        <f t="shared" si="4"/>
        <v>6925</v>
      </c>
      <c r="G30" s="438">
        <f t="shared" si="4"/>
        <v>5072</v>
      </c>
      <c r="H30" s="439">
        <f t="shared" si="4"/>
        <v>2482</v>
      </c>
      <c r="I30" s="418">
        <f t="shared" si="4"/>
        <v>991</v>
      </c>
      <c r="J30" s="122">
        <f t="shared" si="4"/>
        <v>5741</v>
      </c>
      <c r="K30" s="167"/>
      <c r="L30" s="435">
        <f>SUM(L19:L29)</f>
        <v>991</v>
      </c>
      <c r="M30" s="418">
        <f t="shared" si="4"/>
        <v>5825</v>
      </c>
      <c r="N30" s="27">
        <f aca="true" t="shared" si="5" ref="N30:W30">SUM(N19:N29)</f>
        <v>204</v>
      </c>
      <c r="O30" s="27">
        <f t="shared" si="5"/>
        <v>981.7272161120511</v>
      </c>
      <c r="P30" s="122">
        <f t="shared" si="5"/>
        <v>47637.727216112056</v>
      </c>
      <c r="Q30" s="52"/>
      <c r="R30" s="435">
        <f t="shared" si="5"/>
        <v>5538</v>
      </c>
      <c r="S30" s="418">
        <f t="shared" si="5"/>
        <v>425</v>
      </c>
      <c r="T30" s="122">
        <f t="shared" si="5"/>
        <v>5670</v>
      </c>
      <c r="U30" s="52"/>
      <c r="V30" s="133">
        <f t="shared" si="5"/>
        <v>7344</v>
      </c>
      <c r="W30" s="134">
        <f t="shared" si="5"/>
        <v>18977</v>
      </c>
      <c r="X30" s="60"/>
      <c r="Y30" s="1127">
        <f>P30-V30-SUM('[1]Motpart'!Y10:Z10)</f>
        <v>40024.727216112056</v>
      </c>
      <c r="Z30" s="1128">
        <f>(P30-W30)*1000000/invanare</f>
        <v>2940.359432493436</v>
      </c>
      <c r="AA30" s="1128">
        <f>Y30*1000000/invanare</f>
        <v>4106.214169496448</v>
      </c>
      <c r="AB30" s="1128">
        <v>4070</v>
      </c>
      <c r="AC30" s="1137">
        <f>IF(ISERROR((AA30-AB30)/AB30)," ",((AA30-AB30)/AB30))</f>
        <v>0.008897830343107727</v>
      </c>
      <c r="AD30" s="1130"/>
      <c r="AE30" s="1138">
        <f>IF(ISERROR(F30/(AA30/1000000*invanare)),"",(F30/(AA30/100000000*invanare)))</f>
        <v>17.301804363609314</v>
      </c>
      <c r="AF30" s="193"/>
    </row>
    <row r="31" spans="1:32" ht="11.25" customHeight="1">
      <c r="A31" s="757"/>
      <c r="B31" s="997" t="s">
        <v>72</v>
      </c>
      <c r="C31" s="1043"/>
      <c r="D31" s="1044"/>
      <c r="E31" s="1045"/>
      <c r="F31" s="1046"/>
      <c r="G31" s="1047"/>
      <c r="H31" s="1048"/>
      <c r="I31" s="1047"/>
      <c r="J31" s="1049"/>
      <c r="K31" s="32"/>
      <c r="L31" s="1078"/>
      <c r="M31" s="1047"/>
      <c r="N31" s="1044"/>
      <c r="O31" s="1044"/>
      <c r="P31" s="1049"/>
      <c r="Q31" s="53"/>
      <c r="R31" s="1078"/>
      <c r="S31" s="1047"/>
      <c r="T31" s="1049"/>
      <c r="U31" s="53"/>
      <c r="V31" s="1093"/>
      <c r="W31" s="1094"/>
      <c r="X31" s="32"/>
      <c r="Y31" s="2111"/>
      <c r="Z31" s="1132"/>
      <c r="AA31" s="1112"/>
      <c r="AB31" s="1113"/>
      <c r="AC31" s="1114"/>
      <c r="AD31" s="1122"/>
      <c r="AE31" s="1133">
        <f>IF(ISERROR(F30/(AA30/1000000*invanare)),"",(SUM(Motpart!D10,Motpart!F10)/(AA30/100000000*invanare)))</f>
        <v>6.555947241893262</v>
      </c>
      <c r="AF31" s="193"/>
    </row>
    <row r="32" spans="1:32" ht="9" customHeight="1">
      <c r="A32" s="998"/>
      <c r="B32" s="999" t="s">
        <v>73</v>
      </c>
      <c r="C32" s="1050"/>
      <c r="D32" s="1051"/>
      <c r="E32" s="1052"/>
      <c r="F32" s="1053"/>
      <c r="G32" s="1054"/>
      <c r="H32" s="1055"/>
      <c r="I32" s="1054"/>
      <c r="J32" s="1056"/>
      <c r="K32" s="32"/>
      <c r="L32" s="1079"/>
      <c r="M32" s="1054"/>
      <c r="N32" s="1051"/>
      <c r="O32" s="1051"/>
      <c r="P32" s="1056"/>
      <c r="Q32" s="53"/>
      <c r="R32" s="1079"/>
      <c r="S32" s="1054"/>
      <c r="T32" s="1056"/>
      <c r="U32" s="53"/>
      <c r="V32" s="1095"/>
      <c r="W32" s="1096"/>
      <c r="X32" s="32"/>
      <c r="Y32" s="2112"/>
      <c r="Z32" s="1111"/>
      <c r="AA32" s="1112"/>
      <c r="AB32" s="1113"/>
      <c r="AC32" s="1114"/>
      <c r="AD32" s="1122"/>
      <c r="AE32" s="1133"/>
      <c r="AF32" s="193"/>
    </row>
    <row r="33" spans="1:32" ht="12" customHeight="1">
      <c r="A33" s="670" t="s">
        <v>259</v>
      </c>
      <c r="B33" s="996" t="s">
        <v>74</v>
      </c>
      <c r="C33" s="21">
        <v>8</v>
      </c>
      <c r="D33" s="22">
        <v>3</v>
      </c>
      <c r="E33" s="524">
        <v>2</v>
      </c>
      <c r="F33" s="525">
        <v>2</v>
      </c>
      <c r="G33" s="21">
        <v>5</v>
      </c>
      <c r="H33" s="526">
        <v>461</v>
      </c>
      <c r="I33" s="21">
        <v>3</v>
      </c>
      <c r="J33" s="117">
        <v>0</v>
      </c>
      <c r="K33" s="32"/>
      <c r="L33" s="120">
        <v>3</v>
      </c>
      <c r="M33" s="21">
        <v>4</v>
      </c>
      <c r="N33" s="22">
        <v>0</v>
      </c>
      <c r="O33" s="434">
        <f>IF(I$120=0,0,(SUM(C33:E33,G33,I33:M33)-V33)/(SUM(C$110:E$110,G$110,I$110:M$110)-V$110)*I$120)</f>
        <v>0.8593955630757661</v>
      </c>
      <c r="P33" s="433">
        <f>SUM(C33:O33)</f>
        <v>491.8593955630758</v>
      </c>
      <c r="Q33" s="52"/>
      <c r="R33" s="120">
        <v>0</v>
      </c>
      <c r="S33" s="21">
        <v>0</v>
      </c>
      <c r="T33" s="117">
        <v>2</v>
      </c>
      <c r="U33" s="53"/>
      <c r="V33" s="129">
        <v>2</v>
      </c>
      <c r="W33" s="469">
        <f>SUM(R33:V33)</f>
        <v>4</v>
      </c>
      <c r="X33" s="60"/>
      <c r="Y33" s="1177">
        <f>P33-V33-(IF(AND('[1]Motpart'!$Y$11="",'[1]Motpart'!$Z$11=""),0,IF(AND('[1]Motpart'!$Y$11=0,'[1]Motpart'!$Z$11=0),0,((T33/$T$37)*('[1]Motpart'!$Y$11+'[1]Motpart'!$Z$11)))))</f>
        <v>489.81983077573653</v>
      </c>
      <c r="Z33" s="1111"/>
      <c r="AA33" s="1111"/>
      <c r="AB33" s="1111"/>
      <c r="AC33" s="1111"/>
      <c r="AD33" s="1126"/>
      <c r="AE33" s="1133"/>
      <c r="AF33" s="193"/>
    </row>
    <row r="34" spans="1:32" ht="12.75">
      <c r="A34" s="670" t="s">
        <v>260</v>
      </c>
      <c r="B34" s="993" t="s">
        <v>75</v>
      </c>
      <c r="C34" s="21">
        <v>957</v>
      </c>
      <c r="D34" s="22">
        <v>359</v>
      </c>
      <c r="E34" s="21">
        <v>216</v>
      </c>
      <c r="F34" s="21">
        <v>147</v>
      </c>
      <c r="G34" s="21">
        <v>757</v>
      </c>
      <c r="H34" s="25">
        <v>1138</v>
      </c>
      <c r="I34" s="24">
        <v>250</v>
      </c>
      <c r="J34" s="118">
        <v>95</v>
      </c>
      <c r="K34" s="32"/>
      <c r="L34" s="121">
        <v>527</v>
      </c>
      <c r="M34" s="24">
        <v>302</v>
      </c>
      <c r="N34" s="22">
        <v>17</v>
      </c>
      <c r="O34" s="434">
        <f>IF(I$120=0,0,(SUM(C34:E34,G34,I34:M34)-V34)/(SUM(C$110:E$110,G$110,I$110:M$110)-V$110)*I$120)</f>
        <v>104.81320501974055</v>
      </c>
      <c r="P34" s="433">
        <f>SUM(C34:O34)</f>
        <v>4869.813205019741</v>
      </c>
      <c r="Q34" s="52"/>
      <c r="R34" s="121">
        <v>117</v>
      </c>
      <c r="S34" s="24">
        <v>49</v>
      </c>
      <c r="T34" s="118">
        <v>731</v>
      </c>
      <c r="U34" s="53"/>
      <c r="V34" s="130">
        <v>292</v>
      </c>
      <c r="W34" s="469">
        <f>SUM(R34:V34)</f>
        <v>1189</v>
      </c>
      <c r="X34" s="60"/>
      <c r="Y34" s="1177">
        <f>P34-V34-(IF(AND('[1]Motpart'!$Y$11="",'[1]Motpart'!$Z$11=""),0,IF(AND('[1]Motpart'!$Y$11=0,'[1]Motpart'!$Z$11=0),0,((T34/$T$37)*('[1]Motpart'!$Y$11+'[1]Motpart'!$Z$11)))))</f>
        <v>4563.352275247238</v>
      </c>
      <c r="Z34" s="1111"/>
      <c r="AA34" s="1111"/>
      <c r="AB34" s="1111"/>
      <c r="AC34" s="1111"/>
      <c r="AD34" s="1136"/>
      <c r="AE34" s="1133"/>
      <c r="AF34" s="193"/>
    </row>
    <row r="35" spans="1:32" ht="12.75">
      <c r="A35" s="670" t="s">
        <v>261</v>
      </c>
      <c r="B35" s="993" t="s">
        <v>76</v>
      </c>
      <c r="C35" s="21">
        <v>1640</v>
      </c>
      <c r="D35" s="22">
        <v>628</v>
      </c>
      <c r="E35" s="24">
        <v>548</v>
      </c>
      <c r="F35" s="24">
        <v>26</v>
      </c>
      <c r="G35" s="24">
        <v>403</v>
      </c>
      <c r="H35" s="25">
        <v>5</v>
      </c>
      <c r="I35" s="24">
        <v>319</v>
      </c>
      <c r="J35" s="118">
        <v>103</v>
      </c>
      <c r="K35" s="32"/>
      <c r="L35" s="121">
        <v>562</v>
      </c>
      <c r="M35" s="24">
        <v>359</v>
      </c>
      <c r="N35" s="22">
        <v>21</v>
      </c>
      <c r="O35" s="434">
        <f>IF(I$120=0,0,(SUM(C35:E35,G35,I35:M35)-V35)/(SUM(C$110:E$110,G$110,I$110:M$110)-V$110)*I$120)</f>
        <v>140.47812088738485</v>
      </c>
      <c r="P35" s="433">
        <f>SUM(C35:O35)</f>
        <v>4754.478120887385</v>
      </c>
      <c r="Q35" s="52"/>
      <c r="R35" s="121">
        <v>58</v>
      </c>
      <c r="S35" s="24">
        <v>6</v>
      </c>
      <c r="T35" s="118">
        <v>188</v>
      </c>
      <c r="U35" s="53"/>
      <c r="V35" s="130">
        <v>312</v>
      </c>
      <c r="W35" s="469">
        <f>SUM(R35:V35)</f>
        <v>564</v>
      </c>
      <c r="X35" s="60"/>
      <c r="Y35" s="1177">
        <f>P35-V35-(IF(AND('[1]Motpart'!$Y$11="",'[1]Motpart'!$Z$11=""),0,IF(AND('[1]Motpart'!$Y$11=0,'[1]Motpart'!$Z$11=0),0,((T35/$T$37)*('[1]Motpart'!$Y$11+'[1]Motpart'!$Z$11)))))</f>
        <v>4438.759030877493</v>
      </c>
      <c r="Z35" s="1111"/>
      <c r="AA35" s="1111"/>
      <c r="AB35" s="1111"/>
      <c r="AC35" s="1111"/>
      <c r="AD35" s="1126"/>
      <c r="AE35" s="1133"/>
      <c r="AF35" s="193"/>
    </row>
    <row r="36" spans="1:32" ht="12.75">
      <c r="A36" s="670" t="s">
        <v>262</v>
      </c>
      <c r="B36" s="993" t="s">
        <v>77</v>
      </c>
      <c r="C36" s="21">
        <v>1429</v>
      </c>
      <c r="D36" s="22">
        <v>550</v>
      </c>
      <c r="E36" s="24">
        <v>67</v>
      </c>
      <c r="F36" s="24">
        <v>56</v>
      </c>
      <c r="G36" s="24">
        <v>149</v>
      </c>
      <c r="H36" s="25">
        <v>8</v>
      </c>
      <c r="I36" s="24">
        <v>77</v>
      </c>
      <c r="J36" s="118">
        <v>23</v>
      </c>
      <c r="K36" s="32"/>
      <c r="L36" s="121">
        <v>162</v>
      </c>
      <c r="M36" s="24">
        <v>225</v>
      </c>
      <c r="N36" s="22">
        <v>14</v>
      </c>
      <c r="O36" s="434">
        <f>IF(I$120=0,0,(SUM(C36:E36,G36,I36:M36)-V36)/(SUM(C$110:E$110,G$110,I$110:M$110)-V$110)*I$120)</f>
        <v>80.18821677006956</v>
      </c>
      <c r="P36" s="433">
        <f>SUM(C36:O36)</f>
        <v>2840.1882167700696</v>
      </c>
      <c r="Q36" s="52"/>
      <c r="R36" s="121">
        <v>260</v>
      </c>
      <c r="S36" s="24">
        <v>2</v>
      </c>
      <c r="T36" s="118">
        <v>90</v>
      </c>
      <c r="U36" s="53"/>
      <c r="V36" s="130">
        <v>256</v>
      </c>
      <c r="W36" s="469">
        <f>SUM(R36:V36)</f>
        <v>608</v>
      </c>
      <c r="X36" s="60"/>
      <c r="Y36" s="1127">
        <f>P36-V36-(IF(AND('[1]Motpart'!$Y$11="",'[1]Motpart'!$Z$11=""),0,IF(AND('[1]Motpart'!$Y$11=0,'[1]Motpart'!$Z$11=0),0,((T36/$T$37)*('[1]Motpart'!$Y$11+'[1]Motpart'!$Z$11)))))</f>
        <v>2582.4078013398025</v>
      </c>
      <c r="Z36" s="1139">
        <f>(P36-W36)*1000000/invanare</f>
        <v>229.00450601933238</v>
      </c>
      <c r="AA36" s="1139">
        <f>Y36*1000000/inv7_15</f>
        <v>2679.1575383652485</v>
      </c>
      <c r="AB36" s="1139">
        <v>2680</v>
      </c>
      <c r="AC36" s="1140">
        <f>IF(ISERROR((AA36-AB36)/AB36)," ",((AA36-AB36)/AB36))</f>
        <v>-0.00031435135625057606</v>
      </c>
      <c r="AD36" s="1130"/>
      <c r="AE36" s="1133"/>
      <c r="AF36" s="193"/>
    </row>
    <row r="37" spans="1:32" ht="12.75">
      <c r="A37" s="670" t="s">
        <v>263</v>
      </c>
      <c r="B37" s="993" t="s">
        <v>78</v>
      </c>
      <c r="C37" s="418">
        <f aca="true" t="shared" si="6" ref="C37:M37">SUM(C33:C36)</f>
        <v>4034</v>
      </c>
      <c r="D37" s="27">
        <f t="shared" si="6"/>
        <v>1540</v>
      </c>
      <c r="E37" s="418">
        <f t="shared" si="6"/>
        <v>833</v>
      </c>
      <c r="F37" s="418">
        <f t="shared" si="6"/>
        <v>231</v>
      </c>
      <c r="G37" s="418">
        <f t="shared" si="6"/>
        <v>1314</v>
      </c>
      <c r="H37" s="27">
        <f t="shared" si="6"/>
        <v>1612</v>
      </c>
      <c r="I37" s="418">
        <f t="shared" si="6"/>
        <v>649</v>
      </c>
      <c r="J37" s="122">
        <f t="shared" si="6"/>
        <v>221</v>
      </c>
      <c r="K37" s="167"/>
      <c r="L37" s="435">
        <f>SUM(L33:L36)</f>
        <v>1254</v>
      </c>
      <c r="M37" s="418">
        <f t="shared" si="6"/>
        <v>890</v>
      </c>
      <c r="N37" s="27">
        <f aca="true" t="shared" si="7" ref="N37:W37">SUM(N33:N36)</f>
        <v>52</v>
      </c>
      <c r="O37" s="27">
        <f t="shared" si="7"/>
        <v>326.33893824027075</v>
      </c>
      <c r="P37" s="122">
        <f t="shared" si="7"/>
        <v>12956.338938240271</v>
      </c>
      <c r="Q37" s="52"/>
      <c r="R37" s="435">
        <f t="shared" si="7"/>
        <v>435</v>
      </c>
      <c r="S37" s="418">
        <f t="shared" si="7"/>
        <v>57</v>
      </c>
      <c r="T37" s="122">
        <f t="shared" si="7"/>
        <v>1011</v>
      </c>
      <c r="U37" s="52"/>
      <c r="V37" s="133">
        <f t="shared" si="7"/>
        <v>862</v>
      </c>
      <c r="W37" s="134">
        <f t="shared" si="7"/>
        <v>2365</v>
      </c>
      <c r="X37" s="60"/>
      <c r="Y37" s="1127">
        <f>P37-V37-SUM('[1]Motpart'!Y11:Z11)</f>
        <v>12074.338938240271</v>
      </c>
      <c r="Z37" s="1141">
        <f>(P37-W37)*1000000/invanare</f>
        <v>1086.5859444167438</v>
      </c>
      <c r="AA37" s="1142">
        <f>Y37*1000000/invanare</f>
        <v>1238.7297824117693</v>
      </c>
      <c r="AB37" s="1142">
        <v>1222</v>
      </c>
      <c r="AC37" s="1143">
        <f>IF(ISERROR((AA37-AB37)/AB37)," ",((AA37-AB37)/AB37))</f>
        <v>0.013690492971987964</v>
      </c>
      <c r="AD37" s="1130"/>
      <c r="AE37" s="1133"/>
      <c r="AF37" s="193"/>
    </row>
    <row r="38" spans="1:32" ht="9" customHeight="1">
      <c r="A38" s="998"/>
      <c r="B38" s="999" t="s">
        <v>79</v>
      </c>
      <c r="C38" s="1057"/>
      <c r="D38" s="1058"/>
      <c r="E38" s="1059"/>
      <c r="F38" s="1059"/>
      <c r="G38" s="1059"/>
      <c r="H38" s="1058"/>
      <c r="I38" s="1059"/>
      <c r="J38" s="1060"/>
      <c r="K38" s="32"/>
      <c r="L38" s="1080"/>
      <c r="M38" s="1059"/>
      <c r="N38" s="1058"/>
      <c r="O38" s="1058"/>
      <c r="P38" s="1060"/>
      <c r="Q38" s="53"/>
      <c r="R38" s="1080"/>
      <c r="S38" s="1059"/>
      <c r="T38" s="1060"/>
      <c r="U38" s="53"/>
      <c r="V38" s="1097"/>
      <c r="W38" s="1098"/>
      <c r="X38" s="32"/>
      <c r="Y38" s="2113"/>
      <c r="Z38" s="1111"/>
      <c r="AA38" s="1112"/>
      <c r="AB38" s="1113"/>
      <c r="AC38" s="1970"/>
      <c r="AD38" s="1122"/>
      <c r="AE38" s="1133"/>
      <c r="AF38" s="193"/>
    </row>
    <row r="39" spans="1:32" ht="11.25" customHeight="1">
      <c r="A39" s="670" t="s">
        <v>264</v>
      </c>
      <c r="B39" s="996" t="s">
        <v>80</v>
      </c>
      <c r="C39" s="21">
        <v>304</v>
      </c>
      <c r="D39" s="22">
        <v>116</v>
      </c>
      <c r="E39" s="21">
        <v>67</v>
      </c>
      <c r="F39" s="21">
        <v>47</v>
      </c>
      <c r="G39" s="21">
        <v>125</v>
      </c>
      <c r="H39" s="22">
        <v>1478</v>
      </c>
      <c r="I39" s="21">
        <v>100</v>
      </c>
      <c r="J39" s="117">
        <v>30</v>
      </c>
      <c r="K39" s="32"/>
      <c r="L39" s="120">
        <v>258</v>
      </c>
      <c r="M39" s="21">
        <v>94</v>
      </c>
      <c r="N39" s="22">
        <v>11</v>
      </c>
      <c r="O39" s="434">
        <f>IF(I$120=0,0,(SUM(C39:E39,G39,I39:M39)-V39)/(SUM(C$110:E$110,G$110,I$110:M$110)-V$110)*I$120)</f>
        <v>33.71474901297236</v>
      </c>
      <c r="P39" s="433">
        <f>SUM(C39:O39)</f>
        <v>2663.7147490129723</v>
      </c>
      <c r="Q39" s="52"/>
      <c r="R39" s="120">
        <v>20</v>
      </c>
      <c r="S39" s="21">
        <v>37</v>
      </c>
      <c r="T39" s="117">
        <v>86</v>
      </c>
      <c r="U39" s="53"/>
      <c r="V39" s="129">
        <v>74</v>
      </c>
      <c r="W39" s="469">
        <f>SUM(R39:V39)</f>
        <v>217</v>
      </c>
      <c r="X39" s="60"/>
      <c r="Y39" s="1177">
        <f>P39-V39-(IF(AND('[1]Motpart'!$Y$12="",'[1]Motpart'!$Z$12=""),0,IF(AND('[1]Motpart'!$Y$12=0,'[1]Motpart'!$Z$12=0),0,((T39/$T$42)*('[1]Motpart'!$Y$12+'[1]Motpart'!$Z$12)))))</f>
        <v>2589.4812648500765</v>
      </c>
      <c r="Z39" s="1111"/>
      <c r="AA39" s="1111"/>
      <c r="AB39" s="1111"/>
      <c r="AC39" s="1971"/>
      <c r="AD39" s="1969"/>
      <c r="AE39" s="1133"/>
      <c r="AF39" s="193"/>
    </row>
    <row r="40" spans="1:32" ht="12.75">
      <c r="A40" s="670" t="s">
        <v>265</v>
      </c>
      <c r="B40" s="993" t="s">
        <v>81</v>
      </c>
      <c r="C40" s="21">
        <v>1586</v>
      </c>
      <c r="D40" s="22">
        <v>589</v>
      </c>
      <c r="E40" s="24">
        <v>1215</v>
      </c>
      <c r="F40" s="24">
        <v>513</v>
      </c>
      <c r="G40" s="24">
        <v>691</v>
      </c>
      <c r="H40" s="25">
        <v>260</v>
      </c>
      <c r="I40" s="24">
        <v>1087</v>
      </c>
      <c r="J40" s="118">
        <v>924</v>
      </c>
      <c r="K40" s="32"/>
      <c r="L40" s="121">
        <v>3573</v>
      </c>
      <c r="M40" s="24">
        <v>836</v>
      </c>
      <c r="N40" s="22">
        <v>38</v>
      </c>
      <c r="O40" s="434">
        <f>IF(I$120=0,0,(SUM(C40:E40,G40,I40:M40)-V40)/(SUM(C$110:E$110,G$110,I$110:M$110)-V$110)*I$120)</f>
        <v>309.25018800526414</v>
      </c>
      <c r="P40" s="433">
        <f>SUM(C40:O40)</f>
        <v>11621.250188005264</v>
      </c>
      <c r="Q40" s="52"/>
      <c r="R40" s="121">
        <v>810</v>
      </c>
      <c r="S40" s="24">
        <v>307</v>
      </c>
      <c r="T40" s="118">
        <v>909</v>
      </c>
      <c r="U40" s="53"/>
      <c r="V40" s="130">
        <v>1145</v>
      </c>
      <c r="W40" s="469">
        <f>SUM(R40:V40)</f>
        <v>3171</v>
      </c>
      <c r="X40" s="60"/>
      <c r="Y40" s="1177">
        <f>P40-V40-(IF(AND('[1]Motpart'!$Y$12="",'[1]Motpart'!$Z$12=""),0,IF(AND('[1]Motpart'!$Y$12=0,'[1]Motpart'!$Z$12=0),0,((T40/$T$42)*('[1]Motpart'!$Y$12+'[1]Motpart'!$Z$12)))))</f>
        <v>10473.782314702097</v>
      </c>
      <c r="Z40" s="1111"/>
      <c r="AA40" s="1111"/>
      <c r="AB40" s="1111"/>
      <c r="AC40" s="1971"/>
      <c r="AD40" s="1125"/>
      <c r="AE40" s="1133"/>
      <c r="AF40" s="193"/>
    </row>
    <row r="41" spans="1:32" ht="12.75">
      <c r="A41" s="670" t="s">
        <v>266</v>
      </c>
      <c r="B41" s="993" t="s">
        <v>82</v>
      </c>
      <c r="C41" s="21">
        <v>996</v>
      </c>
      <c r="D41" s="22">
        <v>372</v>
      </c>
      <c r="E41" s="24">
        <v>133</v>
      </c>
      <c r="F41" s="24">
        <v>149</v>
      </c>
      <c r="G41" s="24">
        <v>157</v>
      </c>
      <c r="H41" s="25">
        <v>85</v>
      </c>
      <c r="I41" s="24">
        <v>103</v>
      </c>
      <c r="J41" s="118">
        <v>18</v>
      </c>
      <c r="K41" s="32"/>
      <c r="L41" s="121">
        <v>250</v>
      </c>
      <c r="M41" s="24">
        <v>212</v>
      </c>
      <c r="N41" s="22">
        <v>9</v>
      </c>
      <c r="O41" s="434">
        <f>IF(I$120=0,0,(SUM(C41:E41,G41,I41:M41)-V41)/(SUM(C$110:E$110,G$110,I$110:M$110)-V$110)*I$120)</f>
        <v>66.37178040985148</v>
      </c>
      <c r="P41" s="433">
        <f>SUM(C41:O41)</f>
        <v>2550.3717804098515</v>
      </c>
      <c r="Q41" s="52"/>
      <c r="R41" s="121">
        <v>32</v>
      </c>
      <c r="S41" s="24">
        <v>8</v>
      </c>
      <c r="T41" s="118">
        <v>110</v>
      </c>
      <c r="U41" s="53"/>
      <c r="V41" s="130">
        <v>233</v>
      </c>
      <c r="W41" s="469">
        <f>SUM(R41:V41)</f>
        <v>383</v>
      </c>
      <c r="X41" s="60"/>
      <c r="Y41" s="1177">
        <f>P41-V41-(IF(AND('[1]Motpart'!$Y$12="",'[1]Motpart'!$Z$12=""),0,IF(AND('[1]Motpart'!$Y$12=0,'[1]Motpart'!$Z$12=0),0,((T41/$T$42)*('[1]Motpart'!$Y$12+'[1]Motpart'!$Z$12)))))</f>
        <v>2317.0731378759147</v>
      </c>
      <c r="Z41" s="1111"/>
      <c r="AA41" s="1111"/>
      <c r="AB41" s="1111"/>
      <c r="AC41" s="1971"/>
      <c r="AD41" s="1969"/>
      <c r="AE41" s="1133"/>
      <c r="AF41" s="193"/>
    </row>
    <row r="42" spans="1:32" ht="12.75">
      <c r="A42" s="670" t="s">
        <v>267</v>
      </c>
      <c r="B42" s="993" t="s">
        <v>83</v>
      </c>
      <c r="C42" s="418">
        <f aca="true" t="shared" si="8" ref="C42:W42">SUM(C39:C41)</f>
        <v>2886</v>
      </c>
      <c r="D42" s="27">
        <f t="shared" si="8"/>
        <v>1077</v>
      </c>
      <c r="E42" s="418">
        <f t="shared" si="8"/>
        <v>1415</v>
      </c>
      <c r="F42" s="418">
        <f t="shared" si="8"/>
        <v>709</v>
      </c>
      <c r="G42" s="418">
        <f t="shared" si="8"/>
        <v>973</v>
      </c>
      <c r="H42" s="27">
        <f t="shared" si="8"/>
        <v>1823</v>
      </c>
      <c r="I42" s="418">
        <f t="shared" si="8"/>
        <v>1290</v>
      </c>
      <c r="J42" s="122">
        <f t="shared" si="8"/>
        <v>972</v>
      </c>
      <c r="K42" s="167"/>
      <c r="L42" s="435">
        <f>SUM(L39:L41)</f>
        <v>4081</v>
      </c>
      <c r="M42" s="418">
        <f t="shared" si="8"/>
        <v>1142</v>
      </c>
      <c r="N42" s="27">
        <f t="shared" si="8"/>
        <v>58</v>
      </c>
      <c r="O42" s="27">
        <f t="shared" si="8"/>
        <v>409.3367174280879</v>
      </c>
      <c r="P42" s="433">
        <f>SUM(C42:O42)</f>
        <v>16835.336717428087</v>
      </c>
      <c r="Q42" s="52"/>
      <c r="R42" s="435">
        <f t="shared" si="8"/>
        <v>862</v>
      </c>
      <c r="S42" s="418">
        <f t="shared" si="8"/>
        <v>352</v>
      </c>
      <c r="T42" s="122">
        <f t="shared" si="8"/>
        <v>1105</v>
      </c>
      <c r="U42" s="52"/>
      <c r="V42" s="133">
        <f t="shared" si="8"/>
        <v>1452</v>
      </c>
      <c r="W42" s="134">
        <f t="shared" si="8"/>
        <v>3771</v>
      </c>
      <c r="X42" s="60"/>
      <c r="Y42" s="1127">
        <f>P42-V42-SUM('[1]Motpart'!Y12:Z12)</f>
        <v>15380.336717428087</v>
      </c>
      <c r="Z42" s="1141">
        <f>(P42-W42)*1000000/invanare</f>
        <v>1340.2955691495886</v>
      </c>
      <c r="AA42" s="1142">
        <f>Y42*1000000/invanare</f>
        <v>1577.8984880952921</v>
      </c>
      <c r="AB42" s="1142">
        <v>1534</v>
      </c>
      <c r="AC42" s="1143">
        <f>IF(ISERROR((AA42-AB42)/AB42)," ",((AA42-AB42)/AB42))</f>
        <v>0.028617006581024854</v>
      </c>
      <c r="AD42" s="1130"/>
      <c r="AE42" s="1133"/>
      <c r="AF42" s="193"/>
    </row>
    <row r="43" spans="1:32" ht="12.75" customHeight="1" thickBot="1">
      <c r="A43" s="674" t="s">
        <v>268</v>
      </c>
      <c r="B43" s="1000" t="s">
        <v>84</v>
      </c>
      <c r="C43" s="440">
        <f>SUM(C37,C42)</f>
        <v>6920</v>
      </c>
      <c r="D43" s="441">
        <f aca="true" t="shared" si="9" ref="D43:P43">SUM(D37,D42)</f>
        <v>2617</v>
      </c>
      <c r="E43" s="440">
        <f t="shared" si="9"/>
        <v>2248</v>
      </c>
      <c r="F43" s="440">
        <f t="shared" si="9"/>
        <v>940</v>
      </c>
      <c r="G43" s="440">
        <f t="shared" si="9"/>
        <v>2287</v>
      </c>
      <c r="H43" s="441">
        <f t="shared" si="9"/>
        <v>3435</v>
      </c>
      <c r="I43" s="440">
        <f t="shared" si="9"/>
        <v>1939</v>
      </c>
      <c r="J43" s="442">
        <f t="shared" si="9"/>
        <v>1193</v>
      </c>
      <c r="K43" s="167"/>
      <c r="L43" s="443">
        <f>SUM(L37,L42)</f>
        <v>5335</v>
      </c>
      <c r="M43" s="440">
        <f t="shared" si="9"/>
        <v>2032</v>
      </c>
      <c r="N43" s="441">
        <f t="shared" si="9"/>
        <v>110</v>
      </c>
      <c r="O43" s="441">
        <f t="shared" si="9"/>
        <v>735.6756556683587</v>
      </c>
      <c r="P43" s="442">
        <f t="shared" si="9"/>
        <v>29791.675655668358</v>
      </c>
      <c r="Q43" s="52"/>
      <c r="R43" s="443">
        <f>SUM(R37,R42)</f>
        <v>1297</v>
      </c>
      <c r="S43" s="440">
        <f>SUM(S37,S42)</f>
        <v>409</v>
      </c>
      <c r="T43" s="442">
        <f>SUM(T37,T42)</f>
        <v>2116</v>
      </c>
      <c r="U43" s="52"/>
      <c r="V43" s="471">
        <f>SUM(V37,V42)</f>
        <v>2314</v>
      </c>
      <c r="W43" s="470">
        <f>SUM(W37,W42)</f>
        <v>6136</v>
      </c>
      <c r="X43" s="60"/>
      <c r="Y43" s="1193">
        <f>Y37+Y42</f>
        <v>27454.675655668358</v>
      </c>
      <c r="Z43" s="1144"/>
      <c r="AA43" s="1145"/>
      <c r="AB43" s="1146"/>
      <c r="AC43" s="1147"/>
      <c r="AD43" s="1122"/>
      <c r="AE43" s="1133"/>
      <c r="AF43" s="193"/>
    </row>
    <row r="44" spans="1:32" ht="11.25" customHeight="1">
      <c r="A44" s="998"/>
      <c r="B44" s="1001" t="s">
        <v>85</v>
      </c>
      <c r="C44" s="1149"/>
      <c r="D44" s="1150"/>
      <c r="E44" s="1151"/>
      <c r="F44" s="1151"/>
      <c r="G44" s="1151"/>
      <c r="H44" s="1150"/>
      <c r="I44" s="1151"/>
      <c r="J44" s="1152"/>
      <c r="K44" s="33"/>
      <c r="L44" s="554"/>
      <c r="M44" s="555"/>
      <c r="N44" s="548"/>
      <c r="O44" s="548"/>
      <c r="P44" s="550"/>
      <c r="Q44" s="233"/>
      <c r="R44" s="554"/>
      <c r="S44" s="549"/>
      <c r="T44" s="550"/>
      <c r="U44" s="233"/>
      <c r="V44" s="558"/>
      <c r="W44" s="559"/>
      <c r="X44" s="33"/>
      <c r="Y44" s="2114"/>
      <c r="Z44" s="1112"/>
      <c r="AA44" s="1112"/>
      <c r="AB44" s="1113"/>
      <c r="AC44" s="1114"/>
      <c r="AD44" s="1122"/>
      <c r="AE44" s="1133"/>
      <c r="AF44" s="193"/>
    </row>
    <row r="45" spans="1:32" ht="18" customHeight="1">
      <c r="A45" s="998"/>
      <c r="B45" s="1002" t="s">
        <v>608</v>
      </c>
      <c r="C45" s="1153"/>
      <c r="D45" s="1154"/>
      <c r="E45" s="1155"/>
      <c r="F45" s="1155"/>
      <c r="G45" s="1155"/>
      <c r="H45" s="1154"/>
      <c r="I45" s="1155"/>
      <c r="J45" s="1156"/>
      <c r="K45" s="33"/>
      <c r="L45" s="556"/>
      <c r="M45" s="557"/>
      <c r="N45" s="551"/>
      <c r="O45" s="551"/>
      <c r="P45" s="553"/>
      <c r="Q45" s="233"/>
      <c r="R45" s="556"/>
      <c r="S45" s="552"/>
      <c r="T45" s="553"/>
      <c r="U45" s="233"/>
      <c r="V45" s="560"/>
      <c r="W45" s="561"/>
      <c r="X45" s="33"/>
      <c r="Y45" s="2114"/>
      <c r="Z45" s="1112"/>
      <c r="AA45" s="1112"/>
      <c r="AB45" s="1113"/>
      <c r="AC45" s="1114"/>
      <c r="AD45" s="1122"/>
      <c r="AE45" s="1133"/>
      <c r="AF45" s="193"/>
    </row>
    <row r="46" spans="1:32" ht="12.75">
      <c r="A46" s="670" t="s">
        <v>269</v>
      </c>
      <c r="B46" s="996" t="s">
        <v>86</v>
      </c>
      <c r="C46" s="21">
        <v>166</v>
      </c>
      <c r="D46" s="22">
        <v>64</v>
      </c>
      <c r="E46" s="21">
        <v>9</v>
      </c>
      <c r="F46" s="21">
        <v>20</v>
      </c>
      <c r="G46" s="21">
        <v>15</v>
      </c>
      <c r="H46" s="22">
        <v>0</v>
      </c>
      <c r="I46" s="21">
        <v>26</v>
      </c>
      <c r="J46" s="117">
        <v>1</v>
      </c>
      <c r="K46" s="32"/>
      <c r="L46" s="120">
        <v>39</v>
      </c>
      <c r="M46" s="21">
        <v>89</v>
      </c>
      <c r="N46" s="22">
        <v>1</v>
      </c>
      <c r="O46" s="434">
        <f>IF(I$120=0,0,(SUM(C46:E46,G46,I46:M46)-V46)/(SUM(C$110:E$110,G$110,I$110:M$110)-V$110)*I$120)</f>
        <v>10.742444538447078</v>
      </c>
      <c r="P46" s="433">
        <f>SUM(C46:O46)</f>
        <v>440.7424445384471</v>
      </c>
      <c r="Q46" s="52"/>
      <c r="R46" s="120">
        <v>1</v>
      </c>
      <c r="S46" s="21">
        <v>3</v>
      </c>
      <c r="T46" s="117">
        <v>11</v>
      </c>
      <c r="U46" s="53"/>
      <c r="V46" s="129">
        <v>84</v>
      </c>
      <c r="W46" s="469">
        <f aca="true" t="shared" si="10" ref="W46:W51">SUM(R46:V46)</f>
        <v>99</v>
      </c>
      <c r="X46" s="60"/>
      <c r="Y46" s="1177">
        <f>P46-V46-(IF(AND('[1]Motpart'!$Y$16="",'[1]Motpart'!$Z$16=""),0,IF(AND('[1]Motpart'!$Y$16=0,'[1]Motpart'!$Z$16=0),0,((T46/($T$46+$T$49))*('[1]Motpart'!$Y$16+'[1]Motpart'!$Z$16)))))</f>
        <v>355.92762972363226</v>
      </c>
      <c r="Z46" s="1973"/>
      <c r="AA46" s="1112"/>
      <c r="AB46" s="1113"/>
      <c r="AC46" s="1114"/>
      <c r="AD46" s="1122"/>
      <c r="AE46" s="1133"/>
      <c r="AF46" s="193"/>
    </row>
    <row r="47" spans="1:32" ht="12.75">
      <c r="A47" s="670" t="s">
        <v>270</v>
      </c>
      <c r="B47" s="993" t="s">
        <v>87</v>
      </c>
      <c r="C47" s="21">
        <v>27737</v>
      </c>
      <c r="D47" s="22">
        <v>10469</v>
      </c>
      <c r="E47" s="24">
        <v>1915</v>
      </c>
      <c r="F47" s="24">
        <v>12752</v>
      </c>
      <c r="G47" s="24">
        <v>1636</v>
      </c>
      <c r="H47" s="25">
        <v>71</v>
      </c>
      <c r="I47" s="24">
        <v>1942</v>
      </c>
      <c r="J47" s="118">
        <v>329</v>
      </c>
      <c r="K47" s="32"/>
      <c r="L47" s="121">
        <v>4091</v>
      </c>
      <c r="M47" s="24">
        <v>10380</v>
      </c>
      <c r="N47" s="22">
        <v>276</v>
      </c>
      <c r="O47" s="434">
        <f>IF(I$120=0,0,(SUM(C47:E47,G47,I47:M47)-V47)/(SUM(C$110:E$110,G$110,I$110:M$110)-V$110)*I$120)</f>
        <v>1671.3591018048505</v>
      </c>
      <c r="P47" s="433">
        <f>SUM(C47:O47)</f>
        <v>73269.35910180485</v>
      </c>
      <c r="Q47" s="52"/>
      <c r="R47" s="121">
        <v>3920</v>
      </c>
      <c r="S47" s="24">
        <v>24</v>
      </c>
      <c r="T47" s="118">
        <v>4624</v>
      </c>
      <c r="U47" s="53"/>
      <c r="V47" s="130">
        <v>7934</v>
      </c>
      <c r="W47" s="469">
        <f t="shared" si="10"/>
        <v>16502</v>
      </c>
      <c r="X47" s="60"/>
      <c r="Y47" s="2115">
        <f>P47-V47-SUM('[1]Motpart'!Y13:Z13)</f>
        <v>65060.35910180485</v>
      </c>
      <c r="Z47" s="1974"/>
      <c r="AA47" s="1099"/>
      <c r="AB47" s="1099"/>
      <c r="AC47" s="1975"/>
      <c r="AD47" s="1969"/>
      <c r="AE47" s="1133"/>
      <c r="AF47" s="193"/>
    </row>
    <row r="48" spans="1:32" ht="12.75">
      <c r="A48" s="670" t="s">
        <v>271</v>
      </c>
      <c r="B48" s="993" t="s">
        <v>88</v>
      </c>
      <c r="C48" s="24">
        <v>662</v>
      </c>
      <c r="D48" s="22">
        <v>252</v>
      </c>
      <c r="E48" s="24">
        <v>12</v>
      </c>
      <c r="F48" s="24">
        <v>623</v>
      </c>
      <c r="G48" s="24">
        <v>86</v>
      </c>
      <c r="H48" s="25">
        <v>135</v>
      </c>
      <c r="I48" s="28">
        <v>8</v>
      </c>
      <c r="J48" s="118">
        <v>2</v>
      </c>
      <c r="K48" s="32"/>
      <c r="L48" s="121">
        <v>16</v>
      </c>
      <c r="M48" s="24">
        <v>218</v>
      </c>
      <c r="N48" s="22">
        <v>5</v>
      </c>
      <c r="O48" s="434">
        <f>IF(I$120=0,0,(SUM(C48:E48,G48,I48:M48)-V48)/(SUM(C$110:E$110,G$110,I$110:M$110)-V$110)*I$120)</f>
        <v>35.23521808610641</v>
      </c>
      <c r="P48" s="433">
        <f>SUM(C48:O48)</f>
        <v>2054.235218086106</v>
      </c>
      <c r="Q48" s="52"/>
      <c r="R48" s="121">
        <v>115</v>
      </c>
      <c r="S48" s="24">
        <v>0</v>
      </c>
      <c r="T48" s="118">
        <v>76</v>
      </c>
      <c r="U48" s="53"/>
      <c r="V48" s="130">
        <v>190</v>
      </c>
      <c r="W48" s="469">
        <f t="shared" si="10"/>
        <v>381</v>
      </c>
      <c r="X48" s="60"/>
      <c r="Y48" s="2116">
        <f>P48-V48-SUM('[1]Motpart'!Y14:Z14)</f>
        <v>1857.2352180861062</v>
      </c>
      <c r="Z48" s="1974"/>
      <c r="AA48" s="1099"/>
      <c r="AB48" s="1099"/>
      <c r="AC48" s="1975"/>
      <c r="AD48" s="1969"/>
      <c r="AE48" s="1157">
        <f>(SUM(I51:L51))*1000/invanare</f>
        <v>0.858591894929445</v>
      </c>
      <c r="AF48" s="193"/>
    </row>
    <row r="49" spans="1:32" ht="12.75">
      <c r="A49" s="670" t="s">
        <v>272</v>
      </c>
      <c r="B49" s="996" t="s">
        <v>89</v>
      </c>
      <c r="C49" s="21">
        <v>102</v>
      </c>
      <c r="D49" s="22">
        <v>41</v>
      </c>
      <c r="E49" s="21">
        <v>10</v>
      </c>
      <c r="F49" s="21">
        <v>51</v>
      </c>
      <c r="G49" s="21">
        <v>6</v>
      </c>
      <c r="H49" s="22">
        <v>0</v>
      </c>
      <c r="I49" s="21">
        <v>3</v>
      </c>
      <c r="J49" s="117">
        <v>0</v>
      </c>
      <c r="K49" s="32"/>
      <c r="L49" s="120">
        <v>6</v>
      </c>
      <c r="M49" s="21">
        <v>65</v>
      </c>
      <c r="N49" s="22">
        <v>0</v>
      </c>
      <c r="O49" s="434">
        <f>IF(I$120=0,0,(SUM(C49:E49,G49,I49:M49)-V49)/(SUM(C$110:E$110,G$110,I$110:M$110)-V$110)*I$120)</f>
        <v>5.718285862004136</v>
      </c>
      <c r="P49" s="433">
        <f>SUM(C49:O49)</f>
        <v>289.7182858620041</v>
      </c>
      <c r="Q49" s="52"/>
      <c r="R49" s="120">
        <v>28</v>
      </c>
      <c r="S49" s="21">
        <v>0</v>
      </c>
      <c r="T49" s="117">
        <v>16</v>
      </c>
      <c r="U49" s="53"/>
      <c r="V49" s="129">
        <v>60</v>
      </c>
      <c r="W49" s="469">
        <f t="shared" si="10"/>
        <v>104</v>
      </c>
      <c r="X49" s="60"/>
      <c r="Y49" s="2116">
        <f>P49-V49-(IF(AND('[1]Motpart'!$Y$16="",'[1]Motpart'!$Z$16=""),0,IF(AND('[1]Motpart'!$Y$16=0,'[1]Motpart'!$Z$16=0),0,((T49/($T$49+$T$46))*('[1]Motpart'!$Y$16+'[1]Motpart'!$Z$16)))))</f>
        <v>228.53310067681892</v>
      </c>
      <c r="Z49" s="1974"/>
      <c r="AA49" s="1099"/>
      <c r="AB49" s="1099"/>
      <c r="AC49" s="1975"/>
      <c r="AD49" s="1969"/>
      <c r="AE49" s="1157">
        <f>(R51)*1000/invanare</f>
        <v>0.6616153818138356</v>
      </c>
      <c r="AF49" s="193"/>
    </row>
    <row r="50" spans="1:32" ht="12.75">
      <c r="A50" s="670" t="s">
        <v>273</v>
      </c>
      <c r="B50" s="993" t="s">
        <v>90</v>
      </c>
      <c r="C50" s="21">
        <v>6949</v>
      </c>
      <c r="D50" s="22">
        <v>2610</v>
      </c>
      <c r="E50" s="24">
        <v>344</v>
      </c>
      <c r="F50" s="24">
        <v>1851</v>
      </c>
      <c r="G50" s="24">
        <v>329</v>
      </c>
      <c r="H50" s="25">
        <v>4</v>
      </c>
      <c r="I50" s="28">
        <v>559</v>
      </c>
      <c r="J50" s="118">
        <v>57</v>
      </c>
      <c r="K50" s="32"/>
      <c r="L50" s="121">
        <v>1290</v>
      </c>
      <c r="M50" s="24">
        <v>3283</v>
      </c>
      <c r="N50" s="22">
        <v>64</v>
      </c>
      <c r="O50" s="434">
        <f>IF(I$120=0,0,(SUM(C50:E50,G50,I50:M50)-V50)/(SUM(C$110:E$110,G$110,I$110:M$110)-V$110)*I$120)</f>
        <v>424.7397302124459</v>
      </c>
      <c r="P50" s="433">
        <f>SUM(C50:O50)</f>
        <v>17764.739730212445</v>
      </c>
      <c r="Q50" s="52"/>
      <c r="R50" s="121">
        <v>2385</v>
      </c>
      <c r="S50" s="24">
        <v>2</v>
      </c>
      <c r="T50" s="118">
        <v>832</v>
      </c>
      <c r="U50" s="53"/>
      <c r="V50" s="130">
        <v>2571</v>
      </c>
      <c r="W50" s="469">
        <f t="shared" si="10"/>
        <v>5790</v>
      </c>
      <c r="X50" s="60"/>
      <c r="Y50" s="2116">
        <f>P50-V50-SUM('[1]Motpart'!Y15:Z15)</f>
        <v>15081.739730212445</v>
      </c>
      <c r="Z50" s="1974"/>
      <c r="AA50" s="1099"/>
      <c r="AB50" s="1099"/>
      <c r="AC50" s="1975"/>
      <c r="AD50" s="1599"/>
      <c r="AE50" s="1133"/>
      <c r="AF50" s="193"/>
    </row>
    <row r="51" spans="1:32" ht="12.75">
      <c r="A51" s="670" t="s">
        <v>274</v>
      </c>
      <c r="B51" s="1004" t="s">
        <v>856</v>
      </c>
      <c r="C51" s="418">
        <f aca="true" t="shared" si="11" ref="C51:M51">SUM(C46:C50)</f>
        <v>35616</v>
      </c>
      <c r="D51" s="27">
        <f t="shared" si="11"/>
        <v>13436</v>
      </c>
      <c r="E51" s="418">
        <f t="shared" si="11"/>
        <v>2290</v>
      </c>
      <c r="F51" s="418">
        <f t="shared" si="11"/>
        <v>15297</v>
      </c>
      <c r="G51" s="418">
        <f t="shared" si="11"/>
        <v>2072</v>
      </c>
      <c r="H51" s="27">
        <f t="shared" si="11"/>
        <v>210</v>
      </c>
      <c r="I51" s="418">
        <f t="shared" si="11"/>
        <v>2538</v>
      </c>
      <c r="J51" s="122">
        <f t="shared" si="11"/>
        <v>389</v>
      </c>
      <c r="K51" s="167"/>
      <c r="L51" s="435">
        <f>SUM(L46:L50)</f>
        <v>5442</v>
      </c>
      <c r="M51" s="418">
        <f t="shared" si="11"/>
        <v>14035</v>
      </c>
      <c r="N51" s="27">
        <f aca="true" t="shared" si="12" ref="N51:V51">SUM(N46:N50)</f>
        <v>346</v>
      </c>
      <c r="O51" s="27">
        <f t="shared" si="12"/>
        <v>2147.794780503854</v>
      </c>
      <c r="P51" s="122">
        <f t="shared" si="12"/>
        <v>93818.79478050386</v>
      </c>
      <c r="Q51" s="52"/>
      <c r="R51" s="435">
        <f t="shared" si="12"/>
        <v>6449</v>
      </c>
      <c r="S51" s="418">
        <f t="shared" si="12"/>
        <v>29</v>
      </c>
      <c r="T51" s="122">
        <f>SUM(T46:T50)</f>
        <v>5559</v>
      </c>
      <c r="U51" s="52"/>
      <c r="V51" s="133">
        <f t="shared" si="12"/>
        <v>10839</v>
      </c>
      <c r="W51" s="469">
        <f t="shared" si="10"/>
        <v>22876</v>
      </c>
      <c r="X51" s="60"/>
      <c r="Y51" s="1127">
        <f>P51-V51-SUM('[1]Motpart'!Y13:Z16)</f>
        <v>82583.79478050386</v>
      </c>
      <c r="Z51" s="1141">
        <f>(P51-W51)*1000000/invanare</f>
        <v>7278.158513822864</v>
      </c>
      <c r="AA51" s="1142">
        <f>Y51*1000000/invanare</f>
        <v>8472.431216520159</v>
      </c>
      <c r="AB51" s="1142">
        <v>8187</v>
      </c>
      <c r="AC51" s="1143">
        <f>IF(ISERROR((AA51-AB51)/AB51)," ",((AA51-AB51)/AB51))</f>
        <v>0.0348639570685427</v>
      </c>
      <c r="AD51" s="1130"/>
      <c r="AE51" s="1138">
        <f>IF(ISERROR(F51/(AA51/1000000*invanare)),"",(F51/(AA51/100000000*invanare)))</f>
        <v>18.52300447158826</v>
      </c>
      <c r="AF51" s="193"/>
    </row>
    <row r="52" spans="1:32" ht="12.75">
      <c r="A52" s="1003"/>
      <c r="B52" s="1001" t="s">
        <v>91</v>
      </c>
      <c r="C52" s="547"/>
      <c r="D52" s="546"/>
      <c r="E52" s="544"/>
      <c r="F52" s="544"/>
      <c r="G52" s="544"/>
      <c r="H52" s="546"/>
      <c r="I52" s="544"/>
      <c r="J52" s="545"/>
      <c r="K52" s="32"/>
      <c r="L52" s="543"/>
      <c r="M52" s="544"/>
      <c r="N52" s="546"/>
      <c r="O52" s="562"/>
      <c r="P52" s="545"/>
      <c r="Q52" s="53"/>
      <c r="R52" s="543"/>
      <c r="S52" s="544"/>
      <c r="T52" s="545"/>
      <c r="U52" s="53"/>
      <c r="V52" s="541"/>
      <c r="W52" s="542"/>
      <c r="X52" s="32"/>
      <c r="Y52" s="2113"/>
      <c r="Z52" s="1132"/>
      <c r="AA52" s="1112"/>
      <c r="AB52" s="1113"/>
      <c r="AC52" s="1114"/>
      <c r="AD52" s="1158"/>
      <c r="AE52" s="1133">
        <f>IF(ISERROR(F51/(AA51/1000000*invanare)),"",(SUM(Motpart!D13:D16,Motpart!F13:F16)/(AA51/100000000*invanare)))</f>
        <v>17.93572218298786</v>
      </c>
      <c r="AF52" s="193"/>
    </row>
    <row r="53" spans="1:32" ht="12.75">
      <c r="A53" s="670" t="s">
        <v>433</v>
      </c>
      <c r="B53" s="985" t="s">
        <v>532</v>
      </c>
      <c r="C53" s="21">
        <v>2466</v>
      </c>
      <c r="D53" s="22">
        <v>938</v>
      </c>
      <c r="E53" s="21">
        <v>168</v>
      </c>
      <c r="F53" s="21">
        <v>717</v>
      </c>
      <c r="G53" s="21">
        <v>264</v>
      </c>
      <c r="H53" s="22">
        <v>2</v>
      </c>
      <c r="I53" s="21">
        <v>245</v>
      </c>
      <c r="J53" s="117">
        <v>33</v>
      </c>
      <c r="K53" s="32"/>
      <c r="L53" s="120">
        <v>610</v>
      </c>
      <c r="M53" s="21">
        <v>1228</v>
      </c>
      <c r="N53" s="22">
        <v>30</v>
      </c>
      <c r="O53" s="434">
        <f>IF(I$120=0,0,(SUM(C53:E53,G53,I53:M53)-V53)/(SUM(C$110:E$110,G$110,I$110:M$110)-V$110)*I$120)</f>
        <v>165.40059221658208</v>
      </c>
      <c r="P53" s="433">
        <f>SUM(C53:O53)</f>
        <v>6866.4005922165825</v>
      </c>
      <c r="Q53" s="52"/>
      <c r="R53" s="120">
        <v>2</v>
      </c>
      <c r="S53" s="21">
        <v>1</v>
      </c>
      <c r="T53" s="117">
        <v>143</v>
      </c>
      <c r="U53" s="53"/>
      <c r="V53" s="129">
        <v>948</v>
      </c>
      <c r="W53" s="469">
        <f>SUM(R53:V53)</f>
        <v>1094</v>
      </c>
      <c r="X53" s="60"/>
      <c r="Y53" s="2116">
        <f>P53-V53-SUM('[1]Motpart'!Y17:Z17)</f>
        <v>5885.4005922165825</v>
      </c>
      <c r="Z53" s="1159" t="s">
        <v>92</v>
      </c>
      <c r="AA53" s="1160"/>
      <c r="AB53" s="1161"/>
      <c r="AC53" s="1114"/>
      <c r="AD53" s="1135"/>
      <c r="AE53" s="1133"/>
      <c r="AF53" s="193"/>
    </row>
    <row r="54" spans="1:32" ht="12.75">
      <c r="A54" s="670" t="s">
        <v>531</v>
      </c>
      <c r="B54" s="983" t="s">
        <v>413</v>
      </c>
      <c r="C54" s="21">
        <v>37236</v>
      </c>
      <c r="D54" s="22">
        <v>14197</v>
      </c>
      <c r="E54" s="24">
        <v>3902</v>
      </c>
      <c r="F54" s="24">
        <v>13286</v>
      </c>
      <c r="G54" s="24">
        <v>6618</v>
      </c>
      <c r="H54" s="25">
        <v>63</v>
      </c>
      <c r="I54" s="24">
        <v>2928</v>
      </c>
      <c r="J54" s="118">
        <v>1001</v>
      </c>
      <c r="K54" s="32"/>
      <c r="L54" s="121">
        <v>8323</v>
      </c>
      <c r="M54" s="24">
        <v>16446</v>
      </c>
      <c r="N54" s="22">
        <v>430</v>
      </c>
      <c r="O54" s="434">
        <f>IF(I$120=0,0,(SUM(C54:E54,G54,I54:M54)-V54)/(SUM(C$110:E$110,G$110,I$110:M$110)-V$110)*I$120)</f>
        <v>2574.947429028013</v>
      </c>
      <c r="P54" s="433">
        <f>SUM(C54:O54)</f>
        <v>107004.94742902802</v>
      </c>
      <c r="Q54" s="52"/>
      <c r="R54" s="121">
        <v>74</v>
      </c>
      <c r="S54" s="24">
        <v>27</v>
      </c>
      <c r="T54" s="118">
        <v>4382</v>
      </c>
      <c r="U54" s="53"/>
      <c r="V54" s="130">
        <v>12749</v>
      </c>
      <c r="W54" s="469">
        <f>SUM(R54:V54)</f>
        <v>17232</v>
      </c>
      <c r="X54" s="60"/>
      <c r="Y54" s="2116">
        <f>P54-V54-SUM('[1]Motpart'!Y18:Z18)</f>
        <v>93086.94742902802</v>
      </c>
      <c r="Z54" s="1162"/>
      <c r="AA54" s="1163"/>
      <c r="AB54" s="1164"/>
      <c r="AC54" s="1114"/>
      <c r="AD54" s="1122"/>
      <c r="AE54" s="1133"/>
      <c r="AF54" s="193"/>
    </row>
    <row r="55" spans="1:32" ht="12.75">
      <c r="A55" s="670" t="s">
        <v>275</v>
      </c>
      <c r="B55" s="1004" t="s">
        <v>680</v>
      </c>
      <c r="C55" s="21">
        <v>1987</v>
      </c>
      <c r="D55" s="22">
        <v>753</v>
      </c>
      <c r="E55" s="24">
        <v>76</v>
      </c>
      <c r="F55" s="24">
        <v>498</v>
      </c>
      <c r="G55" s="24">
        <v>461</v>
      </c>
      <c r="H55" s="25">
        <v>3</v>
      </c>
      <c r="I55" s="24">
        <v>88</v>
      </c>
      <c r="J55" s="118">
        <v>15</v>
      </c>
      <c r="K55" s="32"/>
      <c r="L55" s="121">
        <v>214</v>
      </c>
      <c r="M55" s="24">
        <v>733</v>
      </c>
      <c r="N55" s="22">
        <v>21</v>
      </c>
      <c r="O55" s="434">
        <f>IF(I$120=0,0,(SUM(C55:E55,G55,I55:M55)-V55)/(SUM(C$110:E$110,G$110,I$110:M$110)-V$110)*I$120)</f>
        <v>123.65380005640156</v>
      </c>
      <c r="P55" s="433">
        <f>SUM(C55:O55)</f>
        <v>4972.653800056401</v>
      </c>
      <c r="Q55" s="52"/>
      <c r="R55" s="121">
        <v>8</v>
      </c>
      <c r="S55" s="24">
        <v>0</v>
      </c>
      <c r="T55" s="118">
        <v>305</v>
      </c>
      <c r="U55" s="53"/>
      <c r="V55" s="130">
        <v>586</v>
      </c>
      <c r="W55" s="469">
        <f>SUM(R55:V55)</f>
        <v>899</v>
      </c>
      <c r="X55" s="60"/>
      <c r="Y55" s="2116">
        <f>P55-V55-SUM('[1]Motpart'!Y19:Z19)</f>
        <v>4137.653800056401</v>
      </c>
      <c r="Z55" s="1165" t="s">
        <v>93</v>
      </c>
      <c r="AA55" s="1166"/>
      <c r="AB55" s="1167"/>
      <c r="AC55" s="1114"/>
      <c r="AD55" s="1122"/>
      <c r="AE55" s="1133"/>
      <c r="AF55" s="193"/>
    </row>
    <row r="56" spans="1:32" ht="12.75">
      <c r="A56" s="670" t="s">
        <v>276</v>
      </c>
      <c r="B56" s="993" t="s">
        <v>94</v>
      </c>
      <c r="C56" s="21">
        <v>11277</v>
      </c>
      <c r="D56" s="22">
        <v>4325</v>
      </c>
      <c r="E56" s="24">
        <v>1491</v>
      </c>
      <c r="F56" s="24">
        <v>17265</v>
      </c>
      <c r="G56" s="24">
        <v>3115</v>
      </c>
      <c r="H56" s="25">
        <v>298</v>
      </c>
      <c r="I56" s="24">
        <v>1139</v>
      </c>
      <c r="J56" s="118">
        <v>441</v>
      </c>
      <c r="K56" s="32"/>
      <c r="L56" s="121">
        <v>3034</v>
      </c>
      <c r="M56" s="24">
        <v>4306</v>
      </c>
      <c r="N56" s="22">
        <v>171</v>
      </c>
      <c r="O56" s="434">
        <f>IF(I$120=0,0,(SUM(C56:E56,G56,I56:M56)-V56)/(SUM(C$110:E$110,G$110,I$110:M$110)-V$110)*I$120)</f>
        <v>859.7260998307952</v>
      </c>
      <c r="P56" s="433">
        <f>SUM(C56:O56)</f>
        <v>47721.7260998308</v>
      </c>
      <c r="Q56" s="52"/>
      <c r="R56" s="121">
        <v>90</v>
      </c>
      <c r="S56" s="24">
        <v>56</v>
      </c>
      <c r="T56" s="118">
        <v>8572</v>
      </c>
      <c r="U56" s="53"/>
      <c r="V56" s="130">
        <v>3118</v>
      </c>
      <c r="W56" s="469">
        <f>SUM(R56:V56)</f>
        <v>11836</v>
      </c>
      <c r="X56" s="60"/>
      <c r="Y56" s="2116">
        <f>P56-V56-SUM('[1]Motpart'!Y20:Z20)</f>
        <v>38153.7260998308</v>
      </c>
      <c r="Z56" s="1168"/>
      <c r="AA56" s="1169"/>
      <c r="AB56" s="1170"/>
      <c r="AC56" s="1114"/>
      <c r="AD56" s="1122"/>
      <c r="AE56" s="1133"/>
      <c r="AF56" s="193"/>
    </row>
    <row r="57" spans="1:32" ht="12.75">
      <c r="A57" s="670" t="s">
        <v>277</v>
      </c>
      <c r="B57" s="993" t="s">
        <v>95</v>
      </c>
      <c r="C57" s="21">
        <v>1177</v>
      </c>
      <c r="D57" s="22">
        <v>450</v>
      </c>
      <c r="E57" s="24">
        <v>68</v>
      </c>
      <c r="F57" s="24">
        <v>1011</v>
      </c>
      <c r="G57" s="24">
        <v>283</v>
      </c>
      <c r="H57" s="25">
        <v>3</v>
      </c>
      <c r="I57" s="24">
        <v>55</v>
      </c>
      <c r="J57" s="118">
        <v>9</v>
      </c>
      <c r="K57" s="32"/>
      <c r="L57" s="121">
        <v>218</v>
      </c>
      <c r="M57" s="24">
        <v>325</v>
      </c>
      <c r="N57" s="22">
        <v>13</v>
      </c>
      <c r="O57" s="434">
        <f>IF(I$120=0,0,(SUM(C57:E57,G57,I57:M57)-V57)/(SUM(C$110:E$110,G$110,I$110:M$110)-V$110)*I$120)</f>
        <v>78.30415726640345</v>
      </c>
      <c r="P57" s="433">
        <f>SUM(C57:O57)</f>
        <v>3690.3041572664033</v>
      </c>
      <c r="Q57" s="52"/>
      <c r="R57" s="121">
        <v>7</v>
      </c>
      <c r="S57" s="24">
        <v>1</v>
      </c>
      <c r="T57" s="118">
        <v>652</v>
      </c>
      <c r="U57" s="53"/>
      <c r="V57" s="130">
        <v>216</v>
      </c>
      <c r="W57" s="469">
        <f>SUM(R57:V57)</f>
        <v>876</v>
      </c>
      <c r="X57" s="60"/>
      <c r="Y57" s="1177">
        <f>P57-V57-SUM('[1]Motpart'!Y21:Z21)</f>
        <v>2916.3041572664033</v>
      </c>
      <c r="Z57" s="1025"/>
      <c r="AA57" s="1112"/>
      <c r="AB57" s="1171"/>
      <c r="AC57" s="1114"/>
      <c r="AD57" s="1122"/>
      <c r="AE57" s="1133"/>
      <c r="AF57" s="193"/>
    </row>
    <row r="58" spans="1:32" ht="12.75">
      <c r="A58" s="670" t="s">
        <v>278</v>
      </c>
      <c r="B58" s="993" t="s">
        <v>96</v>
      </c>
      <c r="C58" s="418">
        <f aca="true" t="shared" si="13" ref="C58:J58">SUM(C53:C57)</f>
        <v>54143</v>
      </c>
      <c r="D58" s="27">
        <f t="shared" si="13"/>
        <v>20663</v>
      </c>
      <c r="E58" s="418">
        <f t="shared" si="13"/>
        <v>5705</v>
      </c>
      <c r="F58" s="418">
        <f t="shared" si="13"/>
        <v>32777</v>
      </c>
      <c r="G58" s="418">
        <f t="shared" si="13"/>
        <v>10741</v>
      </c>
      <c r="H58" s="27">
        <f t="shared" si="13"/>
        <v>369</v>
      </c>
      <c r="I58" s="418">
        <f t="shared" si="13"/>
        <v>4455</v>
      </c>
      <c r="J58" s="122">
        <f t="shared" si="13"/>
        <v>1499</v>
      </c>
      <c r="K58" s="167"/>
      <c r="L58" s="435">
        <f>SUM(L53:L57)</f>
        <v>12399</v>
      </c>
      <c r="M58" s="418">
        <f>SUM(M53:M57)</f>
        <v>23038</v>
      </c>
      <c r="N58" s="27">
        <f>SUM(N53:N57)</f>
        <v>665</v>
      </c>
      <c r="O58" s="27">
        <f>SUM(O53:O57)</f>
        <v>3802.032078398195</v>
      </c>
      <c r="P58" s="122">
        <f>SUM(P53:P57)</f>
        <v>170256.0320783982</v>
      </c>
      <c r="Q58" s="52"/>
      <c r="R58" s="435">
        <f>SUM(R53:R57)</f>
        <v>181</v>
      </c>
      <c r="S58" s="418">
        <f>SUM(S53:S57)</f>
        <v>85</v>
      </c>
      <c r="T58" s="122">
        <f>SUM(T53:T57)</f>
        <v>14054</v>
      </c>
      <c r="U58" s="52"/>
      <c r="V58" s="133">
        <f>SUM(V53:V57)</f>
        <v>17617</v>
      </c>
      <c r="W58" s="134">
        <f>SUM(W53:W57)</f>
        <v>31937</v>
      </c>
      <c r="X58" s="60"/>
      <c r="Y58" s="2117">
        <f>P58-V58-SUM('[1]Motpart'!Y17:Z21)</f>
        <v>144180.0320783982</v>
      </c>
      <c r="Z58" s="1112"/>
      <c r="AA58" s="1112"/>
      <c r="AB58" s="1113"/>
      <c r="AC58" s="1114"/>
      <c r="AD58" s="1122"/>
      <c r="AE58" s="1133"/>
      <c r="AF58" s="193"/>
    </row>
    <row r="59" spans="1:32" ht="12.75">
      <c r="A59" s="1005"/>
      <c r="B59" s="1006" t="s">
        <v>97</v>
      </c>
      <c r="C59" s="564"/>
      <c r="D59" s="565"/>
      <c r="E59" s="566"/>
      <c r="F59" s="567"/>
      <c r="G59" s="566"/>
      <c r="H59" s="568"/>
      <c r="I59" s="566"/>
      <c r="J59" s="569"/>
      <c r="K59" s="33"/>
      <c r="L59" s="570"/>
      <c r="M59" s="566"/>
      <c r="N59" s="565"/>
      <c r="O59" s="565"/>
      <c r="P59" s="569"/>
      <c r="Q59" s="233"/>
      <c r="R59" s="570"/>
      <c r="S59" s="566"/>
      <c r="T59" s="569"/>
      <c r="U59" s="233"/>
      <c r="V59" s="571"/>
      <c r="W59" s="572"/>
      <c r="X59" s="33"/>
      <c r="Y59" s="2114"/>
      <c r="Z59" s="1112"/>
      <c r="AA59" s="1112"/>
      <c r="AB59" s="1113"/>
      <c r="AC59" s="1114"/>
      <c r="AD59" s="1158"/>
      <c r="AE59" s="1133"/>
      <c r="AF59" s="193"/>
    </row>
    <row r="60" spans="1:32" ht="12.75">
      <c r="A60" s="679" t="s">
        <v>542</v>
      </c>
      <c r="B60" s="1007" t="s">
        <v>414</v>
      </c>
      <c r="C60" s="563">
        <v>362</v>
      </c>
      <c r="D60" s="22">
        <v>139</v>
      </c>
      <c r="E60" s="21">
        <v>22</v>
      </c>
      <c r="F60" s="21">
        <v>240</v>
      </c>
      <c r="G60" s="21">
        <v>37</v>
      </c>
      <c r="H60" s="22">
        <v>1</v>
      </c>
      <c r="I60" s="21">
        <v>30</v>
      </c>
      <c r="J60" s="117">
        <v>6</v>
      </c>
      <c r="K60" s="32"/>
      <c r="L60" s="120">
        <v>57</v>
      </c>
      <c r="M60" s="21">
        <v>80</v>
      </c>
      <c r="N60" s="22">
        <v>6</v>
      </c>
      <c r="O60" s="434">
        <f>IF(I$120=0,0,(SUM(C60:E60,G60,I60:M60)-V60)/(SUM(C$110:E$110,G$110,I$110:M$110)-V$110)*I$120)</f>
        <v>22.079855235946606</v>
      </c>
      <c r="P60" s="433">
        <f>SUM(C60:O60)</f>
        <v>1002.0798552359466</v>
      </c>
      <c r="Q60" s="52"/>
      <c r="R60" s="120">
        <v>1</v>
      </c>
      <c r="S60" s="21">
        <v>1</v>
      </c>
      <c r="T60" s="117">
        <v>65</v>
      </c>
      <c r="U60" s="53"/>
      <c r="V60" s="129">
        <v>65</v>
      </c>
      <c r="W60" s="469">
        <f aca="true" t="shared" si="14" ref="W60:W66">SUM(R60:V60)</f>
        <v>132</v>
      </c>
      <c r="X60" s="60"/>
      <c r="Y60" s="1177">
        <f>P60-V60-SUM('[1]Motpart'!Y22:Z22)</f>
        <v>910.0798552359466</v>
      </c>
      <c r="Z60" s="1112"/>
      <c r="AA60" s="1112"/>
      <c r="AB60" s="1113"/>
      <c r="AC60" s="1114"/>
      <c r="AD60" s="1122"/>
      <c r="AE60" s="1133"/>
      <c r="AF60" s="193"/>
    </row>
    <row r="61" spans="1:32" ht="12.75">
      <c r="A61" s="672" t="s">
        <v>543</v>
      </c>
      <c r="B61" s="1008" t="s">
        <v>415</v>
      </c>
      <c r="C61" s="23">
        <v>1216</v>
      </c>
      <c r="D61" s="22">
        <v>465</v>
      </c>
      <c r="E61" s="21">
        <v>112</v>
      </c>
      <c r="F61" s="21">
        <v>1614</v>
      </c>
      <c r="G61" s="21">
        <v>212</v>
      </c>
      <c r="H61" s="22">
        <v>12</v>
      </c>
      <c r="I61" s="21">
        <v>103</v>
      </c>
      <c r="J61" s="117">
        <v>17</v>
      </c>
      <c r="K61" s="573"/>
      <c r="L61" s="120">
        <v>180</v>
      </c>
      <c r="M61" s="21">
        <v>433</v>
      </c>
      <c r="N61" s="22">
        <v>14</v>
      </c>
      <c r="O61" s="434">
        <f>IF(I$120=0,0,(SUM(C61:E61,G61,I61:M61)-V61)/(SUM(C$110:E$110,G$110,I$110:M$110)-V$110)*I$120)</f>
        <v>79.7915726640346</v>
      </c>
      <c r="P61" s="433">
        <f>SUM(C61:O61)</f>
        <v>4457.791572664035</v>
      </c>
      <c r="Q61" s="52"/>
      <c r="R61" s="121">
        <v>20</v>
      </c>
      <c r="S61" s="24">
        <v>3</v>
      </c>
      <c r="T61" s="118">
        <v>1458</v>
      </c>
      <c r="U61" s="53"/>
      <c r="V61" s="130">
        <v>324</v>
      </c>
      <c r="W61" s="469">
        <f t="shared" si="14"/>
        <v>1805</v>
      </c>
      <c r="X61" s="60"/>
      <c r="Y61" s="1127">
        <f>P61-V61-SUM('[1]Motpart'!Y23:Z23)</f>
        <v>3867.791572664035</v>
      </c>
      <c r="Z61" s="1111"/>
      <c r="AA61" s="1112"/>
      <c r="AB61" s="1112"/>
      <c r="AC61" s="1112"/>
      <c r="AD61" s="1136"/>
      <c r="AE61" s="1133"/>
      <c r="AF61" s="193"/>
    </row>
    <row r="62" spans="1:32" ht="12.75">
      <c r="A62" s="998"/>
      <c r="B62" s="1001" t="s">
        <v>26</v>
      </c>
      <c r="C62" s="547"/>
      <c r="D62" s="546"/>
      <c r="E62" s="544"/>
      <c r="F62" s="567"/>
      <c r="G62" s="544"/>
      <c r="H62" s="568"/>
      <c r="I62" s="544"/>
      <c r="J62" s="545"/>
      <c r="K62" s="573"/>
      <c r="L62" s="543"/>
      <c r="M62" s="544"/>
      <c r="N62" s="546"/>
      <c r="O62" s="546"/>
      <c r="P62" s="545"/>
      <c r="Q62" s="53"/>
      <c r="R62" s="543"/>
      <c r="S62" s="544"/>
      <c r="T62" s="545"/>
      <c r="U62" s="53"/>
      <c r="V62" s="541"/>
      <c r="W62" s="542"/>
      <c r="X62" s="32"/>
      <c r="Y62" s="2112"/>
      <c r="Z62" s="1112"/>
      <c r="AA62" s="1112"/>
      <c r="AB62" s="1112"/>
      <c r="AC62" s="1976"/>
      <c r="AD62" s="1969"/>
      <c r="AE62" s="1133"/>
      <c r="AF62" s="193"/>
    </row>
    <row r="63" spans="1:32" ht="12.75">
      <c r="A63" s="670" t="s">
        <v>279</v>
      </c>
      <c r="B63" s="1013" t="s">
        <v>1084</v>
      </c>
      <c r="C63" s="21">
        <v>127</v>
      </c>
      <c r="D63" s="22">
        <v>49</v>
      </c>
      <c r="E63" s="21">
        <v>7</v>
      </c>
      <c r="F63" s="21">
        <v>33</v>
      </c>
      <c r="G63" s="21">
        <v>11</v>
      </c>
      <c r="H63" s="22">
        <v>1</v>
      </c>
      <c r="I63" s="21">
        <v>8</v>
      </c>
      <c r="J63" s="117">
        <v>1</v>
      </c>
      <c r="K63" s="32"/>
      <c r="L63" s="120">
        <v>17</v>
      </c>
      <c r="M63" s="21">
        <v>27</v>
      </c>
      <c r="N63" s="22">
        <v>1</v>
      </c>
      <c r="O63" s="434">
        <f>IF(I$120=0,0,(SUM(C63:E63,G63,I63:M63)-V63)/(SUM(C$110:E$110,G$110,I$110:M$110)-V$110)*I$120)</f>
        <v>7.53623801466441</v>
      </c>
      <c r="P63" s="433">
        <f>SUM(C63:O63)</f>
        <v>289.53623801466443</v>
      </c>
      <c r="Q63" s="52"/>
      <c r="R63" s="120">
        <v>0</v>
      </c>
      <c r="S63" s="21">
        <v>0</v>
      </c>
      <c r="T63" s="117">
        <v>33</v>
      </c>
      <c r="U63" s="53"/>
      <c r="V63" s="129">
        <v>19</v>
      </c>
      <c r="W63" s="469">
        <f t="shared" si="14"/>
        <v>52</v>
      </c>
      <c r="X63" s="60"/>
      <c r="Y63" s="1177">
        <f>P63-V63-SUM('[1]Motpart'!Y24:Z24)</f>
        <v>256.53623801466443</v>
      </c>
      <c r="Z63" s="1112"/>
      <c r="AA63" s="1112"/>
      <c r="AB63" s="1112"/>
      <c r="AC63" s="1976"/>
      <c r="AD63" s="1969"/>
      <c r="AE63" s="1133"/>
      <c r="AF63" s="193"/>
    </row>
    <row r="64" spans="1:32" ht="12.75">
      <c r="A64" s="670" t="s">
        <v>280</v>
      </c>
      <c r="B64" s="993" t="s">
        <v>98</v>
      </c>
      <c r="C64" s="21">
        <v>223</v>
      </c>
      <c r="D64" s="22">
        <v>85</v>
      </c>
      <c r="E64" s="24">
        <v>36</v>
      </c>
      <c r="F64" s="24">
        <v>113</v>
      </c>
      <c r="G64" s="24">
        <v>138</v>
      </c>
      <c r="H64" s="25">
        <v>47</v>
      </c>
      <c r="I64" s="24">
        <v>57</v>
      </c>
      <c r="J64" s="118">
        <v>10</v>
      </c>
      <c r="K64" s="32"/>
      <c r="L64" s="121">
        <v>93</v>
      </c>
      <c r="M64" s="24">
        <v>37</v>
      </c>
      <c r="N64" s="22">
        <v>3</v>
      </c>
      <c r="O64" s="434">
        <f>IF(I$120=0,0,(SUM(C64:E64,G64,I64:M64)-V64)/(SUM(C$110:E$110,G$110,I$110:M$110)-V$110)*I$120)</f>
        <v>21.78237215642038</v>
      </c>
      <c r="P64" s="433">
        <f>SUM(C64:O64)</f>
        <v>863.7823721564204</v>
      </c>
      <c r="Q64" s="52"/>
      <c r="R64" s="121">
        <v>8</v>
      </c>
      <c r="S64" s="24">
        <v>10</v>
      </c>
      <c r="T64" s="118">
        <v>470</v>
      </c>
      <c r="U64" s="53"/>
      <c r="V64" s="130">
        <v>20</v>
      </c>
      <c r="W64" s="469">
        <f t="shared" si="14"/>
        <v>508</v>
      </c>
      <c r="X64" s="60"/>
      <c r="Y64" s="1177">
        <f>P64-V64-(IF(AND('[1]Motpart'!$Y$25="",'[1]Motpart'!$Z$25=""),0,IF(AND('[1]Motpart'!$Y$25=0,'[1]Motpart'!$Z$25=0),0,((T64/($T$64+$T$65+$T$66))*('[1]Motpart'!$Y$25+'[1]Motpart'!$Z$25)))))</f>
        <v>808.2330090990955</v>
      </c>
      <c r="Z64" s="1112"/>
      <c r="AA64" s="1112"/>
      <c r="AB64" s="1112"/>
      <c r="AC64" s="1976"/>
      <c r="AD64" s="1969"/>
      <c r="AE64" s="1133"/>
      <c r="AF64" s="193"/>
    </row>
    <row r="65" spans="1:32" ht="12.75">
      <c r="A65" s="670" t="s">
        <v>281</v>
      </c>
      <c r="B65" s="993" t="s">
        <v>103</v>
      </c>
      <c r="C65" s="21">
        <v>947</v>
      </c>
      <c r="D65" s="22">
        <v>358</v>
      </c>
      <c r="E65" s="24">
        <v>62</v>
      </c>
      <c r="F65" s="24">
        <v>806</v>
      </c>
      <c r="G65" s="24">
        <v>88</v>
      </c>
      <c r="H65" s="25">
        <v>40</v>
      </c>
      <c r="I65" s="24">
        <v>67</v>
      </c>
      <c r="J65" s="118">
        <v>7</v>
      </c>
      <c r="K65" s="32"/>
      <c r="L65" s="121">
        <v>117</v>
      </c>
      <c r="M65" s="24">
        <v>207</v>
      </c>
      <c r="N65" s="22">
        <v>15</v>
      </c>
      <c r="O65" s="434">
        <f>IF(I$120=0,0,(SUM(C65:E65,G65,I65:M65)-V65)/(SUM(C$110:E$110,G$110,I$110:M$110)-V$110)*I$120)</f>
        <v>49.679674280879865</v>
      </c>
      <c r="P65" s="433">
        <f>SUM(C65:O65)</f>
        <v>2763.6796742808797</v>
      </c>
      <c r="Q65" s="52"/>
      <c r="R65" s="121">
        <v>5</v>
      </c>
      <c r="S65" s="24">
        <v>1</v>
      </c>
      <c r="T65" s="118">
        <v>571</v>
      </c>
      <c r="U65" s="53"/>
      <c r="V65" s="130">
        <v>350</v>
      </c>
      <c r="W65" s="469">
        <f t="shared" si="14"/>
        <v>927</v>
      </c>
      <c r="X65" s="60"/>
      <c r="Y65" s="1177">
        <f>P65-V65-(IF(AND('[1]Motpart'!$Y$25="",'[1]Motpart'!$Z$25=""),0,IF(AND('[1]Motpart'!$Y$25=0,'[1]Motpart'!$Z$25=0),0,((T65/($T$64+$T$65+$T$66))*('[1]Motpart'!$Y$25+'[1]Motpart'!$Z$25)))))</f>
        <v>2370.4909800133637</v>
      </c>
      <c r="Z65" s="1112"/>
      <c r="AA65" s="1112"/>
      <c r="AB65" s="1112"/>
      <c r="AC65" s="1976"/>
      <c r="AD65" s="1969"/>
      <c r="AE65" s="1133"/>
      <c r="AF65" s="193"/>
    </row>
    <row r="66" spans="1:32" ht="12.75">
      <c r="A66" s="670" t="s">
        <v>282</v>
      </c>
      <c r="B66" s="993" t="s">
        <v>104</v>
      </c>
      <c r="C66" s="21">
        <v>110</v>
      </c>
      <c r="D66" s="22">
        <v>41</v>
      </c>
      <c r="E66" s="24">
        <v>13</v>
      </c>
      <c r="F66" s="24">
        <v>21</v>
      </c>
      <c r="G66" s="24">
        <v>49</v>
      </c>
      <c r="H66" s="25">
        <v>0</v>
      </c>
      <c r="I66" s="24">
        <v>5</v>
      </c>
      <c r="J66" s="118">
        <v>2</v>
      </c>
      <c r="K66" s="32"/>
      <c r="L66" s="121">
        <v>20</v>
      </c>
      <c r="M66" s="24">
        <v>13</v>
      </c>
      <c r="N66" s="22">
        <v>1</v>
      </c>
      <c r="O66" s="434">
        <f>IF(I$120=0,0,(SUM(C66:E66,G66,I66:M66)-V66)/(SUM(C$110:E$110,G$110,I$110:M$110)-V$110)*I$120)</f>
        <v>6.676842451588644</v>
      </c>
      <c r="P66" s="433">
        <f>SUM(C66:O66)</f>
        <v>281.67684245158864</v>
      </c>
      <c r="Q66" s="52"/>
      <c r="R66" s="121">
        <v>5</v>
      </c>
      <c r="S66" s="24">
        <v>0</v>
      </c>
      <c r="T66" s="118">
        <v>215</v>
      </c>
      <c r="U66" s="53"/>
      <c r="V66" s="130">
        <v>51</v>
      </c>
      <c r="W66" s="469">
        <f t="shared" si="14"/>
        <v>271</v>
      </c>
      <c r="X66" s="60"/>
      <c r="Y66" s="1177">
        <f>P66-V66-(IF(AND('[1]Motpart'!$Y$25="",'[1]Motpart'!$Z$25=""),0,IF(AND('[1]Motpart'!$Y$25=0,'[1]Motpart'!$Z$25=0),0,((T66/($T$64+$T$65+$T$66))*('[1]Motpart'!$Y$25+'[1]Motpart'!$Z$25)))))</f>
        <v>214.4148997764294</v>
      </c>
      <c r="Z66" s="1022" t="s">
        <v>105</v>
      </c>
      <c r="AA66" s="1112"/>
      <c r="AB66" s="1113"/>
      <c r="AC66" s="1114"/>
      <c r="AD66" s="1122"/>
      <c r="AE66" s="1133"/>
      <c r="AF66" s="193"/>
    </row>
    <row r="67" spans="1:32" ht="12.75">
      <c r="A67" s="670" t="s">
        <v>283</v>
      </c>
      <c r="B67" s="993" t="s">
        <v>27</v>
      </c>
      <c r="C67" s="418">
        <f>SUM(C58,C60:C61,C63:C66)</f>
        <v>57128</v>
      </c>
      <c r="D67" s="27">
        <f aca="true" t="shared" si="15" ref="D67:J67">SUM(D58,D60:D61,D63:D66)</f>
        <v>21800</v>
      </c>
      <c r="E67" s="605">
        <f t="shared" si="15"/>
        <v>5957</v>
      </c>
      <c r="F67" s="418">
        <f t="shared" si="15"/>
        <v>35604</v>
      </c>
      <c r="G67" s="418">
        <f t="shared" si="15"/>
        <v>11276</v>
      </c>
      <c r="H67" s="418">
        <f t="shared" si="15"/>
        <v>470</v>
      </c>
      <c r="I67" s="418">
        <f t="shared" si="15"/>
        <v>4725</v>
      </c>
      <c r="J67" s="122">
        <f t="shared" si="15"/>
        <v>1542</v>
      </c>
      <c r="K67" s="167"/>
      <c r="L67" s="435">
        <f>SUM(L58,L60:L61,L63:L66)</f>
        <v>12883</v>
      </c>
      <c r="M67" s="418">
        <f>SUM(M58,M60:M61,M63:M66)</f>
        <v>23835</v>
      </c>
      <c r="N67" s="27">
        <f>SUM(N58,N60:N61,N63:N66)</f>
        <v>705</v>
      </c>
      <c r="O67" s="438">
        <f>SUM(O58,O60:O61,O63:O66)</f>
        <v>3989.578633201729</v>
      </c>
      <c r="P67" s="122">
        <f>SUM(P58,P60:P61,P63:P66)</f>
        <v>179914.5786332017</v>
      </c>
      <c r="Q67" s="52"/>
      <c r="R67" s="435">
        <f>SUM(R58,R60:R61,R63:R66)</f>
        <v>220</v>
      </c>
      <c r="S67" s="418">
        <f>SUM(S58,S60:S61,S63:S66)</f>
        <v>100</v>
      </c>
      <c r="T67" s="122">
        <f>SUM(T58,T60:T61,T63:T66)</f>
        <v>16866</v>
      </c>
      <c r="U67" s="52"/>
      <c r="V67" s="133">
        <f>SUM(V58,V60:V61,V63:V66)</f>
        <v>18446</v>
      </c>
      <c r="W67" s="134">
        <f>SUM(W58,W60:W61,W63:W66)</f>
        <v>35632</v>
      </c>
      <c r="X67" s="60"/>
      <c r="Y67" s="1127">
        <f>P67-V67-SUM('[1]Motpart'!Y17:Z25)</f>
        <v>152607.5786332017</v>
      </c>
      <c r="Z67" s="1141">
        <f>(P67-W67)*1000000/invanare</f>
        <v>14802.228772133742</v>
      </c>
      <c r="AA67" s="1142">
        <f>Y67*1000000/invanare</f>
        <v>15656.306621970954</v>
      </c>
      <c r="AB67" s="1142">
        <v>15237</v>
      </c>
      <c r="AC67" s="1173">
        <f>IF(ISERROR((AA67-AB67)/AB67)," ",((AA67-AB67)/AB67))</f>
        <v>0.02751897499317152</v>
      </c>
      <c r="AD67" s="1130"/>
      <c r="AE67" s="1138">
        <f>IF(ISERROR(F67/(AA67/1000000*invanare)),"",(F67/(AA67/100000000*invanare)))</f>
        <v>23.330427177260713</v>
      </c>
      <c r="AF67" s="193"/>
    </row>
    <row r="68" spans="1:32" ht="12.75" customHeight="1" thickBot="1">
      <c r="A68" s="674" t="s">
        <v>284</v>
      </c>
      <c r="B68" s="1000" t="s">
        <v>106</v>
      </c>
      <c r="C68" s="440">
        <f aca="true" t="shared" si="16" ref="C68:J68">SUM(C51,C67)</f>
        <v>92744</v>
      </c>
      <c r="D68" s="441">
        <f t="shared" si="16"/>
        <v>35236</v>
      </c>
      <c r="E68" s="440">
        <f t="shared" si="16"/>
        <v>8247</v>
      </c>
      <c r="F68" s="440">
        <f t="shared" si="16"/>
        <v>50901</v>
      </c>
      <c r="G68" s="440">
        <f t="shared" si="16"/>
        <v>13348</v>
      </c>
      <c r="H68" s="441">
        <f t="shared" si="16"/>
        <v>680</v>
      </c>
      <c r="I68" s="440">
        <f t="shared" si="16"/>
        <v>7263</v>
      </c>
      <c r="J68" s="442">
        <f t="shared" si="16"/>
        <v>1931</v>
      </c>
      <c r="K68" s="167"/>
      <c r="L68" s="443">
        <f>SUM(L51,L67)</f>
        <v>18325</v>
      </c>
      <c r="M68" s="440">
        <f>SUM(M51,M67)</f>
        <v>37870</v>
      </c>
      <c r="N68" s="441">
        <f>SUM(N51,N67)</f>
        <v>1051</v>
      </c>
      <c r="O68" s="441">
        <f>SUM(O51,O67)</f>
        <v>6137.3734137055835</v>
      </c>
      <c r="P68" s="442">
        <f>SUM(P51,P67)</f>
        <v>273733.37341370556</v>
      </c>
      <c r="Q68" s="52"/>
      <c r="R68" s="443">
        <f>SUM(R51,R67)</f>
        <v>6669</v>
      </c>
      <c r="S68" s="440">
        <f>SUM(S51,S67)</f>
        <v>129</v>
      </c>
      <c r="T68" s="442">
        <f>SUM(T51,T67)</f>
        <v>22425</v>
      </c>
      <c r="U68" s="52"/>
      <c r="V68" s="471">
        <f>SUM(V51,V67)</f>
        <v>29285</v>
      </c>
      <c r="W68" s="470">
        <f>SUM(W51,W67)</f>
        <v>58508</v>
      </c>
      <c r="X68" s="60"/>
      <c r="Y68" s="1193">
        <f>SUM(Y51,Y58,Y60:Y61,Y63:Y66)</f>
        <v>235191.3734137056</v>
      </c>
      <c r="Z68" s="1144"/>
      <c r="AA68" s="1145"/>
      <c r="AB68" s="1146"/>
      <c r="AC68" s="1147"/>
      <c r="AD68" s="1122"/>
      <c r="AE68" s="1133">
        <f>IF(ISERROR(F67/(AA67/1000000*invanare)),"",(SUM(Motpart!D17:D25,Motpart!F17:F25)/(AA67/100000000*invanare)))</f>
        <v>15.309200374742783</v>
      </c>
      <c r="AF68" s="193"/>
    </row>
    <row r="69" spans="1:32" ht="12.75">
      <c r="A69" s="998"/>
      <c r="B69" s="1001" t="s">
        <v>107</v>
      </c>
      <c r="C69" s="574"/>
      <c r="D69" s="575"/>
      <c r="E69" s="576"/>
      <c r="F69" s="576"/>
      <c r="G69" s="576"/>
      <c r="H69" s="575"/>
      <c r="I69" s="576"/>
      <c r="J69" s="577"/>
      <c r="K69" s="38"/>
      <c r="L69" s="578"/>
      <c r="M69" s="576"/>
      <c r="N69" s="575"/>
      <c r="O69" s="575"/>
      <c r="P69" s="579"/>
      <c r="Q69" s="54"/>
      <c r="R69" s="578"/>
      <c r="S69" s="576"/>
      <c r="T69" s="577"/>
      <c r="U69" s="54"/>
      <c r="V69" s="580"/>
      <c r="W69" s="581"/>
      <c r="X69" s="38"/>
      <c r="Y69" s="2118"/>
      <c r="Z69" s="1111"/>
      <c r="AA69" s="1112"/>
      <c r="AB69" s="1113"/>
      <c r="AC69" s="1172"/>
      <c r="AD69" s="1136"/>
      <c r="AE69" s="1133"/>
      <c r="AF69" s="193"/>
    </row>
    <row r="70" spans="1:32" ht="12.75">
      <c r="A70" s="670" t="s">
        <v>285</v>
      </c>
      <c r="B70" s="996" t="s">
        <v>108</v>
      </c>
      <c r="C70" s="21">
        <v>81</v>
      </c>
      <c r="D70" s="22">
        <v>32</v>
      </c>
      <c r="E70" s="21">
        <v>8</v>
      </c>
      <c r="F70" s="21">
        <v>335</v>
      </c>
      <c r="G70" s="21">
        <v>41</v>
      </c>
      <c r="H70" s="22">
        <v>0</v>
      </c>
      <c r="I70" s="21">
        <v>4</v>
      </c>
      <c r="J70" s="117">
        <v>3</v>
      </c>
      <c r="K70" s="32"/>
      <c r="L70" s="120">
        <v>15</v>
      </c>
      <c r="M70" s="21">
        <v>106</v>
      </c>
      <c r="N70" s="22">
        <v>3</v>
      </c>
      <c r="O70" s="434">
        <f>IF(I$120=0,0,(SUM(C70:E70,G70,I70:M70)-V70)/(SUM(C$110:E$110,G$110,I$110:M$110)-V$110)*I$120)</f>
        <v>6.280198345553676</v>
      </c>
      <c r="P70" s="433">
        <f>SUM(C70:O70)</f>
        <v>634.2801983455537</v>
      </c>
      <c r="Q70" s="52"/>
      <c r="R70" s="120">
        <v>15</v>
      </c>
      <c r="S70" s="21">
        <v>1</v>
      </c>
      <c r="T70" s="117">
        <v>303</v>
      </c>
      <c r="U70" s="53"/>
      <c r="V70" s="129">
        <v>100</v>
      </c>
      <c r="W70" s="469">
        <f>SUM(R70:V70)</f>
        <v>419</v>
      </c>
      <c r="X70" s="60"/>
      <c r="Y70" s="1177">
        <f>P70-V70-(IF(AND('[1]Motpart'!$Y$26="",'[1]Motpart'!$Z$26=""),0,IF(AND('[1]Motpart'!$Y$26=0,'[1]Motpart'!$Z$26=0),0,((T70/($T$70+$T$71))*('[1]Motpart'!$Y$26+'[1]Motpart'!$Z$26)))))</f>
        <v>516.2194344566648</v>
      </c>
      <c r="Z70" s="1112"/>
      <c r="AA70" s="1112"/>
      <c r="AB70" s="1112"/>
      <c r="AC70" s="1976"/>
      <c r="AD70" s="1969"/>
      <c r="AE70" s="1133"/>
      <c r="AF70" s="193"/>
    </row>
    <row r="71" spans="1:32" ht="12.75">
      <c r="A71" s="670" t="s">
        <v>286</v>
      </c>
      <c r="B71" s="996" t="s">
        <v>109</v>
      </c>
      <c r="C71" s="24">
        <v>565</v>
      </c>
      <c r="D71" s="22">
        <v>223</v>
      </c>
      <c r="E71" s="24">
        <v>384</v>
      </c>
      <c r="F71" s="24">
        <v>1130</v>
      </c>
      <c r="G71" s="24">
        <v>172</v>
      </c>
      <c r="H71" s="25">
        <v>0</v>
      </c>
      <c r="I71" s="24">
        <v>4</v>
      </c>
      <c r="J71" s="118">
        <v>29</v>
      </c>
      <c r="K71" s="32"/>
      <c r="L71" s="121">
        <v>105</v>
      </c>
      <c r="M71" s="24">
        <v>175</v>
      </c>
      <c r="N71" s="22">
        <v>7</v>
      </c>
      <c r="O71" s="434">
        <f>IF(I$120=0,0,(SUM(C71:E71,G71,I71:M71)-V71)/(SUM(C$110:E$110,G$110,I$110:M$110)-V$110)*I$120)</f>
        <v>51.23319702951682</v>
      </c>
      <c r="P71" s="433">
        <f>SUM(C71:O71)</f>
        <v>2845.2331970295168</v>
      </c>
      <c r="Q71" s="52"/>
      <c r="R71" s="121">
        <v>57</v>
      </c>
      <c r="S71" s="24">
        <v>1</v>
      </c>
      <c r="T71" s="118">
        <v>1425</v>
      </c>
      <c r="U71" s="53"/>
      <c r="V71" s="130">
        <v>107</v>
      </c>
      <c r="W71" s="1148">
        <f>SUM(R71:V71)</f>
        <v>1590</v>
      </c>
      <c r="X71" s="60"/>
      <c r="Y71" s="1177">
        <f>P71-V71-(IF(AND('[1]Motpart'!$Y$26="",'[1]Motpart'!$Z$26=""),0,IF(AND('[1]Motpart'!$Y$26=0,'[1]Motpart'!$Z$26=0),0,((T71/($T$70+$T$71))*('[1]Motpart'!$Y$26+'[1]Motpart'!$Z$26)))))</f>
        <v>2653.2939609184054</v>
      </c>
      <c r="Z71" s="1112"/>
      <c r="AA71" s="1112"/>
      <c r="AB71" s="1112"/>
      <c r="AC71" s="1976"/>
      <c r="AD71" s="1969"/>
      <c r="AE71" s="1133"/>
      <c r="AF71" s="193"/>
    </row>
    <row r="72" spans="1:32" ht="18">
      <c r="A72" s="1009"/>
      <c r="B72" s="1010" t="s">
        <v>110</v>
      </c>
      <c r="C72" s="547"/>
      <c r="D72" s="546"/>
      <c r="E72" s="544"/>
      <c r="F72" s="544"/>
      <c r="G72" s="544"/>
      <c r="H72" s="546"/>
      <c r="I72" s="544"/>
      <c r="J72" s="545"/>
      <c r="K72" s="32"/>
      <c r="L72" s="543"/>
      <c r="M72" s="544"/>
      <c r="N72" s="546"/>
      <c r="O72" s="546"/>
      <c r="P72" s="545"/>
      <c r="Q72" s="53"/>
      <c r="R72" s="543"/>
      <c r="S72" s="544"/>
      <c r="T72" s="545"/>
      <c r="U72" s="53"/>
      <c r="V72" s="541"/>
      <c r="W72" s="542"/>
      <c r="X72" s="32"/>
      <c r="Y72" s="1127"/>
      <c r="Z72" s="1112"/>
      <c r="AA72" s="1112"/>
      <c r="AB72" s="1112"/>
      <c r="AC72" s="1976"/>
      <c r="AD72" s="1969"/>
      <c r="AE72" s="1174">
        <f>IF(ISERROR((F73+F74)/((AA73+AA74)/1000*invanare)),"",((F73+F74)/((AA73+AA74)/100000*invanare)))</f>
        <v>0.017620968182430828</v>
      </c>
      <c r="AF72" s="193"/>
    </row>
    <row r="73" spans="1:32" ht="12.75">
      <c r="A73" s="670" t="s">
        <v>476</v>
      </c>
      <c r="B73" s="1004" t="s">
        <v>545</v>
      </c>
      <c r="C73" s="21">
        <v>48222</v>
      </c>
      <c r="D73" s="22">
        <v>18056</v>
      </c>
      <c r="E73" s="21">
        <v>3513</v>
      </c>
      <c r="F73" s="21">
        <v>18497</v>
      </c>
      <c r="G73" s="21">
        <v>3867</v>
      </c>
      <c r="H73" s="22">
        <v>1077</v>
      </c>
      <c r="I73" s="21">
        <v>4258</v>
      </c>
      <c r="J73" s="117">
        <v>524</v>
      </c>
      <c r="K73" s="32"/>
      <c r="L73" s="120">
        <v>5261</v>
      </c>
      <c r="M73" s="21">
        <v>14267</v>
      </c>
      <c r="N73" s="22">
        <v>420</v>
      </c>
      <c r="O73" s="434">
        <f>IF(I$120=0,0,(SUM(C73:E73,G73,I73:M73)-V73)/(SUM(C$110:E$110,G$110,I$110:M$110)-V$110)*I$120)</f>
        <v>2865.985041831171</v>
      </c>
      <c r="P73" s="433">
        <f>SUM(C73:O73)</f>
        <v>120827.98504183117</v>
      </c>
      <c r="Q73" s="52"/>
      <c r="R73" s="120">
        <v>4246</v>
      </c>
      <c r="S73" s="21">
        <v>4068</v>
      </c>
      <c r="T73" s="117">
        <v>5723</v>
      </c>
      <c r="U73" s="53"/>
      <c r="V73" s="129">
        <v>11261</v>
      </c>
      <c r="W73" s="469">
        <f>SUM(R73:V73)</f>
        <v>25298</v>
      </c>
      <c r="X73" s="60"/>
      <c r="Y73" s="1127">
        <f>P73-V73-SUM('[1]Motpart'!Y27:Z27)</f>
        <v>109236.98504183117</v>
      </c>
      <c r="Z73" s="1141">
        <f>(P73-W73)*1000000/invanare</f>
        <v>9800.605912253239</v>
      </c>
      <c r="AA73" s="1142">
        <f>Y73*1000000/invanare</f>
        <v>11206.833550417643</v>
      </c>
      <c r="AB73" s="1175">
        <v>10880.955660258427</v>
      </c>
      <c r="AC73" s="1143">
        <f>IF(ISERROR((AA73-AB73)/AB73)," ",((AA73-AB73)/AB73))</f>
        <v>0.029949381316702852</v>
      </c>
      <c r="AD73" s="1176"/>
      <c r="AE73" s="1138"/>
      <c r="AF73" s="193"/>
    </row>
    <row r="74" spans="1:32" ht="18.75">
      <c r="A74" s="670" t="s">
        <v>475</v>
      </c>
      <c r="B74" s="1011" t="s">
        <v>409</v>
      </c>
      <c r="C74" s="21">
        <v>4745</v>
      </c>
      <c r="D74" s="22">
        <v>1780</v>
      </c>
      <c r="E74" s="21">
        <v>261</v>
      </c>
      <c r="F74" s="21">
        <v>2890</v>
      </c>
      <c r="G74" s="21">
        <v>512</v>
      </c>
      <c r="H74" s="22">
        <v>467</v>
      </c>
      <c r="I74" s="21">
        <v>357</v>
      </c>
      <c r="J74" s="117">
        <v>29</v>
      </c>
      <c r="K74" s="32"/>
      <c r="L74" s="120">
        <v>380</v>
      </c>
      <c r="M74" s="21">
        <v>1532</v>
      </c>
      <c r="N74" s="22">
        <v>59</v>
      </c>
      <c r="O74" s="434">
        <f>IF(I$120=0,0,(SUM(C74:E74,G74,I74:M74)-V74)/(SUM(C$110:E$110,G$110,I$110:M$110)-V$110)*I$120)</f>
        <v>280.46043664222594</v>
      </c>
      <c r="P74" s="433">
        <f>SUM(C74:O74)</f>
        <v>13292.460436642226</v>
      </c>
      <c r="Q74" s="52"/>
      <c r="R74" s="120">
        <v>227</v>
      </c>
      <c r="S74" s="21">
        <v>297</v>
      </c>
      <c r="T74" s="117">
        <v>669</v>
      </c>
      <c r="U74" s="53"/>
      <c r="V74" s="129">
        <v>1111</v>
      </c>
      <c r="W74" s="469">
        <f>SUM(R74:V74)</f>
        <v>2304</v>
      </c>
      <c r="X74" s="60"/>
      <c r="Y74" s="1127">
        <f>P74-V74-SUM('[1]Motpart'!Y28:Z28)</f>
        <v>12135.460436642226</v>
      </c>
      <c r="Z74" s="1141">
        <f>(P74-W74)*1000000/invanare</f>
        <v>1127.327406936777</v>
      </c>
      <c r="AA74" s="1142">
        <f>Y74*1000000/invanare</f>
        <v>1245.0003551365705</v>
      </c>
      <c r="AB74" s="1175">
        <v>1229.9053259555537</v>
      </c>
      <c r="AC74" s="1143">
        <f>IF(ISERROR((AA74-AB74)/AB74)," ",((AA74-AB74)/AB74))</f>
        <v>0.012273326135317753</v>
      </c>
      <c r="AD74" s="1176"/>
      <c r="AE74" s="1157">
        <f>(Y77-Y76)*1000/invanare</f>
        <v>17.854971397276724</v>
      </c>
      <c r="AF74" s="193"/>
    </row>
    <row r="75" spans="1:32" ht="12.75">
      <c r="A75" s="670" t="s">
        <v>287</v>
      </c>
      <c r="B75" s="1004" t="s">
        <v>410</v>
      </c>
      <c r="C75" s="21">
        <v>22558</v>
      </c>
      <c r="D75" s="22">
        <v>8388</v>
      </c>
      <c r="E75" s="24">
        <v>760</v>
      </c>
      <c r="F75" s="21">
        <v>9278</v>
      </c>
      <c r="G75" s="24">
        <v>1387</v>
      </c>
      <c r="H75" s="25">
        <v>5051</v>
      </c>
      <c r="I75" s="24">
        <v>1368</v>
      </c>
      <c r="J75" s="118">
        <v>101</v>
      </c>
      <c r="K75" s="32"/>
      <c r="L75" s="121">
        <v>1638</v>
      </c>
      <c r="M75" s="21">
        <v>4556</v>
      </c>
      <c r="N75" s="25">
        <v>211</v>
      </c>
      <c r="O75" s="444">
        <f>IF(I$120=0,0,(SUM(C75:E75,G75,I75:M75)-V75)/(SUM(C$110:E$110,G$110,I$110:M$110)-V$110)*I$120)</f>
        <v>1229.2992456288775</v>
      </c>
      <c r="P75" s="433">
        <f>SUM(C75:O75)</f>
        <v>56525.29924562888</v>
      </c>
      <c r="Q75" s="52"/>
      <c r="R75" s="121">
        <v>159</v>
      </c>
      <c r="S75" s="24">
        <v>1025</v>
      </c>
      <c r="T75" s="118">
        <v>9415</v>
      </c>
      <c r="U75" s="53"/>
      <c r="V75" s="130">
        <v>3565</v>
      </c>
      <c r="W75" s="469">
        <f>SUM(R75:V75)</f>
        <v>14164</v>
      </c>
      <c r="X75" s="60"/>
      <c r="Y75" s="1127">
        <f>P75-V75-SUM('[1]Motpart'!Y29:Z29)</f>
        <v>52666.29924562888</v>
      </c>
      <c r="Z75" s="1141">
        <f>(P75-W75)*1000000/invanare</f>
        <v>4345.927612734827</v>
      </c>
      <c r="AA75" s="1142">
        <f>Y75*1000000/invanare</f>
        <v>5403.137491722511</v>
      </c>
      <c r="AB75" s="1175">
        <v>4476.824300132633</v>
      </c>
      <c r="AC75" s="1143">
        <f>IF(ISERROR((AA75-AB75)/AB75)," ",((AA75-AB75)/AB75))</f>
        <v>0.20691301009120125</v>
      </c>
      <c r="AD75" s="1130"/>
      <c r="AE75" s="1133"/>
      <c r="AF75" s="193"/>
    </row>
    <row r="76" spans="1:32" ht="12.75">
      <c r="A76" s="670" t="s">
        <v>288</v>
      </c>
      <c r="B76" s="993" t="s">
        <v>111</v>
      </c>
      <c r="C76" s="24">
        <v>94</v>
      </c>
      <c r="D76" s="22">
        <v>35</v>
      </c>
      <c r="E76" s="24">
        <v>3</v>
      </c>
      <c r="F76" s="24">
        <v>1469</v>
      </c>
      <c r="G76" s="24">
        <v>268</v>
      </c>
      <c r="H76" s="25">
        <v>63</v>
      </c>
      <c r="I76" s="24">
        <v>5</v>
      </c>
      <c r="J76" s="118">
        <v>1</v>
      </c>
      <c r="K76" s="32"/>
      <c r="L76" s="121">
        <v>3</v>
      </c>
      <c r="M76" s="24">
        <v>65</v>
      </c>
      <c r="N76" s="22">
        <v>4</v>
      </c>
      <c r="O76" s="434">
        <f>IF(I$120=0,0,(SUM(C76:E76,G76,I76:M76)-V76)/(SUM(C$110:E$110,G$110,I$110:M$110)-V$110)*I$120)</f>
        <v>12.130698909569468</v>
      </c>
      <c r="P76" s="433">
        <f>SUM(C76:O76)</f>
        <v>2022.1306989095694</v>
      </c>
      <c r="Q76" s="52"/>
      <c r="R76" s="121">
        <v>122</v>
      </c>
      <c r="S76" s="24">
        <v>0</v>
      </c>
      <c r="T76" s="118">
        <v>78</v>
      </c>
      <c r="U76" s="53"/>
      <c r="V76" s="130">
        <v>107</v>
      </c>
      <c r="W76" s="469">
        <f>SUM(R76:V76)</f>
        <v>307</v>
      </c>
      <c r="X76" s="60"/>
      <c r="Y76" s="1177">
        <f>P76-V76-SUM('[1]Motpart'!Y30:Z30)</f>
        <v>1878.1306989095694</v>
      </c>
      <c r="Z76" s="1141">
        <f>(P76-W76)*1000000/invanare</f>
        <v>175.95857531705468</v>
      </c>
      <c r="AA76" s="1142">
        <f>Y76*1000000/invanare</f>
        <v>192.6810605450986</v>
      </c>
      <c r="AB76" s="1178">
        <v>202.2745841380188</v>
      </c>
      <c r="AC76" s="1179"/>
      <c r="AD76" s="1176"/>
      <c r="AE76" s="1157"/>
      <c r="AF76" s="193"/>
    </row>
    <row r="77" spans="1:32" ht="12.75">
      <c r="A77" s="670" t="s">
        <v>560</v>
      </c>
      <c r="B77" s="993" t="s">
        <v>113</v>
      </c>
      <c r="C77" s="418">
        <f aca="true" t="shared" si="17" ref="C77:J77">SUM(C73:C76)</f>
        <v>75619</v>
      </c>
      <c r="D77" s="27">
        <f t="shared" si="17"/>
        <v>28259</v>
      </c>
      <c r="E77" s="418">
        <f t="shared" si="17"/>
        <v>4537</v>
      </c>
      <c r="F77" s="418">
        <f t="shared" si="17"/>
        <v>32134</v>
      </c>
      <c r="G77" s="418">
        <f t="shared" si="17"/>
        <v>6034</v>
      </c>
      <c r="H77" s="27">
        <f t="shared" si="17"/>
        <v>6658</v>
      </c>
      <c r="I77" s="418">
        <f t="shared" si="17"/>
        <v>5988</v>
      </c>
      <c r="J77" s="122">
        <f t="shared" si="17"/>
        <v>655</v>
      </c>
      <c r="K77" s="167"/>
      <c r="L77" s="435">
        <f>SUM(L73:L76)</f>
        <v>7282</v>
      </c>
      <c r="M77" s="418">
        <f>SUM(M73:M76)</f>
        <v>20420</v>
      </c>
      <c r="N77" s="27">
        <f>SUM(N73:N76)</f>
        <v>694</v>
      </c>
      <c r="O77" s="27">
        <f>SUM(O73:O76)</f>
        <v>4387.875423011844</v>
      </c>
      <c r="P77" s="122">
        <f>SUM(P73:P76)</f>
        <v>192667.87542301184</v>
      </c>
      <c r="Q77" s="52"/>
      <c r="R77" s="435">
        <f>SUM(R73:R76)</f>
        <v>4754</v>
      </c>
      <c r="S77" s="418">
        <f>SUM(S73:S76)</f>
        <v>5390</v>
      </c>
      <c r="T77" s="122">
        <f>SUM(T73:T76)</f>
        <v>15885</v>
      </c>
      <c r="U77" s="52"/>
      <c r="V77" s="133">
        <f>SUM(V73:V76)</f>
        <v>16044</v>
      </c>
      <c r="W77" s="134">
        <f>SUM(W73:W76)</f>
        <v>42073</v>
      </c>
      <c r="X77" s="60"/>
      <c r="Y77" s="1177">
        <f>P77-V77-SUM('[1]Motpart'!Y27:Z30)</f>
        <v>175916.87542301184</v>
      </c>
      <c r="Z77" s="1141">
        <f>(P77-W77)*1000000/invanare</f>
        <v>15449.819507241897</v>
      </c>
      <c r="AA77" s="1142">
        <f>Y77*1000000/invanare</f>
        <v>18047.652457821823</v>
      </c>
      <c r="AB77" s="1139">
        <v>17619.31319262582</v>
      </c>
      <c r="AC77" s="1140">
        <f aca="true" t="shared" si="18" ref="AC77:AC84">IF(ISERROR((AA77-AB77)/AB77)," ",((AA77-AB77)/AB77))</f>
        <v>0.024310781045385706</v>
      </c>
      <c r="AD77" s="1130"/>
      <c r="AE77" s="1138">
        <f>IF(ISERROR(F77/(AA77/1000000*invanare)),"",(F77/(AA77/100000000*invanare)))</f>
        <v>18.26658182890652</v>
      </c>
      <c r="AF77" s="193"/>
    </row>
    <row r="78" spans="1:32" ht="12.75">
      <c r="A78" s="1009"/>
      <c r="B78" s="1012" t="s">
        <v>114</v>
      </c>
      <c r="C78" s="547"/>
      <c r="D78" s="546"/>
      <c r="E78" s="544"/>
      <c r="F78" s="544"/>
      <c r="G78" s="544"/>
      <c r="H78" s="546"/>
      <c r="I78" s="544"/>
      <c r="J78" s="545"/>
      <c r="K78" s="32"/>
      <c r="L78" s="543"/>
      <c r="M78" s="544"/>
      <c r="N78" s="546"/>
      <c r="O78" s="546"/>
      <c r="P78" s="545"/>
      <c r="Q78" s="53"/>
      <c r="R78" s="543"/>
      <c r="S78" s="544"/>
      <c r="T78" s="545"/>
      <c r="U78" s="53"/>
      <c r="V78" s="541"/>
      <c r="W78" s="542"/>
      <c r="X78" s="32"/>
      <c r="Y78" s="1127"/>
      <c r="Z78" s="1180"/>
      <c r="AA78" s="1181">
        <f>IF(W75&lt;1,"",IF(W75&lt;1,"",IF('Verks int o kostn'!I41&lt;1,"",IF('Verks int o kostn'!D20&lt;1,"",((Drift!C75*1.3846)+0.85*(Drift!F75+Drift!M75+Drift!N75+Drift!O75)-0.85*(Drift!V75+'Verks int o kostn'!D20+'Äldre o personer funktionsn'!H30)+(0.85*0.2*(('Verks int o kostn'!I41/0.2)-'Verks int o kostn'!D20)))))))</f>
        <v>37138.16115878455</v>
      </c>
      <c r="AB78" s="1181">
        <v>35578.585097673254</v>
      </c>
      <c r="AC78" s="1182">
        <f t="shared" si="18"/>
        <v>0.043834684736051656</v>
      </c>
      <c r="AD78" s="1183"/>
      <c r="AE78" s="1133">
        <f>IF(ISERROR(F77/(AA77/1000000*invanare)),"",(SUM(Motpart!D27:D30,Motpart!F27:F30)/(AA77/100000000*invanare)))</f>
        <v>16.875583953281506</v>
      </c>
      <c r="AF78" s="193"/>
    </row>
    <row r="79" spans="1:32" ht="12.75">
      <c r="A79" s="670" t="s">
        <v>481</v>
      </c>
      <c r="B79" s="1013" t="s">
        <v>230</v>
      </c>
      <c r="C79" s="21">
        <v>1912</v>
      </c>
      <c r="D79" s="22">
        <v>724</v>
      </c>
      <c r="E79" s="21">
        <v>123</v>
      </c>
      <c r="F79" s="21">
        <v>2513</v>
      </c>
      <c r="G79" s="21">
        <v>364</v>
      </c>
      <c r="H79" s="22">
        <v>141</v>
      </c>
      <c r="I79" s="21">
        <v>416</v>
      </c>
      <c r="J79" s="117">
        <v>13</v>
      </c>
      <c r="K79" s="32"/>
      <c r="L79" s="120">
        <v>267</v>
      </c>
      <c r="M79" s="21">
        <v>459</v>
      </c>
      <c r="N79" s="22">
        <v>15</v>
      </c>
      <c r="O79" s="434">
        <f aca="true" t="shared" si="19" ref="O79:O84">IF(I$120=0,0,(SUM(C79:E79,G79,I79:M79)-V79)/(SUM(C$110:E$110,G$110,I$110:M$110)-V$110)*I$120)</f>
        <v>127.48802641473962</v>
      </c>
      <c r="P79" s="433">
        <f>SUM(C79:O79)</f>
        <v>7074.48802641474</v>
      </c>
      <c r="Q79" s="52"/>
      <c r="R79" s="120">
        <v>45</v>
      </c>
      <c r="S79" s="21">
        <v>339</v>
      </c>
      <c r="T79" s="117">
        <v>356</v>
      </c>
      <c r="U79" s="53"/>
      <c r="V79" s="129">
        <v>421</v>
      </c>
      <c r="W79" s="469">
        <f>SUM(R79:V79)</f>
        <v>1161</v>
      </c>
      <c r="X79" s="60"/>
      <c r="Y79" s="1177">
        <f>P79-V79-SUM('[1]Motpart'!Y31:Z31)</f>
        <v>6581.48802641474</v>
      </c>
      <c r="Z79" s="1141">
        <f>(P79-W79)*1000000/invanare</f>
        <v>606.6761728094175</v>
      </c>
      <c r="AA79" s="1142">
        <f>Y79*1000000/invanare</f>
        <v>675.2075846642232</v>
      </c>
      <c r="AB79" s="1184">
        <v>638.9672138091081</v>
      </c>
      <c r="AC79" s="1140">
        <f t="shared" si="18"/>
        <v>0.056717105466293806</v>
      </c>
      <c r="AD79" s="1176"/>
      <c r="AE79" s="1157">
        <f>F85-F76-F71-F70</f>
        <v>39947</v>
      </c>
      <c r="AF79" s="193"/>
    </row>
    <row r="80" spans="1:32" ht="12.75">
      <c r="A80" s="670" t="s">
        <v>480</v>
      </c>
      <c r="B80" s="1013" t="s">
        <v>115</v>
      </c>
      <c r="C80" s="21">
        <v>6082</v>
      </c>
      <c r="D80" s="22">
        <v>2199</v>
      </c>
      <c r="E80" s="21">
        <v>149</v>
      </c>
      <c r="F80" s="21">
        <v>6207</v>
      </c>
      <c r="G80" s="21">
        <v>1585</v>
      </c>
      <c r="H80" s="22">
        <v>245</v>
      </c>
      <c r="I80" s="21">
        <v>240</v>
      </c>
      <c r="J80" s="117">
        <v>25</v>
      </c>
      <c r="K80" s="32"/>
      <c r="L80" s="120">
        <v>288</v>
      </c>
      <c r="M80" s="21">
        <v>969</v>
      </c>
      <c r="N80" s="22">
        <v>79</v>
      </c>
      <c r="O80" s="434">
        <f t="shared" si="19"/>
        <v>354.6659381462681</v>
      </c>
      <c r="P80" s="433">
        <f>SUM(C80:O80)</f>
        <v>18422.665938146267</v>
      </c>
      <c r="Q80" s="52"/>
      <c r="R80" s="120">
        <v>36</v>
      </c>
      <c r="S80" s="21">
        <v>35</v>
      </c>
      <c r="T80" s="117">
        <v>1836</v>
      </c>
      <c r="U80" s="53"/>
      <c r="V80" s="129">
        <v>807</v>
      </c>
      <c r="W80" s="469">
        <f>SUM(R80:V80)</f>
        <v>2714</v>
      </c>
      <c r="X80" s="60"/>
      <c r="Y80" s="1177">
        <f>P80-V80-SUM('[1]Motpart'!Y33:Z33)</f>
        <v>17444.665938146267</v>
      </c>
      <c r="Z80" s="1141">
        <f>(P80-W80)*1000000/invanare</f>
        <v>1611.5824178093715</v>
      </c>
      <c r="AA80" s="1142">
        <f>Y80*1000000/invanare</f>
        <v>1789.682015084735</v>
      </c>
      <c r="AB80" s="1175">
        <v>1689.760300041423</v>
      </c>
      <c r="AC80" s="1140">
        <f t="shared" si="18"/>
        <v>0.05913366235486915</v>
      </c>
      <c r="AD80" s="1176"/>
      <c r="AE80" s="1157">
        <f>H85-H76-H71-H70</f>
        <v>17661</v>
      </c>
      <c r="AF80" s="193"/>
    </row>
    <row r="81" spans="1:32" ht="12.75">
      <c r="A81" s="670" t="s">
        <v>483</v>
      </c>
      <c r="B81" s="1013" t="s">
        <v>187</v>
      </c>
      <c r="C81" s="21">
        <v>561</v>
      </c>
      <c r="D81" s="22">
        <v>212</v>
      </c>
      <c r="E81" s="21">
        <v>36</v>
      </c>
      <c r="F81" s="21">
        <v>417</v>
      </c>
      <c r="G81" s="21">
        <v>120</v>
      </c>
      <c r="H81" s="22">
        <v>169</v>
      </c>
      <c r="I81" s="21">
        <v>171</v>
      </c>
      <c r="J81" s="117">
        <v>4</v>
      </c>
      <c r="K81" s="32"/>
      <c r="L81" s="120">
        <v>100</v>
      </c>
      <c r="M81" s="21">
        <v>218</v>
      </c>
      <c r="N81" s="22">
        <v>7</v>
      </c>
      <c r="O81" s="434">
        <f t="shared" si="19"/>
        <v>40.589913517578495</v>
      </c>
      <c r="P81" s="433">
        <f>SUM(C81:O81)</f>
        <v>2055.5899135175787</v>
      </c>
      <c r="Q81" s="52"/>
      <c r="R81" s="120">
        <v>8</v>
      </c>
      <c r="S81" s="21">
        <v>153</v>
      </c>
      <c r="T81" s="117">
        <v>179</v>
      </c>
      <c r="U81" s="53"/>
      <c r="V81" s="129">
        <v>194</v>
      </c>
      <c r="W81" s="469">
        <f>SUM(R81:V81)</f>
        <v>534</v>
      </c>
      <c r="X81" s="60"/>
      <c r="Y81" s="1177">
        <f>P81-V81-'[1]IFO'!E29</f>
        <v>1831.5899135175787</v>
      </c>
      <c r="Z81" s="1141">
        <f>(P81-W81)*1000000/invanare</f>
        <v>156.10285185238237</v>
      </c>
      <c r="AA81" s="1142">
        <f>Y81*1000000/invanare</f>
        <v>187.90635136584012</v>
      </c>
      <c r="AB81" s="1175">
        <v>177.84357940862316</v>
      </c>
      <c r="AC81" s="1140">
        <f t="shared" si="18"/>
        <v>0.05658214927228939</v>
      </c>
      <c r="AD81" s="1176"/>
      <c r="AE81" s="1133"/>
      <c r="AF81" s="193"/>
    </row>
    <row r="82" spans="1:32" ht="12.75">
      <c r="A82" s="670" t="s">
        <v>482</v>
      </c>
      <c r="B82" s="1013" t="s">
        <v>116</v>
      </c>
      <c r="C82" s="21">
        <v>1702</v>
      </c>
      <c r="D82" s="22">
        <v>636</v>
      </c>
      <c r="E82" s="21">
        <v>48</v>
      </c>
      <c r="F82" s="21">
        <v>50</v>
      </c>
      <c r="G82" s="21">
        <v>250</v>
      </c>
      <c r="H82" s="22">
        <v>10506</v>
      </c>
      <c r="I82" s="21">
        <v>107</v>
      </c>
      <c r="J82" s="117">
        <v>13</v>
      </c>
      <c r="K82" s="32"/>
      <c r="L82" s="120">
        <v>110</v>
      </c>
      <c r="M82" s="21">
        <v>312</v>
      </c>
      <c r="N82" s="22">
        <v>13</v>
      </c>
      <c r="O82" s="434">
        <f t="shared" si="19"/>
        <v>100.020422071818</v>
      </c>
      <c r="P82" s="433">
        <f>SUM(C82:O82)</f>
        <v>13847.020422071819</v>
      </c>
      <c r="Q82" s="52"/>
      <c r="R82" s="120">
        <v>34</v>
      </c>
      <c r="S82" s="21">
        <v>21</v>
      </c>
      <c r="T82" s="117">
        <v>604</v>
      </c>
      <c r="U82" s="53"/>
      <c r="V82" s="129">
        <v>152</v>
      </c>
      <c r="W82" s="469">
        <f>SUM(R82:V82)</f>
        <v>811</v>
      </c>
      <c r="X82" s="60"/>
      <c r="Y82" s="1177">
        <f>P82-V82-'[1]IFO'!E30</f>
        <v>13688.020422071819</v>
      </c>
      <c r="Z82" s="1141">
        <f>(P82-W82)*1000000/invanare</f>
        <v>1337.3905456476982</v>
      </c>
      <c r="AA82" s="1142">
        <f>Y82*1000000/invanare</f>
        <v>1404.280486559874</v>
      </c>
      <c r="AB82" s="1175">
        <v>1433.145902469361</v>
      </c>
      <c r="AC82" s="1140">
        <f t="shared" si="18"/>
        <v>-0.020141296053493962</v>
      </c>
      <c r="AD82" s="1176"/>
      <c r="AE82" s="1133"/>
      <c r="AF82" s="193"/>
    </row>
    <row r="83" spans="1:32" ht="12.75">
      <c r="A83" s="670" t="s">
        <v>385</v>
      </c>
      <c r="B83" s="993" t="s">
        <v>117</v>
      </c>
      <c r="C83" s="418">
        <f>SUM(C79:C82)</f>
        <v>10257</v>
      </c>
      <c r="D83" s="27">
        <f aca="true" t="shared" si="20" ref="D83:J83">SUM(D79:D82)</f>
        <v>3771</v>
      </c>
      <c r="E83" s="436">
        <f t="shared" si="20"/>
        <v>356</v>
      </c>
      <c r="F83" s="418">
        <f t="shared" si="20"/>
        <v>9187</v>
      </c>
      <c r="G83" s="418">
        <f t="shared" si="20"/>
        <v>2319</v>
      </c>
      <c r="H83" s="27">
        <f t="shared" si="20"/>
        <v>11061</v>
      </c>
      <c r="I83" s="605">
        <f t="shared" si="20"/>
        <v>934</v>
      </c>
      <c r="J83" s="122">
        <f t="shared" si="20"/>
        <v>55</v>
      </c>
      <c r="K83" s="167"/>
      <c r="L83" s="435">
        <f>SUM(L79:L82)</f>
        <v>765</v>
      </c>
      <c r="M83" s="418">
        <f>SUM(M79:M82)</f>
        <v>1958</v>
      </c>
      <c r="N83" s="27">
        <f>SUM(N79:N82)</f>
        <v>114</v>
      </c>
      <c r="O83" s="444">
        <f t="shared" si="19"/>
        <v>622.7643001504042</v>
      </c>
      <c r="P83" s="433">
        <f>SUM(P79:P82)</f>
        <v>41399.764300150404</v>
      </c>
      <c r="Q83" s="52"/>
      <c r="R83" s="435">
        <f>SUM(R79:R82)</f>
        <v>123</v>
      </c>
      <c r="S83" s="418">
        <f>SUM(S79:S82)</f>
        <v>548</v>
      </c>
      <c r="T83" s="122">
        <f>SUM(T79:T82)</f>
        <v>2975</v>
      </c>
      <c r="U83" s="52"/>
      <c r="V83" s="133">
        <f>SUM(V79:V82)</f>
        <v>1574</v>
      </c>
      <c r="W83" s="469">
        <f>SUM(W79:W82)</f>
        <v>5220</v>
      </c>
      <c r="X83" s="60"/>
      <c r="Y83" s="1185">
        <f>P83-V83-'[1]IFO'!E31</f>
        <v>39545.764300150404</v>
      </c>
      <c r="Z83" s="1141">
        <f>(P83+P84-W83-W84)*1000000/invanare</f>
        <v>3785.294859955119</v>
      </c>
      <c r="AA83" s="1142">
        <f>SUM(Y83:Y84)*1000000/invanare</f>
        <v>4133.38929172661</v>
      </c>
      <c r="AB83" s="1142">
        <v>4013.8225984036435</v>
      </c>
      <c r="AC83" s="1140">
        <f t="shared" si="18"/>
        <v>0.029788733904313615</v>
      </c>
      <c r="AD83" s="1176"/>
      <c r="AE83" s="1138">
        <f>IF(ISERROR((F83+F84)/((F83+F84)/1000000*invanare)),"",((F83+F84)/(AA83/100000000*invanare)))</f>
        <v>23.038196099731362</v>
      </c>
      <c r="AF83" s="193"/>
    </row>
    <row r="84" spans="1:32" ht="12.75">
      <c r="A84" s="670" t="s">
        <v>489</v>
      </c>
      <c r="B84" s="993" t="s">
        <v>118</v>
      </c>
      <c r="C84" s="24">
        <v>378</v>
      </c>
      <c r="D84" s="22">
        <v>144</v>
      </c>
      <c r="E84" s="24">
        <v>7</v>
      </c>
      <c r="F84" s="24">
        <v>95</v>
      </c>
      <c r="G84" s="24">
        <v>63</v>
      </c>
      <c r="H84" s="25">
        <v>5</v>
      </c>
      <c r="I84" s="24">
        <v>11</v>
      </c>
      <c r="J84" s="118">
        <v>2</v>
      </c>
      <c r="K84" s="31"/>
      <c r="L84" s="121">
        <v>24</v>
      </c>
      <c r="M84" s="24">
        <v>55</v>
      </c>
      <c r="N84" s="25">
        <v>2</v>
      </c>
      <c r="O84" s="434">
        <f t="shared" si="19"/>
        <v>21.84847950742621</v>
      </c>
      <c r="P84" s="433">
        <f>SUM(C84:O84)</f>
        <v>807.8484795074262</v>
      </c>
      <c r="Q84" s="52"/>
      <c r="R84" s="121">
        <v>10</v>
      </c>
      <c r="S84" s="24">
        <v>0</v>
      </c>
      <c r="T84" s="118">
        <v>58</v>
      </c>
      <c r="U84" s="234"/>
      <c r="V84" s="130">
        <v>23</v>
      </c>
      <c r="W84" s="469">
        <f>SUM(R84:V84)</f>
        <v>91</v>
      </c>
      <c r="X84" s="60"/>
      <c r="Y84" s="1177">
        <f>P84-V84-SUM('[1]IFO'!E33:E34)</f>
        <v>743.8484795074262</v>
      </c>
      <c r="Z84" s="1141">
        <f>(P84-W84)*1000000/invanare</f>
        <v>73.54287183624955</v>
      </c>
      <c r="AA84" s="1142">
        <f>Y84*1000000/invanare</f>
        <v>76.31285405193779</v>
      </c>
      <c r="AB84" s="1175">
        <v>74.10560267512753</v>
      </c>
      <c r="AC84" s="1140">
        <f t="shared" si="18"/>
        <v>0.029785215923371668</v>
      </c>
      <c r="AD84" s="1176"/>
      <c r="AE84" s="1133">
        <f>IF(ISERROR(F83+F84/(F83+F84/1000000*invanare)),"",(SUM(Motpart!D31,Motpart!D33,Motpart!D35,Motpart!F31,Motpart!F33,Motpart!F35)/(AA83/100000000*invanare)))</f>
        <v>17.473486376008275</v>
      </c>
      <c r="AF84" s="193"/>
    </row>
    <row r="85" spans="1:32" ht="13.5" thickBot="1">
      <c r="A85" s="674" t="s">
        <v>386</v>
      </c>
      <c r="B85" s="1000" t="s">
        <v>119</v>
      </c>
      <c r="C85" s="440">
        <f aca="true" t="shared" si="21" ref="C85:J85">SUM(C70:C71,C77,C83,C84)</f>
        <v>86900</v>
      </c>
      <c r="D85" s="441">
        <f t="shared" si="21"/>
        <v>32429</v>
      </c>
      <c r="E85" s="437">
        <f t="shared" si="21"/>
        <v>5292</v>
      </c>
      <c r="F85" s="440">
        <f t="shared" si="21"/>
        <v>42881</v>
      </c>
      <c r="G85" s="440">
        <f t="shared" si="21"/>
        <v>8629</v>
      </c>
      <c r="H85" s="441">
        <f t="shared" si="21"/>
        <v>17724</v>
      </c>
      <c r="I85" s="440">
        <f t="shared" si="21"/>
        <v>6941</v>
      </c>
      <c r="J85" s="442">
        <f t="shared" si="21"/>
        <v>744</v>
      </c>
      <c r="K85" s="167"/>
      <c r="L85" s="443">
        <f>SUM(L70:L71,L77,L83,L84)</f>
        <v>8191</v>
      </c>
      <c r="M85" s="440">
        <f>SUM(M70:M71,M77,M83,M84)</f>
        <v>22714</v>
      </c>
      <c r="N85" s="441">
        <f>SUM(N70:N71,N77,N83,N84)</f>
        <v>820</v>
      </c>
      <c r="O85" s="441">
        <f>SUM(O70:O71,O77,O83,O84)</f>
        <v>5090.001598044744</v>
      </c>
      <c r="P85" s="442">
        <f>SUM(P70:P71,P77,P83,P84)</f>
        <v>238355.00159804476</v>
      </c>
      <c r="Q85" s="52"/>
      <c r="R85" s="443">
        <f>SUM(R70:R71,R77,R83,R84)</f>
        <v>4959</v>
      </c>
      <c r="S85" s="440">
        <f>SUM(S70:S71,S77,S83,S84)</f>
        <v>5940</v>
      </c>
      <c r="T85" s="442">
        <f>SUM(T70:T71,T77,T83,T84)</f>
        <v>20646</v>
      </c>
      <c r="U85" s="52"/>
      <c r="V85" s="471">
        <f>SUM(V70:V71,V77,V83,V84)</f>
        <v>17848</v>
      </c>
      <c r="W85" s="470">
        <f>SUM(W70:W71,W77,W83,W84)</f>
        <v>49393</v>
      </c>
      <c r="X85" s="60"/>
      <c r="Y85" s="2119">
        <f>SUM(Y70,Y71,Y77,Y83,Y84)</f>
        <v>219376.00159804476</v>
      </c>
      <c r="Z85" s="1144"/>
      <c r="AA85" s="1145"/>
      <c r="AB85" s="1146"/>
      <c r="AC85" s="1147"/>
      <c r="AD85" s="1122"/>
      <c r="AE85" s="1186">
        <f>IF(ISERROR((F83)/((F83)/1000*invanare)),"",SUM(AA77,AA83)*100/AA90)</f>
        <v>40.02643015313394</v>
      </c>
      <c r="AF85" s="193"/>
    </row>
    <row r="86" spans="1:32" ht="11.25" customHeight="1">
      <c r="A86" s="1009"/>
      <c r="B86" s="1006" t="s">
        <v>120</v>
      </c>
      <c r="C86" s="523"/>
      <c r="D86" s="522"/>
      <c r="E86" s="520"/>
      <c r="F86" s="520"/>
      <c r="G86" s="520"/>
      <c r="H86" s="522"/>
      <c r="I86" s="520"/>
      <c r="J86" s="521"/>
      <c r="K86" s="32"/>
      <c r="L86" s="519"/>
      <c r="M86" s="520"/>
      <c r="N86" s="522"/>
      <c r="O86" s="522"/>
      <c r="P86" s="521"/>
      <c r="Q86" s="53"/>
      <c r="R86" s="519"/>
      <c r="S86" s="520"/>
      <c r="T86" s="521"/>
      <c r="U86" s="53"/>
      <c r="V86" s="517"/>
      <c r="W86" s="518"/>
      <c r="X86" s="32"/>
      <c r="Y86" s="2113"/>
      <c r="Z86" s="1187"/>
      <c r="AA86" s="1112"/>
      <c r="AB86" s="1113"/>
      <c r="AC86" s="1114"/>
      <c r="AD86" s="1122"/>
      <c r="AE86" s="1186">
        <f>IF(ISERROR((F83)/((F83)/1000*invanare)),"",(F83/((AA83-AA84)/100000*invanare)))</f>
        <v>0.02323131228485337</v>
      </c>
      <c r="AF86" s="193"/>
    </row>
    <row r="87" spans="1:32" ht="12.75">
      <c r="A87" s="670" t="s">
        <v>289</v>
      </c>
      <c r="B87" s="996" t="s">
        <v>123</v>
      </c>
      <c r="C87" s="21">
        <v>1955</v>
      </c>
      <c r="D87" s="22">
        <v>727</v>
      </c>
      <c r="E87" s="21">
        <v>212</v>
      </c>
      <c r="F87" s="21">
        <v>2052</v>
      </c>
      <c r="G87" s="21">
        <v>431</v>
      </c>
      <c r="H87" s="22">
        <v>426</v>
      </c>
      <c r="I87" s="21">
        <v>245</v>
      </c>
      <c r="J87" s="117">
        <v>6</v>
      </c>
      <c r="K87" s="32"/>
      <c r="L87" s="120">
        <v>137</v>
      </c>
      <c r="M87" s="21">
        <v>777</v>
      </c>
      <c r="N87" s="22">
        <v>24</v>
      </c>
      <c r="O87" s="434">
        <f>IF(I$120=0,0,(SUM(C87:E87,G87,I87:M87)-V87)/(SUM(C$110:E$110,G$110,I$110:M$110)-V$110)*I$120)</f>
        <v>141.50278482797518</v>
      </c>
      <c r="P87" s="433">
        <f>SUM(C87:O87)</f>
        <v>7133.502784827975</v>
      </c>
      <c r="Q87" s="52"/>
      <c r="R87" s="120">
        <v>11</v>
      </c>
      <c r="S87" s="21">
        <v>51</v>
      </c>
      <c r="T87" s="117">
        <v>7310</v>
      </c>
      <c r="U87" s="53"/>
      <c r="V87" s="129">
        <v>209</v>
      </c>
      <c r="W87" s="469">
        <f>SUM(R87:V87)</f>
        <v>7581</v>
      </c>
      <c r="X87" s="60"/>
      <c r="Y87" s="1177">
        <f>P87-V87-SUM('[1]Motpart'!Y36:Z36)</f>
        <v>6864.502784827975</v>
      </c>
      <c r="Z87" s="1112"/>
      <c r="AA87" s="1112"/>
      <c r="AB87" s="1112"/>
      <c r="AC87" s="1976"/>
      <c r="AD87" s="1977"/>
      <c r="AE87" s="1133"/>
      <c r="AF87" s="193"/>
    </row>
    <row r="88" spans="1:32" ht="12.75">
      <c r="A88" s="670" t="s">
        <v>290</v>
      </c>
      <c r="B88" s="993" t="s">
        <v>124</v>
      </c>
      <c r="C88" s="24">
        <v>4666</v>
      </c>
      <c r="D88" s="22">
        <v>1701</v>
      </c>
      <c r="E88" s="24">
        <v>279</v>
      </c>
      <c r="F88" s="24">
        <v>177</v>
      </c>
      <c r="G88" s="24">
        <v>388</v>
      </c>
      <c r="H88" s="25">
        <v>144</v>
      </c>
      <c r="I88" s="24">
        <v>177</v>
      </c>
      <c r="J88" s="118">
        <v>21</v>
      </c>
      <c r="K88" s="32"/>
      <c r="L88" s="121">
        <v>188</v>
      </c>
      <c r="M88" s="24">
        <v>652</v>
      </c>
      <c r="N88" s="25">
        <v>40</v>
      </c>
      <c r="O88" s="434">
        <f>IF(I$120=0,0,(SUM(C88:E88,G88,I88:M88)-V88)/(SUM(C$110:E$110,G$110,I$110:M$110)-V$110)*I$120)</f>
        <v>237.32539011092314</v>
      </c>
      <c r="P88" s="433">
        <f>SUM(C88:O88)</f>
        <v>8670.325390110924</v>
      </c>
      <c r="Q88" s="52"/>
      <c r="R88" s="121">
        <v>23</v>
      </c>
      <c r="S88" s="24">
        <v>12</v>
      </c>
      <c r="T88" s="118">
        <v>3371</v>
      </c>
      <c r="U88" s="53"/>
      <c r="V88" s="130">
        <v>892</v>
      </c>
      <c r="W88" s="469">
        <f>SUM(R88:V88)</f>
        <v>4298</v>
      </c>
      <c r="X88" s="60"/>
      <c r="Y88" s="1127">
        <f>P88-V88-'[1]Motpart'!Y37:Z37</f>
        <v>7764.325390110924</v>
      </c>
      <c r="Z88" s="1141">
        <f>(P88-W88)*1000000/invanare</f>
        <v>448.565317474425</v>
      </c>
      <c r="AA88" s="1142">
        <f>Y88*1000000/invanare</f>
        <v>796.5571573120014</v>
      </c>
      <c r="AB88" s="1192">
        <v>757</v>
      </c>
      <c r="AC88" s="1143">
        <f>IF(ISERROR((AA88-AB88)/AB88)," ",((AA88-AB88)/AB88))</f>
        <v>0.05225516157463862</v>
      </c>
      <c r="AD88" s="1130"/>
      <c r="AE88" s="1133"/>
      <c r="AF88" s="193"/>
    </row>
    <row r="89" spans="1:32" ht="12.75" customHeight="1" thickBot="1">
      <c r="A89" s="674" t="s">
        <v>291</v>
      </c>
      <c r="B89" s="1000" t="s">
        <v>125</v>
      </c>
      <c r="C89" s="446">
        <f>SUM(C87:C88)</f>
        <v>6621</v>
      </c>
      <c r="D89" s="447">
        <f aca="true" t="shared" si="22" ref="D89:P89">SUM(D87:D88)</f>
        <v>2428</v>
      </c>
      <c r="E89" s="446">
        <f t="shared" si="22"/>
        <v>491</v>
      </c>
      <c r="F89" s="446">
        <f t="shared" si="22"/>
        <v>2229</v>
      </c>
      <c r="G89" s="446">
        <f t="shared" si="22"/>
        <v>819</v>
      </c>
      <c r="H89" s="447">
        <f t="shared" si="22"/>
        <v>570</v>
      </c>
      <c r="I89" s="446">
        <f t="shared" si="22"/>
        <v>422</v>
      </c>
      <c r="J89" s="448">
        <f t="shared" si="22"/>
        <v>27</v>
      </c>
      <c r="K89" s="168"/>
      <c r="L89" s="445">
        <f>SUM(L87:L88)</f>
        <v>325</v>
      </c>
      <c r="M89" s="446">
        <f t="shared" si="22"/>
        <v>1429</v>
      </c>
      <c r="N89" s="447">
        <f t="shared" si="22"/>
        <v>64</v>
      </c>
      <c r="O89" s="447">
        <f t="shared" si="22"/>
        <v>378.8281749388983</v>
      </c>
      <c r="P89" s="448">
        <f t="shared" si="22"/>
        <v>15803.828174938899</v>
      </c>
      <c r="Q89" s="55"/>
      <c r="R89" s="445">
        <f>SUM(R87:R88)</f>
        <v>34</v>
      </c>
      <c r="S89" s="446">
        <f>SUM(S87:S88)</f>
        <v>63</v>
      </c>
      <c r="T89" s="448">
        <f>SUM(T87:T88)</f>
        <v>10681</v>
      </c>
      <c r="U89" s="55"/>
      <c r="V89" s="473">
        <f>SUM(V87:V88)</f>
        <v>1101</v>
      </c>
      <c r="W89" s="472">
        <f>SUM(W87:W88)</f>
        <v>11879</v>
      </c>
      <c r="X89" s="61"/>
      <c r="Y89" s="1193">
        <f>P89-V89-SUM('[1]Motpart'!Y36:Z37)</f>
        <v>14627.828174938899</v>
      </c>
      <c r="Z89" s="1194">
        <f>(P89-W89)*1000000/invanare</f>
        <v>402.6557127486276</v>
      </c>
      <c r="AA89" s="1195">
        <f>Y89*1000000/invanare</f>
        <v>1500.697181434235</v>
      </c>
      <c r="AB89" s="1128">
        <v>1334</v>
      </c>
      <c r="AC89" s="1196">
        <f>IF(ISERROR((AA89-AB89)/AB89)," ",((AA89-AB89)/AB89))</f>
        <v>0.12496040587273993</v>
      </c>
      <c r="AD89" s="1130"/>
      <c r="AE89" s="1133"/>
      <c r="AF89" s="193"/>
    </row>
    <row r="90" spans="1:32" ht="12.75" customHeight="1" thickBot="1">
      <c r="A90" s="674" t="s">
        <v>292</v>
      </c>
      <c r="B90" s="1000" t="s">
        <v>28</v>
      </c>
      <c r="C90" s="440">
        <f aca="true" t="shared" si="23" ref="C90:J90">SUM(C17,C30,C43,C68,C85,C89)</f>
        <v>205402</v>
      </c>
      <c r="D90" s="441">
        <f t="shared" si="23"/>
        <v>77175</v>
      </c>
      <c r="E90" s="440">
        <f t="shared" si="23"/>
        <v>22333</v>
      </c>
      <c r="F90" s="440">
        <f t="shared" si="23"/>
        <v>103997</v>
      </c>
      <c r="G90" s="440">
        <f t="shared" si="23"/>
        <v>31471</v>
      </c>
      <c r="H90" s="441">
        <f t="shared" si="23"/>
        <v>25492</v>
      </c>
      <c r="I90" s="440">
        <f t="shared" si="23"/>
        <v>17596</v>
      </c>
      <c r="J90" s="442">
        <f t="shared" si="23"/>
        <v>9667</v>
      </c>
      <c r="K90" s="167"/>
      <c r="L90" s="443">
        <f>SUM(L17,L30,L43,L68,L85,L89)</f>
        <v>33278</v>
      </c>
      <c r="M90" s="440">
        <f>SUM(M17,M30,M43,M68,M85,M89)</f>
        <v>70288</v>
      </c>
      <c r="N90" s="441">
        <f>SUM(N17,N30,N43,N68,N85,N89)</f>
        <v>2289</v>
      </c>
      <c r="O90" s="441">
        <f>SUM(O17,O30,O43,O68,O85,O89)</f>
        <v>13514.821571253995</v>
      </c>
      <c r="P90" s="442">
        <f>SUM(P17,P30,P43,P68,P85,P89)</f>
        <v>612502.8215712539</v>
      </c>
      <c r="Q90" s="52"/>
      <c r="R90" s="443">
        <f>SUM(R17,R30,R43,R68,R85,R89)</f>
        <v>18534</v>
      </c>
      <c r="S90" s="440">
        <f>SUM(S17,S30,S43,S68,S85,S89)</f>
        <v>6967</v>
      </c>
      <c r="T90" s="442">
        <f>SUM(T17,T30,T43,T68,T85,T89)</f>
        <v>62157</v>
      </c>
      <c r="U90" s="52"/>
      <c r="V90" s="471">
        <f>SUM(V17,V30,V43,V68,V85,V89)</f>
        <v>58335</v>
      </c>
      <c r="W90" s="470">
        <f>SUM(W17,W30,W43,W68,W85,W89)</f>
        <v>145993</v>
      </c>
      <c r="X90" s="60"/>
      <c r="Y90" s="1193">
        <f>SUM(Y17,Y30,Y43,Y51,Y67,Y85,Y89)</f>
        <v>543328.8215712539</v>
      </c>
      <c r="Z90" s="1194">
        <f>(P90-W90)*1000000/invanare</f>
        <v>47860.144785047225</v>
      </c>
      <c r="AA90" s="1195">
        <f>SUM(AA17,AA30,AA37,AA42,AA51,AA67,AA77,AA83,AA89)</f>
        <v>55415.988047616906</v>
      </c>
      <c r="AB90" s="1128">
        <v>53841</v>
      </c>
      <c r="AC90" s="1196">
        <f>IF(ISERROR((AA90-AB90)/AB90)," ",((AA90-AB90)/AB90))</f>
        <v>0.02925257791677171</v>
      </c>
      <c r="AD90" s="1130"/>
      <c r="AE90" s="1197">
        <f>IF(ISERROR(F90/(AA90/1000000*invanare)),"",(F90/(AA90/100000000*invanare)))</f>
        <v>19.253023770190776</v>
      </c>
      <c r="AF90" s="193"/>
    </row>
    <row r="91" spans="1:32" ht="12.75">
      <c r="A91" s="998"/>
      <c r="B91" s="1001" t="s">
        <v>126</v>
      </c>
      <c r="C91" s="527"/>
      <c r="D91" s="528"/>
      <c r="E91" s="529"/>
      <c r="F91" s="529"/>
      <c r="G91" s="529"/>
      <c r="H91" s="528"/>
      <c r="I91" s="529"/>
      <c r="J91" s="530"/>
      <c r="K91" s="32"/>
      <c r="L91" s="535"/>
      <c r="M91" s="529"/>
      <c r="N91" s="528"/>
      <c r="O91" s="528"/>
      <c r="P91" s="530"/>
      <c r="Q91" s="53"/>
      <c r="R91" s="535"/>
      <c r="S91" s="529"/>
      <c r="T91" s="530"/>
      <c r="U91" s="53"/>
      <c r="V91" s="537"/>
      <c r="W91" s="538"/>
      <c r="X91" s="32"/>
      <c r="Y91" s="2112"/>
      <c r="Z91" s="1132"/>
      <c r="AA91" s="1112"/>
      <c r="AB91" s="1113"/>
      <c r="AC91" s="1114"/>
      <c r="AD91" s="1122"/>
      <c r="AE91" s="1133">
        <f>IF(ISERROR(F90/(AA90/1000000*invanare)),"",((SUM(Motpart!D40,Motpart!F40)-SUM(Motpart!D38,Motpart!D39,Motpart!F38,Motpart!F39))/(AA90/100000000*invanare)))</f>
        <v>14.865059026966819</v>
      </c>
      <c r="AF91" s="193"/>
    </row>
    <row r="92" spans="1:32" ht="12.75">
      <c r="A92" s="998"/>
      <c r="B92" s="1001" t="s">
        <v>127</v>
      </c>
      <c r="C92" s="531"/>
      <c r="D92" s="532"/>
      <c r="E92" s="533"/>
      <c r="F92" s="533"/>
      <c r="G92" s="533"/>
      <c r="H92" s="532"/>
      <c r="I92" s="533"/>
      <c r="J92" s="534"/>
      <c r="K92" s="32"/>
      <c r="L92" s="536"/>
      <c r="M92" s="533"/>
      <c r="N92" s="532"/>
      <c r="O92" s="532"/>
      <c r="P92" s="534"/>
      <c r="Q92" s="53"/>
      <c r="R92" s="536"/>
      <c r="S92" s="533"/>
      <c r="T92" s="534"/>
      <c r="U92" s="53"/>
      <c r="V92" s="539"/>
      <c r="W92" s="540"/>
      <c r="X92" s="32"/>
      <c r="Y92" s="2112"/>
      <c r="Z92" s="1112"/>
      <c r="AA92" s="1112"/>
      <c r="AB92" s="1113"/>
      <c r="AC92" s="1114"/>
      <c r="AD92" s="1122"/>
      <c r="AE92" s="1157">
        <f>(C113-C109+D113-D109)*1000/invanare</f>
        <v>31.257094873429768</v>
      </c>
      <c r="AF92" s="193"/>
    </row>
    <row r="93" spans="1:32" s="615" customFormat="1" ht="12.75">
      <c r="A93" s="1014" t="s">
        <v>293</v>
      </c>
      <c r="B93" s="1013" t="s">
        <v>128</v>
      </c>
      <c r="C93" s="74">
        <v>183</v>
      </c>
      <c r="D93" s="1773">
        <v>73</v>
      </c>
      <c r="E93" s="74">
        <v>751</v>
      </c>
      <c r="F93" s="74">
        <v>24</v>
      </c>
      <c r="G93" s="74">
        <v>458</v>
      </c>
      <c r="H93" s="1773">
        <v>21</v>
      </c>
      <c r="I93" s="74">
        <v>279</v>
      </c>
      <c r="J93" s="116">
        <v>679</v>
      </c>
      <c r="K93" s="610"/>
      <c r="L93" s="511">
        <v>90</v>
      </c>
      <c r="M93" s="74">
        <v>198</v>
      </c>
      <c r="N93" s="1773">
        <v>18</v>
      </c>
      <c r="O93" s="1774">
        <f>IF(I$120=0,0,(SUM(C93:E93,G93,I93:M93)-V93)/(SUM(C$110:E$110,G$110,I$110:M$110)-V$110)*I$120)</f>
        <v>57.876985805602565</v>
      </c>
      <c r="P93" s="508">
        <f>SUM(C93:O93)</f>
        <v>2831.8769858056025</v>
      </c>
      <c r="Q93" s="611"/>
      <c r="R93" s="511">
        <v>96</v>
      </c>
      <c r="S93" s="74">
        <v>1181</v>
      </c>
      <c r="T93" s="116">
        <v>1449</v>
      </c>
      <c r="U93" s="612"/>
      <c r="V93" s="1775">
        <v>960</v>
      </c>
      <c r="W93" s="1776">
        <f>SUM(R93:V93)</f>
        <v>3686</v>
      </c>
      <c r="X93" s="613"/>
      <c r="Y93" s="2120">
        <f>P93-V93-(IF(AND('[1]Motpart'!$Y$38="",'[1]Motpart'!$Z$38=""),0,IF(AND('[1]Motpart'!$Y$38=0,'[1]Motpart'!$Z$38=0),0,((T93/$T$109)*('[1]Motpart'!$Y$38+'[1]Motpart'!$Z$38)))))</f>
        <v>1843.4194158217244</v>
      </c>
      <c r="Z93" s="1198"/>
      <c r="AA93" s="1199"/>
      <c r="AB93" s="1199"/>
      <c r="AC93" s="1200"/>
      <c r="AD93" s="1201"/>
      <c r="AE93" s="1202">
        <f>IF(ISERROR(F90/(AA90/1000*invanare)),"",AE92*invanare/10/(P124-P109+J109))</f>
        <v>55.44125655509638</v>
      </c>
      <c r="AF93" s="614"/>
    </row>
    <row r="94" spans="1:32" ht="12.75">
      <c r="A94" s="670" t="s">
        <v>294</v>
      </c>
      <c r="B94" s="993" t="s">
        <v>29</v>
      </c>
      <c r="C94" s="24">
        <v>26</v>
      </c>
      <c r="D94" s="22">
        <v>10</v>
      </c>
      <c r="E94" s="24">
        <v>49</v>
      </c>
      <c r="F94" s="24">
        <v>35</v>
      </c>
      <c r="G94" s="24">
        <v>28</v>
      </c>
      <c r="H94" s="25">
        <v>0</v>
      </c>
      <c r="I94" s="24">
        <v>2</v>
      </c>
      <c r="J94" s="118">
        <v>307</v>
      </c>
      <c r="K94" s="32"/>
      <c r="L94" s="121">
        <v>7</v>
      </c>
      <c r="M94" s="24">
        <v>52</v>
      </c>
      <c r="N94" s="25">
        <v>1</v>
      </c>
      <c r="O94" s="434">
        <f>IF(I$120=0,0,(SUM(C94:E94,G94,I94:M94)-V94)/(SUM(C$110:E$110,G$110,I$110:M$110)-V$110)*I$120)</f>
        <v>15.006368678322994</v>
      </c>
      <c r="P94" s="433">
        <f>SUM(C94:O94)</f>
        <v>532.006368678323</v>
      </c>
      <c r="Q94" s="52"/>
      <c r="R94" s="121">
        <v>116</v>
      </c>
      <c r="S94" s="24">
        <v>23</v>
      </c>
      <c r="T94" s="118">
        <v>293</v>
      </c>
      <c r="U94" s="53"/>
      <c r="V94" s="130">
        <v>27</v>
      </c>
      <c r="W94" s="469">
        <f>SUM(R94:V94)</f>
        <v>459</v>
      </c>
      <c r="X94" s="60"/>
      <c r="Y94" s="1177">
        <f>P94-V94-(IF(AND('[1]Motpart'!$Y$38="",'[1]Motpart'!$Z$38=""),0,IF(AND('[1]Motpart'!$Y$38=0,'[1]Motpart'!$Z$38=0),0,((T94/$T$109)*('[1]Motpart'!$Y$38+'[1]Motpart'!$Z$38)))))</f>
        <v>499.2520084262345</v>
      </c>
      <c r="Z94" s="1188"/>
      <c r="AA94" s="1189"/>
      <c r="AB94" s="1190"/>
      <c r="AC94" s="1191"/>
      <c r="AD94" s="1122"/>
      <c r="AE94" s="1133"/>
      <c r="AF94" s="193"/>
    </row>
    <row r="95" spans="1:32" ht="12.75">
      <c r="A95" s="670" t="s">
        <v>295</v>
      </c>
      <c r="B95" s="993" t="s">
        <v>30</v>
      </c>
      <c r="C95" s="24">
        <v>256</v>
      </c>
      <c r="D95" s="22">
        <v>94</v>
      </c>
      <c r="E95" s="24">
        <v>287</v>
      </c>
      <c r="F95" s="24">
        <v>117</v>
      </c>
      <c r="G95" s="24">
        <v>230</v>
      </c>
      <c r="H95" s="25">
        <v>6</v>
      </c>
      <c r="I95" s="24">
        <v>72</v>
      </c>
      <c r="J95" s="118">
        <v>188</v>
      </c>
      <c r="K95" s="32"/>
      <c r="L95" s="121">
        <v>13</v>
      </c>
      <c r="M95" s="24">
        <v>164</v>
      </c>
      <c r="N95" s="25">
        <v>7</v>
      </c>
      <c r="O95" s="434">
        <f>IF(I$120=0,0,(SUM(C95:E95,G95,I95:M95)-V95)/(SUM(C$110:E$110,G$110,I$110:M$110)-V$110)*I$120)</f>
        <v>24.85636397819139</v>
      </c>
      <c r="P95" s="433">
        <f>SUM(C95:O95)</f>
        <v>1458.8563639781914</v>
      </c>
      <c r="Q95" s="52"/>
      <c r="R95" s="121">
        <v>130</v>
      </c>
      <c r="S95" s="24">
        <v>152</v>
      </c>
      <c r="T95" s="118">
        <v>930</v>
      </c>
      <c r="U95" s="53"/>
      <c r="V95" s="130">
        <v>552</v>
      </c>
      <c r="W95" s="469">
        <f>SUM(R95:V95)</f>
        <v>1764</v>
      </c>
      <c r="X95" s="60"/>
      <c r="Y95" s="1177">
        <f>P95-V95-(IF(AND('[1]Motpart'!$Y$38="",'[1]Motpart'!$Z$38=""),0,IF(AND('[1]Motpart'!$Y$38=0,'[1]Motpart'!$Z$38=0),0,((T95/$T$109)*('[1]Motpart'!$Y$38+'[1]Motpart'!$Z$38)))))</f>
        <v>888.5916710278764</v>
      </c>
      <c r="Z95" s="1188"/>
      <c r="AA95" s="1189"/>
      <c r="AB95" s="1190"/>
      <c r="AC95" s="1191"/>
      <c r="AD95" s="1122"/>
      <c r="AE95" s="1133"/>
      <c r="AF95" s="193"/>
    </row>
    <row r="96" spans="1:32" ht="12.75">
      <c r="A96" s="670" t="s">
        <v>296</v>
      </c>
      <c r="B96" s="993" t="s">
        <v>31</v>
      </c>
      <c r="C96" s="24">
        <v>172</v>
      </c>
      <c r="D96" s="22">
        <v>66</v>
      </c>
      <c r="E96" s="24">
        <v>579</v>
      </c>
      <c r="F96" s="24">
        <v>18</v>
      </c>
      <c r="G96" s="24">
        <v>184</v>
      </c>
      <c r="H96" s="25">
        <v>29</v>
      </c>
      <c r="I96" s="24">
        <v>232</v>
      </c>
      <c r="J96" s="118">
        <v>1320</v>
      </c>
      <c r="K96" s="32"/>
      <c r="L96" s="121">
        <v>60</v>
      </c>
      <c r="M96" s="24">
        <v>149</v>
      </c>
      <c r="N96" s="25">
        <v>-2</v>
      </c>
      <c r="O96" s="434">
        <f>IF(I$120=0,0,(SUM(C96:E96,G96,I96:M96)-V96)/(SUM(C$110:E$110,G$110,I$110:M$110)-V$110)*I$120)</f>
        <v>82.10532994923858</v>
      </c>
      <c r="P96" s="433">
        <f>SUM(C96:O96)</f>
        <v>2889.1053299492387</v>
      </c>
      <c r="Q96" s="52"/>
      <c r="R96" s="121">
        <v>15</v>
      </c>
      <c r="S96" s="24">
        <v>560</v>
      </c>
      <c r="T96" s="118">
        <v>1838</v>
      </c>
      <c r="U96" s="53"/>
      <c r="V96" s="130">
        <v>278</v>
      </c>
      <c r="W96" s="469">
        <f>SUM(R96:V96)</f>
        <v>2691</v>
      </c>
      <c r="X96" s="60"/>
      <c r="Y96" s="1177">
        <f>P96-V96-(IF(AND('[1]Motpart'!$Y$38="",'[1]Motpart'!$Z$38=""),0,IF(AND('[1]Motpart'!$Y$38=0,'[1]Motpart'!$Z$38=0),0,((T96/$T$109)*('[1]Motpart'!$Y$38+'[1]Motpart'!$Z$38)))))</f>
        <v>2575.0080120538846</v>
      </c>
      <c r="Z96" s="1188"/>
      <c r="AA96" s="1189"/>
      <c r="AB96" s="1190"/>
      <c r="AC96" s="1191"/>
      <c r="AD96" s="1122"/>
      <c r="AE96" s="1133"/>
      <c r="AF96" s="193"/>
    </row>
    <row r="97" spans="1:32" ht="12.75">
      <c r="A97" s="670" t="s">
        <v>297</v>
      </c>
      <c r="B97" s="993" t="s">
        <v>32</v>
      </c>
      <c r="C97" s="418">
        <f>SUM(C93:C96)</f>
        <v>637</v>
      </c>
      <c r="D97" s="27">
        <f aca="true" t="shared" si="24" ref="D97:P97">SUM(D93:D96)</f>
        <v>243</v>
      </c>
      <c r="E97" s="418">
        <f t="shared" si="24"/>
        <v>1666</v>
      </c>
      <c r="F97" s="418">
        <f t="shared" si="24"/>
        <v>194</v>
      </c>
      <c r="G97" s="418">
        <f t="shared" si="24"/>
        <v>900</v>
      </c>
      <c r="H97" s="27">
        <f t="shared" si="24"/>
        <v>56</v>
      </c>
      <c r="I97" s="418">
        <f t="shared" si="24"/>
        <v>585</v>
      </c>
      <c r="J97" s="122">
        <f t="shared" si="24"/>
        <v>2494</v>
      </c>
      <c r="K97" s="167"/>
      <c r="L97" s="435">
        <f>SUM(L93:L96)</f>
        <v>170</v>
      </c>
      <c r="M97" s="418">
        <f t="shared" si="24"/>
        <v>563</v>
      </c>
      <c r="N97" s="27">
        <f t="shared" si="24"/>
        <v>24</v>
      </c>
      <c r="O97" s="27">
        <f t="shared" si="24"/>
        <v>179.84504841135552</v>
      </c>
      <c r="P97" s="122">
        <f t="shared" si="24"/>
        <v>7711.8450484113555</v>
      </c>
      <c r="Q97" s="52"/>
      <c r="R97" s="435">
        <f>SUM(R93:R96)</f>
        <v>357</v>
      </c>
      <c r="S97" s="418">
        <f>SUM(S93:S96)</f>
        <v>1916</v>
      </c>
      <c r="T97" s="122">
        <f>SUM(T93:T96)</f>
        <v>4510</v>
      </c>
      <c r="U97" s="53"/>
      <c r="V97" s="133">
        <f>SUM(V93:V96)</f>
        <v>1817</v>
      </c>
      <c r="W97" s="134">
        <f>SUM(W93:W96)</f>
        <v>8600</v>
      </c>
      <c r="X97" s="60"/>
      <c r="Y97" s="1127">
        <f>SUM(Y93:Y96)</f>
        <v>5806.27110732972</v>
      </c>
      <c r="Z97" s="1188"/>
      <c r="AA97" s="1189"/>
      <c r="AB97" s="1190"/>
      <c r="AC97" s="1191"/>
      <c r="AD97" s="1122"/>
      <c r="AE97" s="1133"/>
      <c r="AF97" s="193"/>
    </row>
    <row r="98" spans="1:32" ht="12.75">
      <c r="A98" s="1009"/>
      <c r="B98" s="1006" t="s">
        <v>129</v>
      </c>
      <c r="C98" s="547"/>
      <c r="D98" s="546"/>
      <c r="E98" s="544"/>
      <c r="F98" s="544"/>
      <c r="G98" s="544"/>
      <c r="H98" s="546"/>
      <c r="I98" s="544"/>
      <c r="J98" s="545"/>
      <c r="K98" s="32"/>
      <c r="L98" s="543"/>
      <c r="M98" s="544"/>
      <c r="N98" s="546"/>
      <c r="O98" s="546"/>
      <c r="P98" s="545"/>
      <c r="Q98" s="53"/>
      <c r="R98" s="543"/>
      <c r="S98" s="544"/>
      <c r="T98" s="545"/>
      <c r="U98" s="53"/>
      <c r="V98" s="541"/>
      <c r="W98" s="542"/>
      <c r="X98" s="32"/>
      <c r="Y98" s="1127"/>
      <c r="Z98" s="1188"/>
      <c r="AA98" s="1189"/>
      <c r="AB98" s="1190"/>
      <c r="AC98" s="1191"/>
      <c r="AD98" s="1122"/>
      <c r="AE98" s="1133"/>
      <c r="AF98" s="193"/>
    </row>
    <row r="99" spans="1:32" ht="12.75">
      <c r="A99" s="670" t="s">
        <v>298</v>
      </c>
      <c r="B99" s="996" t="s">
        <v>130</v>
      </c>
      <c r="C99" s="21">
        <v>28</v>
      </c>
      <c r="D99" s="22">
        <v>12</v>
      </c>
      <c r="E99" s="21">
        <v>15</v>
      </c>
      <c r="F99" s="21">
        <v>17</v>
      </c>
      <c r="G99" s="21">
        <v>72</v>
      </c>
      <c r="H99" s="22">
        <v>62</v>
      </c>
      <c r="I99" s="21">
        <v>0</v>
      </c>
      <c r="J99" s="117">
        <v>27</v>
      </c>
      <c r="K99" s="32"/>
      <c r="L99" s="120">
        <v>3</v>
      </c>
      <c r="M99" s="21">
        <v>3</v>
      </c>
      <c r="N99" s="22">
        <v>0</v>
      </c>
      <c r="O99" s="434">
        <f>IF(I$120=0,0,(SUM(C99:E99,G99,I99:M99)-V99)/(SUM(C$110:E$110,G$110,I$110:M$110)-V$110)*I$120)</f>
        <v>5.288588080466253</v>
      </c>
      <c r="P99" s="433">
        <f>SUM(C99:O99)</f>
        <v>244.28858808046624</v>
      </c>
      <c r="Q99" s="52"/>
      <c r="R99" s="120">
        <v>18</v>
      </c>
      <c r="S99" s="21">
        <v>4</v>
      </c>
      <c r="T99" s="117">
        <v>77</v>
      </c>
      <c r="U99" s="53"/>
      <c r="V99" s="129">
        <v>0</v>
      </c>
      <c r="W99" s="469">
        <f>SUM(R99:V99)</f>
        <v>99</v>
      </c>
      <c r="X99" s="60"/>
      <c r="Y99" s="1177">
        <f>P99-V99-(IF(AND('[1]Motpart'!$Y$38="",'[1]Motpart'!$Z$38=""),0,IF(AND('[1]Motpart'!$Y$38=0,'[1]Motpart'!$Z$38=0),0,((T99/$T$109)*('[1]Motpart'!$Y$38+'[1]Motpart'!$Z$38)))))</f>
        <v>242.7763500619993</v>
      </c>
      <c r="Z99" s="1188"/>
      <c r="AA99" s="1189"/>
      <c r="AB99" s="1190"/>
      <c r="AC99" s="1191"/>
      <c r="AD99" s="1122"/>
      <c r="AE99" s="1133"/>
      <c r="AF99" s="193"/>
    </row>
    <row r="100" spans="1:32" ht="12.75">
      <c r="A100" s="670" t="s">
        <v>299</v>
      </c>
      <c r="B100" s="1004" t="s">
        <v>1005</v>
      </c>
      <c r="C100" s="24">
        <v>97</v>
      </c>
      <c r="D100" s="22">
        <v>36</v>
      </c>
      <c r="E100" s="24">
        <v>36</v>
      </c>
      <c r="F100" s="24">
        <v>1787</v>
      </c>
      <c r="G100" s="24">
        <v>278</v>
      </c>
      <c r="H100" s="25">
        <v>1365</v>
      </c>
      <c r="I100" s="24">
        <v>24</v>
      </c>
      <c r="J100" s="118">
        <v>193</v>
      </c>
      <c r="K100" s="32"/>
      <c r="L100" s="121">
        <v>14</v>
      </c>
      <c r="M100" s="24">
        <v>48</v>
      </c>
      <c r="N100" s="25">
        <v>3</v>
      </c>
      <c r="O100" s="434">
        <f>IF(I$120=0,0,(SUM(C100:E100,G100,I100:M100)-V100)/(SUM(C$110:E$110,G$110,I$110:M$110)-V$110)*I$120)</f>
        <v>21.94764053393495</v>
      </c>
      <c r="P100" s="433">
        <f>SUM(C100:O100)</f>
        <v>3902.947640533935</v>
      </c>
      <c r="Q100" s="52"/>
      <c r="R100" s="121">
        <v>99</v>
      </c>
      <c r="S100" s="24">
        <v>14</v>
      </c>
      <c r="T100" s="118">
        <v>876</v>
      </c>
      <c r="U100" s="53"/>
      <c r="V100" s="130">
        <v>62</v>
      </c>
      <c r="W100" s="469">
        <f>SUM(R100:V100)</f>
        <v>1051</v>
      </c>
      <c r="X100" s="60"/>
      <c r="Y100" s="1177">
        <f>P100-V100-(IF(AND('[1]Motpart'!$Y$38="",'[1]Motpart'!$Z$38=""),0,IF(AND('[1]Motpart'!$Y$38=0,'[1]Motpart'!$Z$38=0),0,((T100/$T$109)*('[1]Motpart'!$Y$38+'[1]Motpart'!$Z$38)))))</f>
        <v>3823.743478142025</v>
      </c>
      <c r="Z100" s="1203"/>
      <c r="AA100" s="1189"/>
      <c r="AB100" s="1190"/>
      <c r="AC100" s="1191"/>
      <c r="AD100" s="1176"/>
      <c r="AE100" s="1157"/>
      <c r="AF100" s="193"/>
    </row>
    <row r="101" spans="1:32" ht="12.75">
      <c r="A101" s="670" t="s">
        <v>300</v>
      </c>
      <c r="B101" s="993" t="s">
        <v>33</v>
      </c>
      <c r="C101" s="24">
        <v>13</v>
      </c>
      <c r="D101" s="22">
        <v>5</v>
      </c>
      <c r="E101" s="24">
        <v>4</v>
      </c>
      <c r="F101" s="24">
        <v>57</v>
      </c>
      <c r="G101" s="24">
        <v>5</v>
      </c>
      <c r="H101" s="25">
        <v>8</v>
      </c>
      <c r="I101" s="24">
        <v>0</v>
      </c>
      <c r="J101" s="118">
        <v>4</v>
      </c>
      <c r="K101" s="32"/>
      <c r="L101" s="121">
        <v>1</v>
      </c>
      <c r="M101" s="24">
        <v>3</v>
      </c>
      <c r="N101" s="25">
        <v>0</v>
      </c>
      <c r="O101" s="434">
        <f>IF(I$120=0,0,(SUM(C101:E101,G101,I101:M101)-V101)/(SUM(C$110:E$110,G$110,I$110:M$110)-V$110)*I$120)</f>
        <v>1.0577176160932504</v>
      </c>
      <c r="P101" s="433">
        <f>SUM(C101:O101)</f>
        <v>101.05771761609326</v>
      </c>
      <c r="Q101" s="52"/>
      <c r="R101" s="121">
        <v>15</v>
      </c>
      <c r="S101" s="24">
        <v>0</v>
      </c>
      <c r="T101" s="118">
        <v>78</v>
      </c>
      <c r="U101" s="53"/>
      <c r="V101" s="130">
        <v>3</v>
      </c>
      <c r="W101" s="469">
        <f>SUM(R101:V101)</f>
        <v>96</v>
      </c>
      <c r="X101" s="60"/>
      <c r="Y101" s="1177">
        <f>P101-V101-(IF(AND('[1]Motpart'!$Y$38="",'[1]Motpart'!$Z$38=""),0,IF(AND('[1]Motpart'!$Y$38=0,'[1]Motpart'!$Z$38=0),0,((T101/$T$109)*('[1]Motpart'!$Y$38+'[1]Motpart'!$Z$38)))))</f>
        <v>96.52584014284102</v>
      </c>
      <c r="Z101" s="1188"/>
      <c r="AA101" s="1189"/>
      <c r="AB101" s="1190"/>
      <c r="AC101" s="1191"/>
      <c r="AD101" s="1122"/>
      <c r="AE101" s="1204"/>
      <c r="AF101" s="193"/>
    </row>
    <row r="102" spans="1:32" ht="12.75">
      <c r="A102" s="670" t="s">
        <v>301</v>
      </c>
      <c r="B102" s="993" t="s">
        <v>34</v>
      </c>
      <c r="C102" s="418">
        <f>SUM(C99:C101)</f>
        <v>138</v>
      </c>
      <c r="D102" s="27">
        <f aca="true" t="shared" si="25" ref="D102:P102">SUM(D99:D101)</f>
        <v>53</v>
      </c>
      <c r="E102" s="418">
        <f t="shared" si="25"/>
        <v>55</v>
      </c>
      <c r="F102" s="418">
        <f t="shared" si="25"/>
        <v>1861</v>
      </c>
      <c r="G102" s="418">
        <f t="shared" si="25"/>
        <v>355</v>
      </c>
      <c r="H102" s="27">
        <f t="shared" si="25"/>
        <v>1435</v>
      </c>
      <c r="I102" s="418">
        <f t="shared" si="25"/>
        <v>24</v>
      </c>
      <c r="J102" s="122">
        <f t="shared" si="25"/>
        <v>224</v>
      </c>
      <c r="K102" s="167"/>
      <c r="L102" s="435">
        <f>SUM(L99:L101)</f>
        <v>18</v>
      </c>
      <c r="M102" s="418">
        <f t="shared" si="25"/>
        <v>54</v>
      </c>
      <c r="N102" s="27">
        <f t="shared" si="25"/>
        <v>3</v>
      </c>
      <c r="O102" s="27">
        <f t="shared" si="25"/>
        <v>28.293946230494456</v>
      </c>
      <c r="P102" s="122">
        <f t="shared" si="25"/>
        <v>4248.293946230495</v>
      </c>
      <c r="Q102" s="52"/>
      <c r="R102" s="435">
        <f>SUM(R99:R101)</f>
        <v>132</v>
      </c>
      <c r="S102" s="418">
        <f>SUM(S99:S101)</f>
        <v>18</v>
      </c>
      <c r="T102" s="122">
        <f>SUM(T99:T101)</f>
        <v>1031</v>
      </c>
      <c r="U102" s="52"/>
      <c r="V102" s="133">
        <f>SUM(V99:V101)</f>
        <v>65</v>
      </c>
      <c r="W102" s="134">
        <f>SUM(W99:W101)</f>
        <v>1246</v>
      </c>
      <c r="X102" s="60"/>
      <c r="Y102" s="1127">
        <f>SUM(Y99:Y101)</f>
        <v>4163.045668346866</v>
      </c>
      <c r="Z102" s="1188"/>
      <c r="AA102" s="1189"/>
      <c r="AB102" s="1190"/>
      <c r="AC102" s="1191"/>
      <c r="AD102" s="1122"/>
      <c r="AE102" s="1133"/>
      <c r="AF102" s="193"/>
    </row>
    <row r="103" spans="1:32" ht="12.75">
      <c r="A103" s="1009"/>
      <c r="B103" s="1006" t="s">
        <v>131</v>
      </c>
      <c r="C103" s="547"/>
      <c r="D103" s="546"/>
      <c r="E103" s="544"/>
      <c r="F103" s="544"/>
      <c r="G103" s="544"/>
      <c r="H103" s="546"/>
      <c r="I103" s="544"/>
      <c r="J103" s="545"/>
      <c r="K103" s="32"/>
      <c r="L103" s="543"/>
      <c r="M103" s="544"/>
      <c r="N103" s="546"/>
      <c r="O103" s="546"/>
      <c r="P103" s="545"/>
      <c r="Q103" s="53"/>
      <c r="R103" s="543"/>
      <c r="S103" s="544"/>
      <c r="T103" s="545"/>
      <c r="U103" s="53"/>
      <c r="V103" s="541"/>
      <c r="W103" s="542"/>
      <c r="X103" s="32"/>
      <c r="Y103" s="2113"/>
      <c r="Z103" s="1111"/>
      <c r="AA103" s="1978"/>
      <c r="AB103" s="1205"/>
      <c r="AC103" s="1206"/>
      <c r="AD103" s="1122"/>
      <c r="AE103" s="1133"/>
      <c r="AF103" s="193"/>
    </row>
    <row r="104" spans="1:32" ht="12.75">
      <c r="A104" s="670" t="s">
        <v>302</v>
      </c>
      <c r="B104" s="996" t="s">
        <v>132</v>
      </c>
      <c r="C104" s="21">
        <v>24</v>
      </c>
      <c r="D104" s="22">
        <v>9</v>
      </c>
      <c r="E104" s="21">
        <v>329</v>
      </c>
      <c r="F104" s="21">
        <v>12</v>
      </c>
      <c r="G104" s="21">
        <v>219</v>
      </c>
      <c r="H104" s="22">
        <v>7</v>
      </c>
      <c r="I104" s="21">
        <v>1</v>
      </c>
      <c r="J104" s="117">
        <v>102</v>
      </c>
      <c r="K104" s="32"/>
      <c r="L104" s="120">
        <v>1</v>
      </c>
      <c r="M104" s="21">
        <v>35</v>
      </c>
      <c r="N104" s="22">
        <v>3</v>
      </c>
      <c r="O104" s="434">
        <f>IF(I$120=0,0,(SUM(C104:E104,G104,I104:M104)-V104)/(SUM(C$110:E$110,G$110,I$110:M$110)-V$110)*I$120)</f>
        <v>20.493278811806732</v>
      </c>
      <c r="P104" s="433">
        <f>SUM(C104:O104)</f>
        <v>762.4932788118067</v>
      </c>
      <c r="Q104" s="52"/>
      <c r="R104" s="120">
        <v>391</v>
      </c>
      <c r="S104" s="21">
        <v>1</v>
      </c>
      <c r="T104" s="117">
        <v>571</v>
      </c>
      <c r="U104" s="53"/>
      <c r="V104" s="129">
        <v>100</v>
      </c>
      <c r="W104" s="469">
        <f>SUM(R104:V104)</f>
        <v>1063</v>
      </c>
      <c r="X104" s="60"/>
      <c r="Y104" s="1177">
        <f>P104-V104-(IF(AND('[1]Motpart'!$Y$38="",'[1]Motpart'!$Z$38=""),0,IF(AND('[1]Motpart'!$Y$38=0,'[1]Motpart'!$Z$38=0),0,((T104/$T$109)*('[1]Motpart'!$Y$38+'[1]Motpart'!$Z$38)))))</f>
        <v>651.2791501294089</v>
      </c>
      <c r="Z104" s="1112"/>
      <c r="AA104" s="1112"/>
      <c r="AB104" s="1112"/>
      <c r="AC104" s="1112"/>
      <c r="AD104" s="1136"/>
      <c r="AE104" s="1133"/>
      <c r="AF104" s="193"/>
    </row>
    <row r="105" spans="1:32" ht="12.75">
      <c r="A105" s="670" t="s">
        <v>303</v>
      </c>
      <c r="B105" s="993" t="s">
        <v>35</v>
      </c>
      <c r="C105" s="24">
        <v>11</v>
      </c>
      <c r="D105" s="22">
        <v>4</v>
      </c>
      <c r="E105" s="24">
        <v>163</v>
      </c>
      <c r="F105" s="24">
        <v>13</v>
      </c>
      <c r="G105" s="24">
        <v>14</v>
      </c>
      <c r="H105" s="25">
        <v>4</v>
      </c>
      <c r="I105" s="24">
        <v>1</v>
      </c>
      <c r="J105" s="118">
        <v>53</v>
      </c>
      <c r="K105" s="32"/>
      <c r="L105" s="121">
        <v>1</v>
      </c>
      <c r="M105" s="24">
        <v>14</v>
      </c>
      <c r="N105" s="25">
        <v>0</v>
      </c>
      <c r="O105" s="434">
        <f>IF(I$120=0,0,(SUM(C105:E105,G105,I105:M105)-V105)/(SUM(C$110:E$110,G$110,I$110:M$110)-V$110)*I$120)</f>
        <v>7.205701259635269</v>
      </c>
      <c r="P105" s="433">
        <f>SUM(C105:O105)</f>
        <v>285.20570125963525</v>
      </c>
      <c r="Q105" s="52"/>
      <c r="R105" s="121">
        <v>225</v>
      </c>
      <c r="S105" s="24">
        <v>0</v>
      </c>
      <c r="T105" s="118">
        <v>12</v>
      </c>
      <c r="U105" s="53"/>
      <c r="V105" s="130">
        <v>43</v>
      </c>
      <c r="W105" s="469">
        <f>SUM(R105:V105)</f>
        <v>280</v>
      </c>
      <c r="X105" s="60"/>
      <c r="Y105" s="1177">
        <f>P105-V105-(IF(AND('[1]Motpart'!$Y$38="",'[1]Motpart'!$Z$38=""),0,IF(AND('[1]Motpart'!$Y$38=0,'[1]Motpart'!$Z$38=0),0,((T105/$T$109)*('[1]Motpart'!$Y$38+'[1]Motpart'!$Z$38)))))</f>
        <v>241.97002780221183</v>
      </c>
      <c r="Z105" s="1112"/>
      <c r="AA105" s="1112"/>
      <c r="AB105" s="1112"/>
      <c r="AC105" s="1112"/>
      <c r="AD105" s="1136"/>
      <c r="AE105" s="1133"/>
      <c r="AF105" s="193"/>
    </row>
    <row r="106" spans="1:32" ht="12.75">
      <c r="A106" s="670" t="s">
        <v>304</v>
      </c>
      <c r="B106" s="993" t="s">
        <v>36</v>
      </c>
      <c r="C106" s="24">
        <v>1213</v>
      </c>
      <c r="D106" s="22">
        <v>452</v>
      </c>
      <c r="E106" s="24">
        <v>2208</v>
      </c>
      <c r="F106" s="24">
        <v>1299</v>
      </c>
      <c r="G106" s="24">
        <v>1090</v>
      </c>
      <c r="H106" s="25">
        <v>5</v>
      </c>
      <c r="I106" s="24">
        <v>22</v>
      </c>
      <c r="J106" s="118">
        <v>2086</v>
      </c>
      <c r="K106" s="32"/>
      <c r="L106" s="121">
        <v>60</v>
      </c>
      <c r="M106" s="24">
        <v>1608</v>
      </c>
      <c r="N106" s="25">
        <v>32</v>
      </c>
      <c r="O106" s="434">
        <f>IF(I$120=0,0,(SUM(C106:E106,G106,I106:M106)-V106)/(SUM(C$110:E$110,G$110,I$110:M$110)-V$110)*I$120)</f>
        <v>240.92824074074073</v>
      </c>
      <c r="P106" s="433">
        <f>SUM(C106:O106)</f>
        <v>10315.92824074074</v>
      </c>
      <c r="Q106" s="52"/>
      <c r="R106" s="121">
        <v>8510</v>
      </c>
      <c r="S106" s="24">
        <v>7</v>
      </c>
      <c r="T106" s="118">
        <v>418</v>
      </c>
      <c r="U106" s="53"/>
      <c r="V106" s="130">
        <v>1450</v>
      </c>
      <c r="W106" s="469">
        <f>SUM(R106:V106)</f>
        <v>10385</v>
      </c>
      <c r="X106" s="60"/>
      <c r="Y106" s="1177">
        <f>P106-V106-(IF(AND('[1]Motpart'!$Y$38="",'[1]Motpart'!$Z$38=""),0,IF(AND('[1]Motpart'!$Y$38=0,'[1]Motpart'!$Z$38=0),0,((T106/$T$109)*('[1]Motpart'!$Y$38+'[1]Motpart'!$Z$38)))))</f>
        <v>8857.718948640491</v>
      </c>
      <c r="Z106" s="1112"/>
      <c r="AA106" s="1112"/>
      <c r="AB106" s="1112"/>
      <c r="AC106" s="1112"/>
      <c r="AD106" s="1136"/>
      <c r="AE106" s="1133"/>
      <c r="AF106" s="193"/>
    </row>
    <row r="107" spans="1:32" ht="12.75">
      <c r="A107" s="670" t="s">
        <v>305</v>
      </c>
      <c r="B107" s="993" t="s">
        <v>37</v>
      </c>
      <c r="C107" s="24">
        <v>522</v>
      </c>
      <c r="D107" s="22">
        <v>189</v>
      </c>
      <c r="E107" s="24">
        <v>369</v>
      </c>
      <c r="F107" s="24">
        <v>2227</v>
      </c>
      <c r="G107" s="24">
        <v>828</v>
      </c>
      <c r="H107" s="25">
        <v>3</v>
      </c>
      <c r="I107" s="24">
        <v>15</v>
      </c>
      <c r="J107" s="118">
        <v>222</v>
      </c>
      <c r="K107" s="32"/>
      <c r="L107" s="121">
        <v>25</v>
      </c>
      <c r="M107" s="24">
        <v>656</v>
      </c>
      <c r="N107" s="25">
        <v>16</v>
      </c>
      <c r="O107" s="434">
        <f>IF(I$120=0,0,(SUM(C107:E107,G107,I107:M107)-V107)/(SUM(C$110:E$110,G$110,I$110:M$110)-V$110)*I$120)</f>
        <v>73.41221329197217</v>
      </c>
      <c r="P107" s="433">
        <f>SUM(C107:O107)</f>
        <v>5145.412213291972</v>
      </c>
      <c r="Q107" s="52"/>
      <c r="R107" s="121">
        <v>4209</v>
      </c>
      <c r="S107" s="24">
        <v>4</v>
      </c>
      <c r="T107" s="118">
        <v>281</v>
      </c>
      <c r="U107" s="53"/>
      <c r="V107" s="130">
        <v>605</v>
      </c>
      <c r="W107" s="469">
        <f>SUM(R107:V107)</f>
        <v>5099</v>
      </c>
      <c r="X107" s="60"/>
      <c r="Y107" s="1177">
        <f>P107-V107-(IF(AND('[1]Motpart'!$Y$38="",'[1]Motpart'!$Z$38=""),0,IF(AND('[1]Motpart'!$Y$38=0,'[1]Motpart'!$Z$38=0),0,((T107/$T$109)*('[1]Motpart'!$Y$38+'[1]Motpart'!$Z$38)))))</f>
        <v>4534.893526497307</v>
      </c>
      <c r="Z107" s="1112"/>
      <c r="AA107" s="1112"/>
      <c r="AB107" s="1112"/>
      <c r="AC107" s="1112"/>
      <c r="AD107" s="1136"/>
      <c r="AE107" s="1133"/>
      <c r="AF107" s="193"/>
    </row>
    <row r="108" spans="1:32" ht="12.75" customHeight="1">
      <c r="A108" s="670" t="s">
        <v>306</v>
      </c>
      <c r="B108" s="993" t="s">
        <v>133</v>
      </c>
      <c r="C108" s="418">
        <f>SUM(C104:C107)</f>
        <v>1770</v>
      </c>
      <c r="D108" s="27">
        <f aca="true" t="shared" si="26" ref="D108:P108">SUM(D104:D107)</f>
        <v>654</v>
      </c>
      <c r="E108" s="418">
        <f t="shared" si="26"/>
        <v>3069</v>
      </c>
      <c r="F108" s="418">
        <f t="shared" si="26"/>
        <v>3551</v>
      </c>
      <c r="G108" s="418">
        <f t="shared" si="26"/>
        <v>2151</v>
      </c>
      <c r="H108" s="27">
        <f t="shared" si="26"/>
        <v>19</v>
      </c>
      <c r="I108" s="418">
        <f t="shared" si="26"/>
        <v>39</v>
      </c>
      <c r="J108" s="122">
        <f t="shared" si="26"/>
        <v>2463</v>
      </c>
      <c r="K108" s="167"/>
      <c r="L108" s="435">
        <f>SUM(L104:L107)</f>
        <v>87</v>
      </c>
      <c r="M108" s="418">
        <f t="shared" si="26"/>
        <v>2313</v>
      </c>
      <c r="N108" s="27">
        <f t="shared" si="26"/>
        <v>51</v>
      </c>
      <c r="O108" s="27">
        <f t="shared" si="26"/>
        <v>342.0394341041549</v>
      </c>
      <c r="P108" s="122">
        <f t="shared" si="26"/>
        <v>16509.039434104154</v>
      </c>
      <c r="Q108" s="52"/>
      <c r="R108" s="435">
        <f>SUM(R104:R107)</f>
        <v>13335</v>
      </c>
      <c r="S108" s="418">
        <f>SUM(S104:S107)</f>
        <v>12</v>
      </c>
      <c r="T108" s="122">
        <f>SUM(T104:T107)</f>
        <v>1282</v>
      </c>
      <c r="U108" s="52"/>
      <c r="V108" s="133">
        <f>SUM(V104:V107)</f>
        <v>2198</v>
      </c>
      <c r="W108" s="134">
        <f>SUM(W104:W107)</f>
        <v>16827</v>
      </c>
      <c r="X108" s="60"/>
      <c r="Y108" s="1127">
        <f>SUM(Y104:Y107)</f>
        <v>14285.86165306942</v>
      </c>
      <c r="Z108" s="1112"/>
      <c r="AA108" s="1112"/>
      <c r="AB108" s="1112"/>
      <c r="AC108" s="1112"/>
      <c r="AD108" s="1136"/>
      <c r="AE108" s="1133"/>
      <c r="AF108" s="193"/>
    </row>
    <row r="109" spans="1:32" ht="12.75" customHeight="1">
      <c r="A109" s="670" t="s">
        <v>307</v>
      </c>
      <c r="B109" s="993" t="s">
        <v>38</v>
      </c>
      <c r="C109" s="418">
        <f>SUM(C97,C102,C108)</f>
        <v>2545</v>
      </c>
      <c r="D109" s="27">
        <f aca="true" t="shared" si="27" ref="D109:P109">SUM(D97,D102,D108)</f>
        <v>950</v>
      </c>
      <c r="E109" s="418">
        <f t="shared" si="27"/>
        <v>4790</v>
      </c>
      <c r="F109" s="418">
        <f t="shared" si="27"/>
        <v>5606</v>
      </c>
      <c r="G109" s="418">
        <f t="shared" si="27"/>
        <v>3406</v>
      </c>
      <c r="H109" s="27">
        <f t="shared" si="27"/>
        <v>1510</v>
      </c>
      <c r="I109" s="418">
        <f t="shared" si="27"/>
        <v>648</v>
      </c>
      <c r="J109" s="122">
        <f t="shared" si="27"/>
        <v>5181</v>
      </c>
      <c r="K109" s="167"/>
      <c r="L109" s="435">
        <f>SUM(L97,L102,L108)</f>
        <v>275</v>
      </c>
      <c r="M109" s="418">
        <f t="shared" si="27"/>
        <v>2930</v>
      </c>
      <c r="N109" s="27">
        <f t="shared" si="27"/>
        <v>78</v>
      </c>
      <c r="O109" s="27">
        <f t="shared" si="27"/>
        <v>550.1784287460049</v>
      </c>
      <c r="P109" s="122">
        <f t="shared" si="27"/>
        <v>28469.178428746003</v>
      </c>
      <c r="Q109" s="52"/>
      <c r="R109" s="435">
        <f>SUM(R97,R102,R108)</f>
        <v>13824</v>
      </c>
      <c r="S109" s="418">
        <f>SUM(S97,S102,S108)</f>
        <v>1946</v>
      </c>
      <c r="T109" s="122">
        <f>SUM(T97,T102,T108)</f>
        <v>6823</v>
      </c>
      <c r="U109" s="52"/>
      <c r="V109" s="133">
        <f>SUM(V97,V102,V108)</f>
        <v>4080</v>
      </c>
      <c r="W109" s="134">
        <f>SUM(W97,W102,W108)</f>
        <v>26673</v>
      </c>
      <c r="X109" s="60"/>
      <c r="Y109" s="1127">
        <f>P109-V109-SUM('[1]Motpart'!Y38:Z38)</f>
        <v>24255.178428746003</v>
      </c>
      <c r="Z109" s="1141">
        <f>(P109-W109)*1000000/invanare</f>
        <v>184.2734186603446</v>
      </c>
      <c r="AA109" s="1142">
        <f>Y109*1000000/invanare</f>
        <v>2488.3856624434015</v>
      </c>
      <c r="AB109" s="1175">
        <v>2500</v>
      </c>
      <c r="AC109" s="1143">
        <f>IF(ISERROR((AA109-AB109)/AB109)," ",((AA109-AB109)/AB109))</f>
        <v>-0.004645735022639383</v>
      </c>
      <c r="AD109" s="1130"/>
      <c r="AE109" s="1138">
        <f>IF(ISERROR(F109/(AA109/1000000*invanare)),"",(F109/(AA109/100000000*invanare)))</f>
        <v>23.112590230859958</v>
      </c>
      <c r="AF109" s="193"/>
    </row>
    <row r="110" spans="1:32" ht="12.75" customHeight="1" thickBot="1">
      <c r="A110" s="674" t="s">
        <v>308</v>
      </c>
      <c r="B110" s="993" t="s">
        <v>134</v>
      </c>
      <c r="C110" s="418">
        <f>SUM(C90,C109)</f>
        <v>207947</v>
      </c>
      <c r="D110" s="449">
        <f aca="true" t="shared" si="28" ref="D110:P110">SUM(D90,D109)</f>
        <v>78125</v>
      </c>
      <c r="E110" s="418">
        <f t="shared" si="28"/>
        <v>27123</v>
      </c>
      <c r="F110" s="418">
        <f t="shared" si="28"/>
        <v>109603</v>
      </c>
      <c r="G110" s="418">
        <f t="shared" si="28"/>
        <v>34877</v>
      </c>
      <c r="H110" s="27">
        <f t="shared" si="28"/>
        <v>27002</v>
      </c>
      <c r="I110" s="418">
        <f t="shared" si="28"/>
        <v>18244</v>
      </c>
      <c r="J110" s="122">
        <f t="shared" si="28"/>
        <v>14848</v>
      </c>
      <c r="K110" s="167"/>
      <c r="L110" s="435">
        <f>SUM(L90,L109)</f>
        <v>33553</v>
      </c>
      <c r="M110" s="418">
        <f t="shared" si="28"/>
        <v>73218</v>
      </c>
      <c r="N110" s="441">
        <f t="shared" si="28"/>
        <v>2367</v>
      </c>
      <c r="O110" s="441">
        <f t="shared" si="28"/>
        <v>14065</v>
      </c>
      <c r="P110" s="122">
        <f t="shared" si="28"/>
        <v>640972</v>
      </c>
      <c r="Q110" s="52"/>
      <c r="R110" s="435">
        <f>SUM(R90,R109)</f>
        <v>32358</v>
      </c>
      <c r="S110" s="418">
        <f>SUM(S90,S109)</f>
        <v>8913</v>
      </c>
      <c r="T110" s="122">
        <f>SUM(T90,T109)</f>
        <v>68980</v>
      </c>
      <c r="U110" s="52"/>
      <c r="V110" s="133">
        <f>SUM(V90,V109)</f>
        <v>62415</v>
      </c>
      <c r="W110" s="134">
        <f>SUM(W90,W109)</f>
        <v>172666</v>
      </c>
      <c r="X110" s="60"/>
      <c r="Y110" s="1185"/>
      <c r="Z110" s="1207"/>
      <c r="AA110" s="1208"/>
      <c r="AB110" s="1209"/>
      <c r="AC110" s="1210"/>
      <c r="AD110" s="1122"/>
      <c r="AE110" s="1133">
        <f>IF(ISERROR(F109/(AA109/1000000*invanare)),"",SUM(Motpart!D38,Motpart!F38)/(AA109/100000000*invanare))</f>
        <v>12.04691199689133</v>
      </c>
      <c r="AF110" s="193"/>
    </row>
    <row r="111" spans="1:32" ht="12.75">
      <c r="A111" s="670" t="s">
        <v>309</v>
      </c>
      <c r="B111" s="1015" t="s">
        <v>39</v>
      </c>
      <c r="C111" s="29">
        <v>2365</v>
      </c>
      <c r="D111" s="30">
        <v>905</v>
      </c>
      <c r="E111" s="29">
        <v>7773</v>
      </c>
      <c r="F111" s="29">
        <v>547</v>
      </c>
      <c r="G111" s="29">
        <v>4055</v>
      </c>
      <c r="H111" s="30">
        <v>14</v>
      </c>
      <c r="I111" s="29">
        <v>8427</v>
      </c>
      <c r="J111" s="119">
        <v>10872</v>
      </c>
      <c r="K111" s="32"/>
      <c r="L111" s="123">
        <v>395</v>
      </c>
      <c r="M111" s="29">
        <v>3729</v>
      </c>
      <c r="N111" s="450">
        <v>0</v>
      </c>
      <c r="O111" s="451"/>
      <c r="P111" s="132">
        <f>SUM(C111:O111)</f>
        <v>39082</v>
      </c>
      <c r="Q111" s="52"/>
      <c r="R111" s="123">
        <v>124</v>
      </c>
      <c r="S111" s="29">
        <v>3473</v>
      </c>
      <c r="T111" s="119">
        <v>1220</v>
      </c>
      <c r="U111" s="53"/>
      <c r="V111" s="131">
        <v>34703</v>
      </c>
      <c r="W111" s="132">
        <f>SUM(R111:V111)</f>
        <v>39520</v>
      </c>
      <c r="X111" s="60"/>
      <c r="Y111" s="2121"/>
      <c r="Z111" s="1188"/>
      <c r="AA111" s="1189"/>
      <c r="AB111" s="1190"/>
      <c r="AC111" s="1191"/>
      <c r="AD111" s="1211"/>
      <c r="AE111" s="1123"/>
      <c r="AF111" s="193"/>
    </row>
    <row r="112" spans="1:32" ht="13.5" thickBot="1">
      <c r="A112" s="672" t="s">
        <v>310</v>
      </c>
      <c r="B112" s="993" t="s">
        <v>40</v>
      </c>
      <c r="C112" s="24">
        <v>13684</v>
      </c>
      <c r="D112" s="22">
        <v>5143</v>
      </c>
      <c r="E112" s="24">
        <v>3889</v>
      </c>
      <c r="F112" s="24">
        <v>365</v>
      </c>
      <c r="G112" s="24">
        <v>9413</v>
      </c>
      <c r="H112" s="25">
        <v>393</v>
      </c>
      <c r="I112" s="24">
        <v>680</v>
      </c>
      <c r="J112" s="118">
        <v>1677</v>
      </c>
      <c r="K112" s="32"/>
      <c r="L112" s="121">
        <v>1521</v>
      </c>
      <c r="M112" s="24">
        <v>6597</v>
      </c>
      <c r="N112" s="452">
        <v>0</v>
      </c>
      <c r="O112" s="453"/>
      <c r="P112" s="454">
        <f>SUM(C112:O112)</f>
        <v>43362</v>
      </c>
      <c r="Q112" s="52"/>
      <c r="R112" s="124">
        <v>540</v>
      </c>
      <c r="S112" s="125">
        <v>159</v>
      </c>
      <c r="T112" s="126">
        <v>3770</v>
      </c>
      <c r="U112" s="53"/>
      <c r="V112" s="133">
        <v>38919</v>
      </c>
      <c r="W112" s="134">
        <f>SUM(R112:V112)</f>
        <v>43388</v>
      </c>
      <c r="X112" s="60"/>
      <c r="Y112" s="1177"/>
      <c r="Z112" s="1212"/>
      <c r="AA112" s="1145"/>
      <c r="AB112" s="1146"/>
      <c r="AC112" s="1147"/>
      <c r="AD112" s="1122"/>
      <c r="AE112" s="1123"/>
      <c r="AF112" s="193"/>
    </row>
    <row r="113" spans="1:32" ht="12.75" customHeight="1" thickBot="1">
      <c r="A113" s="762" t="s">
        <v>311</v>
      </c>
      <c r="B113" s="1016" t="s">
        <v>41</v>
      </c>
      <c r="C113" s="459">
        <f>SUM(C110:C112)</f>
        <v>223996</v>
      </c>
      <c r="D113" s="457">
        <f aca="true" t="shared" si="29" ref="D113:W113">SUM(D110:D112)</f>
        <v>84173</v>
      </c>
      <c r="E113" s="456">
        <f t="shared" si="29"/>
        <v>38785</v>
      </c>
      <c r="F113" s="456">
        <f t="shared" si="29"/>
        <v>110515</v>
      </c>
      <c r="G113" s="456">
        <f t="shared" si="29"/>
        <v>48345</v>
      </c>
      <c r="H113" s="457">
        <f t="shared" si="29"/>
        <v>27409</v>
      </c>
      <c r="I113" s="460">
        <f t="shared" si="29"/>
        <v>27351</v>
      </c>
      <c r="J113" s="461">
        <f t="shared" si="29"/>
        <v>27397</v>
      </c>
      <c r="K113" s="167"/>
      <c r="L113" s="455">
        <f>SUM(L110:L112)</f>
        <v>35469</v>
      </c>
      <c r="M113" s="456">
        <f t="shared" si="29"/>
        <v>83544</v>
      </c>
      <c r="N113" s="457">
        <f t="shared" si="29"/>
        <v>2367</v>
      </c>
      <c r="O113" s="457">
        <f>SUM(O110:O112)</f>
        <v>14065</v>
      </c>
      <c r="P113" s="458">
        <f t="shared" si="29"/>
        <v>723416</v>
      </c>
      <c r="Q113" s="52"/>
      <c r="R113" s="459">
        <f t="shared" si="29"/>
        <v>33022</v>
      </c>
      <c r="S113" s="456">
        <f t="shared" si="29"/>
        <v>12545</v>
      </c>
      <c r="T113" s="457">
        <f t="shared" si="29"/>
        <v>73970</v>
      </c>
      <c r="U113" s="128"/>
      <c r="V113" s="474">
        <f t="shared" si="29"/>
        <v>136037</v>
      </c>
      <c r="W113" s="475">
        <f t="shared" si="29"/>
        <v>255574</v>
      </c>
      <c r="X113" s="60"/>
      <c r="Y113" s="2122"/>
      <c r="Z113" s="1213"/>
      <c r="AA113" s="1214"/>
      <c r="AB113" s="1215"/>
      <c r="AC113" s="1210"/>
      <c r="AD113" s="1216"/>
      <c r="AE113" s="1217"/>
      <c r="AF113" s="193"/>
    </row>
    <row r="114" spans="1:32" ht="12.75">
      <c r="A114" s="1563"/>
      <c r="B114" s="1564"/>
      <c r="C114" s="1565"/>
      <c r="D114" s="235"/>
      <c r="E114" s="15"/>
      <c r="F114" s="236"/>
      <c r="G114" s="31"/>
      <c r="H114" s="42"/>
      <c r="I114" s="2210" t="s">
        <v>606</v>
      </c>
      <c r="J114" s="2211"/>
      <c r="K114" s="2211"/>
      <c r="L114" s="2212"/>
      <c r="M114" s="462">
        <f>I118</f>
        <v>22461</v>
      </c>
      <c r="N114" s="202"/>
      <c r="O114" s="33"/>
      <c r="P114" s="33"/>
      <c r="Q114" s="233"/>
      <c r="R114" s="33"/>
      <c r="S114" s="33"/>
      <c r="T114" s="33"/>
      <c r="U114" s="233"/>
      <c r="V114" s="33"/>
      <c r="W114" s="33"/>
      <c r="X114" s="33"/>
      <c r="Y114" s="33"/>
      <c r="Z114" s="59"/>
      <c r="AA114" s="59"/>
      <c r="AB114" s="59"/>
      <c r="AC114" s="59"/>
      <c r="AD114" s="4"/>
      <c r="AE114" s="481"/>
      <c r="AF114" s="193"/>
    </row>
    <row r="115" spans="1:32" ht="13.5" thickBot="1">
      <c r="A115" s="12"/>
      <c r="B115" s="41"/>
      <c r="C115" s="194"/>
      <c r="D115" s="194"/>
      <c r="E115" s="194"/>
      <c r="F115" s="194"/>
      <c r="G115" s="194"/>
      <c r="H115" s="33"/>
      <c r="I115" s="33"/>
      <c r="J115" s="35"/>
      <c r="K115" s="35"/>
      <c r="L115" s="238"/>
      <c r="M115" s="239"/>
      <c r="N115" s="239"/>
      <c r="O115" s="239"/>
      <c r="P115" s="56"/>
      <c r="Q115" s="2095"/>
      <c r="R115" s="2096"/>
      <c r="S115" s="237"/>
      <c r="T115" s="33"/>
      <c r="U115" s="233"/>
      <c r="V115" s="33"/>
      <c r="W115" s="40"/>
      <c r="X115" s="2095"/>
      <c r="Y115" s="2096"/>
      <c r="Z115" s="208"/>
      <c r="AA115" s="208"/>
      <c r="AB115" s="5"/>
      <c r="AC115" s="13"/>
      <c r="AD115" s="4"/>
      <c r="AE115" s="481"/>
      <c r="AF115" s="193"/>
    </row>
    <row r="116" spans="1:32" ht="16.5" thickBot="1">
      <c r="A116" s="240"/>
      <c r="B116" s="194"/>
      <c r="C116" s="194"/>
      <c r="D116" s="194"/>
      <c r="E116" s="37" t="s">
        <v>159</v>
      </c>
      <c r="F116" s="36"/>
      <c r="G116" s="33"/>
      <c r="H116" s="31"/>
      <c r="I116" s="31"/>
      <c r="J116" s="208"/>
      <c r="K116" s="208"/>
      <c r="L116" s="1218">
        <v>960</v>
      </c>
      <c r="M116" s="1231" t="s">
        <v>237</v>
      </c>
      <c r="N116" s="1232"/>
      <c r="O116" s="1232"/>
      <c r="P116" s="463">
        <f>-SUM(D113,J113)</f>
        <v>-111570</v>
      </c>
      <c r="Q116" s="1778"/>
      <c r="R116" s="1779"/>
      <c r="S116" s="1218">
        <v>970</v>
      </c>
      <c r="T116" s="1219" t="s">
        <v>160</v>
      </c>
      <c r="U116" s="1220"/>
      <c r="V116" s="1221"/>
      <c r="W116" s="463">
        <f>-V113</f>
        <v>-136037</v>
      </c>
      <c r="X116" s="1698"/>
      <c r="Y116" s="1698"/>
      <c r="AA116" s="1566"/>
      <c r="AB116" s="1566"/>
      <c r="AC116" s="1566"/>
      <c r="AD116" s="202"/>
      <c r="AE116" s="481"/>
      <c r="AF116" s="193"/>
    </row>
    <row r="117" spans="1:32" ht="16.5" customHeight="1">
      <c r="A117" s="2161"/>
      <c r="B117" s="2161"/>
      <c r="C117" s="194"/>
      <c r="D117" s="4"/>
      <c r="E117" s="1218">
        <v>922</v>
      </c>
      <c r="F117" s="1232" t="s">
        <v>135</v>
      </c>
      <c r="G117" s="1232"/>
      <c r="H117" s="1232"/>
      <c r="I117" s="465">
        <f>P112-SUM(R112:T112)</f>
        <v>38893</v>
      </c>
      <c r="J117" s="208"/>
      <c r="K117" s="208"/>
      <c r="L117" s="1223">
        <v>870</v>
      </c>
      <c r="M117" s="1233" t="s">
        <v>238</v>
      </c>
      <c r="N117" s="1234"/>
      <c r="O117" s="1235"/>
      <c r="P117" s="464">
        <f>-SUM(L113:O113)</f>
        <v>-135445</v>
      </c>
      <c r="Q117" s="208"/>
      <c r="R117" s="241"/>
      <c r="S117" s="1223">
        <v>982</v>
      </c>
      <c r="T117" s="2229" t="s">
        <v>601</v>
      </c>
      <c r="U117" s="2230"/>
      <c r="V117" s="2231"/>
      <c r="W117" s="244">
        <v>3847</v>
      </c>
      <c r="Y117" s="1566"/>
      <c r="Z117" s="1566"/>
      <c r="AA117" s="1566"/>
      <c r="AB117" s="1566"/>
      <c r="AC117" s="1566"/>
      <c r="AD117" s="194"/>
      <c r="AE117" s="481"/>
      <c r="AF117" s="193"/>
    </row>
    <row r="118" spans="1:32" ht="19.5" customHeight="1">
      <c r="A118" s="2161"/>
      <c r="B118" s="2161"/>
      <c r="C118" s="33"/>
      <c r="D118" s="36"/>
      <c r="E118" s="1223">
        <v>924</v>
      </c>
      <c r="F118" s="1239" t="s">
        <v>534</v>
      </c>
      <c r="G118" s="1234"/>
      <c r="H118" s="1235"/>
      <c r="I118" s="135">
        <v>22461</v>
      </c>
      <c r="J118" s="208"/>
      <c r="K118" s="208"/>
      <c r="L118" s="1223">
        <v>975</v>
      </c>
      <c r="M118" s="2226" t="s">
        <v>239</v>
      </c>
      <c r="N118" s="2227"/>
      <c r="O118" s="2228"/>
      <c r="P118" s="244">
        <v>92717</v>
      </c>
      <c r="Q118" s="208"/>
      <c r="R118" s="241"/>
      <c r="S118" s="1223">
        <v>985</v>
      </c>
      <c r="T118" s="1708" t="s">
        <v>1010</v>
      </c>
      <c r="U118" s="1709"/>
      <c r="V118" s="1710"/>
      <c r="W118" s="244">
        <v>3315</v>
      </c>
      <c r="X118" s="2097"/>
      <c r="Y118" s="2097"/>
      <c r="Z118" s="1566"/>
      <c r="AB118" s="1566"/>
      <c r="AC118" s="1566"/>
      <c r="AD118" s="194"/>
      <c r="AE118" s="481"/>
      <c r="AF118" s="193"/>
    </row>
    <row r="119" spans="1:32" ht="19.5" customHeight="1">
      <c r="A119" s="2161"/>
      <c r="B119" s="2161"/>
      <c r="C119" s="222"/>
      <c r="D119" s="208"/>
      <c r="E119" s="1223">
        <v>926</v>
      </c>
      <c r="F119" s="1239" t="s">
        <v>1013</v>
      </c>
      <c r="G119" s="1240"/>
      <c r="H119" s="1240"/>
      <c r="I119" s="466">
        <f>N113</f>
        <v>2367</v>
      </c>
      <c r="J119" s="208"/>
      <c r="K119" s="208"/>
      <c r="L119" s="1223">
        <v>980</v>
      </c>
      <c r="M119" s="2223" t="s">
        <v>240</v>
      </c>
      <c r="N119" s="2224"/>
      <c r="O119" s="2225"/>
      <c r="P119" s="244">
        <v>1761</v>
      </c>
      <c r="Q119" s="208"/>
      <c r="R119" s="241"/>
      <c r="S119" s="1223">
        <v>989</v>
      </c>
      <c r="T119" s="1708" t="s">
        <v>242</v>
      </c>
      <c r="U119" s="1709"/>
      <c r="V119" s="1710"/>
      <c r="W119" s="244">
        <v>902</v>
      </c>
      <c r="X119" s="349"/>
      <c r="Z119" s="222"/>
      <c r="AA119" s="1567"/>
      <c r="AB119" s="1567"/>
      <c r="AC119" s="1567"/>
      <c r="AD119" s="1567"/>
      <c r="AE119" s="1567"/>
      <c r="AF119" s="193"/>
    </row>
    <row r="120" spans="1:32" ht="15.75" customHeight="1" thickBot="1">
      <c r="A120" s="2161"/>
      <c r="B120" s="2161"/>
      <c r="C120" s="222"/>
      <c r="D120" s="208"/>
      <c r="E120" s="1227">
        <v>928</v>
      </c>
      <c r="F120" s="1777" t="s">
        <v>1014</v>
      </c>
      <c r="G120" s="1241"/>
      <c r="H120" s="1242"/>
      <c r="I120" s="467">
        <f>I117-I118-I119</f>
        <v>14065</v>
      </c>
      <c r="J120" s="208"/>
      <c r="K120" s="208"/>
      <c r="L120" s="1223">
        <v>982</v>
      </c>
      <c r="M120" s="1708" t="s">
        <v>493</v>
      </c>
      <c r="N120" s="1709"/>
      <c r="O120" s="1710"/>
      <c r="P120" s="244">
        <v>533</v>
      </c>
      <c r="Q120" s="208"/>
      <c r="R120" s="241"/>
      <c r="S120" s="1909">
        <v>988</v>
      </c>
      <c r="T120" s="1910" t="s">
        <v>905</v>
      </c>
      <c r="U120" s="1911"/>
      <c r="V120" s="1912"/>
      <c r="W120" s="1924">
        <v>0</v>
      </c>
      <c r="X120" s="1913" t="str">
        <f>IF(SUM(W120)&gt;W119,"Däravrad 988 &gt; rad 989",IF(W120&gt;0,"","Belopp saknas"))</f>
        <v>Belopp saknas</v>
      </c>
      <c r="Y120" s="1914"/>
      <c r="Z120" s="222"/>
      <c r="AA120" s="1567"/>
      <c r="AB120" s="1567"/>
      <c r="AC120" s="1567"/>
      <c r="AD120" s="1567"/>
      <c r="AE120" s="1567"/>
      <c r="AF120" s="193"/>
    </row>
    <row r="121" spans="1:32" ht="18.75" customHeight="1">
      <c r="A121" s="222"/>
      <c r="B121" s="222"/>
      <c r="C121" s="222"/>
      <c r="D121" s="208"/>
      <c r="E121" s="208"/>
      <c r="F121" s="208"/>
      <c r="G121" s="208"/>
      <c r="H121" s="208"/>
      <c r="I121" s="208"/>
      <c r="J121" s="208"/>
      <c r="K121" s="208"/>
      <c r="L121" s="1223">
        <v>985</v>
      </c>
      <c r="M121" s="1842" t="s">
        <v>997</v>
      </c>
      <c r="N121" s="1842"/>
      <c r="O121" s="1843"/>
      <c r="P121" s="244">
        <v>406</v>
      </c>
      <c r="Q121" s="2213"/>
      <c r="R121" s="2214"/>
      <c r="S121" s="1222">
        <v>887</v>
      </c>
      <c r="T121" s="1224" t="s">
        <v>491</v>
      </c>
      <c r="U121" s="1225"/>
      <c r="V121" s="1226"/>
      <c r="W121" s="468">
        <f>SUM(W113,W116:W119)</f>
        <v>127601</v>
      </c>
      <c r="X121" s="1780"/>
      <c r="Y121" s="222"/>
      <c r="Z121" s="222"/>
      <c r="AA121" s="1567"/>
      <c r="AB121" s="1567"/>
      <c r="AC121" s="1567"/>
      <c r="AD121" s="1567"/>
      <c r="AE121" s="1567"/>
      <c r="AF121" s="193"/>
    </row>
    <row r="122" spans="1:32" ht="12.75" customHeight="1" thickBot="1">
      <c r="A122" s="222"/>
      <c r="B122" s="222"/>
      <c r="C122" s="222"/>
      <c r="D122" s="208"/>
      <c r="E122" s="208"/>
      <c r="F122" s="208"/>
      <c r="G122" s="208"/>
      <c r="H122" s="208"/>
      <c r="I122" s="208"/>
      <c r="J122" s="208"/>
      <c r="K122" s="208"/>
      <c r="L122" s="1223">
        <v>989</v>
      </c>
      <c r="M122" s="1236" t="s">
        <v>241</v>
      </c>
      <c r="N122" s="1237"/>
      <c r="O122" s="1238"/>
      <c r="P122" s="2098">
        <v>1011</v>
      </c>
      <c r="Q122" s="349"/>
      <c r="S122" s="1227">
        <v>990</v>
      </c>
      <c r="T122" s="1228" t="s">
        <v>102</v>
      </c>
      <c r="U122" s="1229"/>
      <c r="V122" s="1230"/>
      <c r="W122" s="136">
        <f>RR!C7</f>
        <v>127601</v>
      </c>
      <c r="X122" s="1780"/>
      <c r="Y122" s="222"/>
      <c r="Z122" s="208"/>
      <c r="AA122" s="208"/>
      <c r="AB122" s="5"/>
      <c r="AC122" s="5"/>
      <c r="AD122" s="4"/>
      <c r="AE122" s="481"/>
      <c r="AF122" s="193"/>
    </row>
    <row r="123" spans="1:32" ht="12.75">
      <c r="A123" s="222"/>
      <c r="B123" s="222"/>
      <c r="C123" s="222"/>
      <c r="D123" s="208"/>
      <c r="E123" s="241"/>
      <c r="F123" s="241"/>
      <c r="G123" s="241"/>
      <c r="H123" s="241"/>
      <c r="I123" s="241"/>
      <c r="J123" s="208"/>
      <c r="K123" s="208"/>
      <c r="L123" s="1222">
        <v>886</v>
      </c>
      <c r="M123" s="1224" t="s">
        <v>491</v>
      </c>
      <c r="N123" s="1225"/>
      <c r="O123" s="1226"/>
      <c r="P123" s="468">
        <f>SUM(P113,P116:P122)</f>
        <v>572829</v>
      </c>
      <c r="Q123" s="1780"/>
      <c r="R123" s="222"/>
      <c r="S123" s="242"/>
      <c r="T123" s="242"/>
      <c r="U123" s="242"/>
      <c r="V123" s="242"/>
      <c r="W123" s="261">
        <f>IF(ABS(W121-W122)&lt;50,"",IF(OR(W122=0,W121=0),"",IF((SUM(W121)/(W122))&lt;&gt;1,(ROUND(W121-W122,0))&amp;" tkr differens mellan verks.intäkter i RR och summan av verks.intäkter här - måste rättas!","")))</f>
      </c>
      <c r="X123" s="222"/>
      <c r="Y123" s="222"/>
      <c r="Z123" s="208"/>
      <c r="AA123" s="208"/>
      <c r="AB123" s="5"/>
      <c r="AC123" s="5"/>
      <c r="AD123" s="4"/>
      <c r="AE123" s="481"/>
      <c r="AF123" s="193"/>
    </row>
    <row r="124" spans="1:32" ht="13.5" thickBot="1">
      <c r="A124" s="346"/>
      <c r="B124" s="222"/>
      <c r="C124" s="222"/>
      <c r="D124" s="208"/>
      <c r="E124" s="208"/>
      <c r="F124" s="208"/>
      <c r="G124" s="208"/>
      <c r="H124" s="208"/>
      <c r="I124" s="208"/>
      <c r="J124" s="208"/>
      <c r="K124" s="222"/>
      <c r="L124" s="1227">
        <v>990</v>
      </c>
      <c r="M124" s="1228" t="s">
        <v>99</v>
      </c>
      <c r="N124" s="1229"/>
      <c r="O124" s="1230"/>
      <c r="P124" s="136">
        <f>RR!C8</f>
        <v>572832</v>
      </c>
      <c r="Q124" s="1780"/>
      <c r="R124" s="222"/>
      <c r="S124" s="242"/>
      <c r="T124" s="242"/>
      <c r="U124" s="242"/>
      <c r="V124" s="242"/>
      <c r="W124" s="242"/>
      <c r="X124" s="222"/>
      <c r="Y124" s="222"/>
      <c r="Z124" s="208"/>
      <c r="AA124" s="208"/>
      <c r="AB124" s="5"/>
      <c r="AC124" s="5"/>
      <c r="AD124" s="4"/>
      <c r="AE124" s="481"/>
      <c r="AF124" s="193"/>
    </row>
    <row r="125" spans="1:32" ht="11.25" customHeight="1">
      <c r="A125" s="242"/>
      <c r="B125" s="242"/>
      <c r="C125" s="242"/>
      <c r="D125" s="241"/>
      <c r="E125" s="241"/>
      <c r="F125" s="241"/>
      <c r="G125" s="241"/>
      <c r="H125" s="241"/>
      <c r="I125" s="241"/>
      <c r="J125" s="241"/>
      <c r="K125" s="222"/>
      <c r="L125" s="241"/>
      <c r="M125" s="241"/>
      <c r="N125" s="241"/>
      <c r="O125" s="241"/>
      <c r="P125" s="261">
        <f>IF(ABS(P123-P124)&lt;50,"",IF(OR(P124=0,P123=0),"",IF((SUM(P123)/(P124))&lt;&gt;1.1,(ROUND(P123-P124,0))&amp;" tkr differens mellan verks.kostn i RR och summan av verks.kostnader här - måste rättas!","")))</f>
      </c>
      <c r="Q125" s="208"/>
      <c r="R125" s="241"/>
      <c r="S125" s="242"/>
      <c r="T125" s="242"/>
      <c r="U125" s="222"/>
      <c r="V125" s="242"/>
      <c r="W125" s="242"/>
      <c r="X125" s="222"/>
      <c r="Y125" s="242"/>
      <c r="Z125" s="241"/>
      <c r="AA125" s="241"/>
      <c r="AB125" s="1"/>
      <c r="AC125" s="1"/>
      <c r="AD125" s="193"/>
      <c r="AE125" s="482"/>
      <c r="AF125" s="193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>
      <c r="P301" s="243" t="str">
        <f>IF(P123&lt;&gt;P124,"Differens mot vht kostnader i RR, måste rättas!","")</f>
        <v>Differens mot vht kostnader i RR, måste rättas!</v>
      </c>
    </row>
    <row r="302" ht="12.75" hidden="1"/>
  </sheetData>
  <sheetProtection/>
  <mergeCells count="14">
    <mergeCell ref="Q121:R121"/>
    <mergeCell ref="AE4:AE7"/>
    <mergeCell ref="R4:T4"/>
    <mergeCell ref="Z4:AB4"/>
    <mergeCell ref="M119:O119"/>
    <mergeCell ref="M118:O118"/>
    <mergeCell ref="T117:V117"/>
    <mergeCell ref="Y5:Y6"/>
    <mergeCell ref="C4:D4"/>
    <mergeCell ref="E4:H4"/>
    <mergeCell ref="L4:O4"/>
    <mergeCell ref="I4:J4"/>
    <mergeCell ref="A117:B120"/>
    <mergeCell ref="I114:L114"/>
  </mergeCells>
  <conditionalFormatting sqref="D13:D16 D19:D29 D33:D36 D39:D41 D46:D50 D53:D57 D60:D61 D63:D65 D70:D71 D73:D76 D79:D82 D111:D112 D87:D88 D93:D96 D99:D101 D104:D107 D84">
    <cfRule type="expression" priority="7" dxfId="18" stopIfTrue="1">
      <formula>C13&lt;50</formula>
    </cfRule>
    <cfRule type="expression" priority="8" dxfId="17" stopIfTrue="1">
      <formula>(D13/C13)&gt;0.45</formula>
    </cfRule>
    <cfRule type="expression" priority="9" dxfId="17" stopIfTrue="1">
      <formula>(D13/C13)&lt;0.25</formula>
    </cfRule>
  </conditionalFormatting>
  <conditionalFormatting sqref="T51">
    <cfRule type="expression" priority="15" dxfId="17" stopIfTrue="1">
      <formula>T51-SUM(AB53:AB55)&lt;0</formula>
    </cfRule>
  </conditionalFormatting>
  <conditionalFormatting sqref="P117">
    <cfRule type="expression" priority="16" dxfId="18" stopIfTrue="1">
      <formula>ABS(P117-W116)&lt;10000</formula>
    </cfRule>
    <cfRule type="expression" priority="17" dxfId="17" stopIfTrue="1">
      <formula>ABS((P117-W116)/W116)&gt;0.05</formula>
    </cfRule>
  </conditionalFormatting>
  <conditionalFormatting sqref="W116">
    <cfRule type="expression" priority="18" dxfId="18" stopIfTrue="1">
      <formula>ABS(P117-W116)&lt;10000</formula>
    </cfRule>
    <cfRule type="expression" priority="19" dxfId="17" stopIfTrue="1">
      <formula>ABS((P117-W116)/W116)&gt;0.05</formula>
    </cfRule>
  </conditionalFormatting>
  <conditionalFormatting sqref="P111">
    <cfRule type="expression" priority="20" dxfId="18" stopIfTrue="1">
      <formula>ABS(P111-W111)&lt;10000</formula>
    </cfRule>
    <cfRule type="expression" priority="21" dxfId="17" stopIfTrue="1">
      <formula>ABS((P111-W111)/W111)&gt;0.05</formula>
    </cfRule>
  </conditionalFormatting>
  <conditionalFormatting sqref="W111">
    <cfRule type="expression" priority="42" dxfId="18" stopIfTrue="1">
      <formula>ABS(P111-W111)&lt;10000</formula>
    </cfRule>
    <cfRule type="expression" priority="43" dxfId="17" stopIfTrue="1">
      <formula>ABS((P111-W111)/W111)&gt;0.05</formula>
    </cfRule>
  </conditionalFormatting>
  <conditionalFormatting sqref="P13:P14 P23:P24">
    <cfRule type="expression" priority="25" dxfId="18" stopIfTrue="1">
      <formula>$P$123&lt;100000</formula>
    </cfRule>
    <cfRule type="cellIs" priority="26" dxfId="17" operator="lessThan" stopIfTrue="1">
      <formula>1</formula>
    </cfRule>
  </conditionalFormatting>
  <dataValidations count="1">
    <dataValidation type="decimal" operator="lessThan" allowBlank="1" showInputMessage="1" showErrorMessage="1" error="Beloppet ska vara i 1000 tal kr" sqref="P118:P122 V111 R111:U112 R93:V96 C93:N96 R99:V101 R84:V84 G114 R104:V107 C99:N101 C104:N107 C87:N88 C84:N84 I118 C79:N82 R79:V82 C111:O112 C63:N66 C70:N71 C73:N76 R73:V76 R70:V71 R63:V66 C13:N16 C19:N29 C33:N36 C39:N41 C46:N50 C53:N57 R53:V57 R46:V50 R39:V41 R33:V36 R19:V29 R13:V16 R60:V61 C60:N61 R87:V88 W117:W120">
      <formula1>99999999</formula1>
    </dataValidation>
  </dataValidations>
  <printOptions/>
  <pageMargins left="0.4330708661417323" right="0.7086614173228347" top="0.4330708661417323" bottom="0" header="0.07874015748031496" footer="0.03937007874015748"/>
  <pageSetup horizontalDpi="600" verticalDpi="600" orientation="landscape" paperSize="9" scale="83" r:id="rId1"/>
  <headerFooter>
    <oddHeader>&amp;LStatistiska Centralbyrån
Offentlig ekonomi</oddHeader>
  </headerFooter>
  <rowBreaks count="3" manualBreakCount="3">
    <brk id="43" max="255" man="1"/>
    <brk id="68" max="255" man="1"/>
    <brk id="90" max="255" man="1"/>
  </rowBreaks>
  <colBreaks count="1" manualBreakCount="1">
    <brk id="16" max="65535" man="1"/>
  </colBreaks>
  <ignoredErrors>
    <ignoredError sqref="A13:B115" numberStoredAsText="1"/>
    <ignoredError sqref="AE52 AE68 AE78" formulaRange="1"/>
    <ignoredError sqref="AA78:AA83 Z83 W83 O83:P8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D51"/>
  <sheetViews>
    <sheetView showGridLines="0" zoomScalePageLayoutView="0" workbookViewId="0" topLeftCell="A1">
      <pane xSplit="2" ySplit="8" topLeftCell="G12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X41" sqref="X41:X42"/>
    </sheetView>
  </sheetViews>
  <sheetFormatPr defaultColWidth="0" defaultRowHeight="12.75"/>
  <cols>
    <col min="1" max="1" width="5.28125" style="164" customWidth="1"/>
    <col min="2" max="2" width="30.8515625" style="164" customWidth="1"/>
    <col min="3" max="3" width="8.57421875" style="164" customWidth="1"/>
    <col min="4" max="4" width="8.7109375" style="164" customWidth="1"/>
    <col min="5" max="11" width="9.140625" style="164" customWidth="1"/>
    <col min="12" max="12" width="8.00390625" style="164" customWidth="1"/>
    <col min="13" max="13" width="9.140625" style="164" customWidth="1"/>
    <col min="14" max="14" width="8.28125" style="164" customWidth="1"/>
    <col min="15" max="22" width="9.140625" style="164" customWidth="1"/>
    <col min="23" max="23" width="8.28125" style="164" customWidth="1"/>
    <col min="24" max="24" width="8.140625" style="164" customWidth="1"/>
    <col min="25" max="27" width="9.140625" style="164" customWidth="1"/>
    <col min="28" max="28" width="8.00390625" style="164" customWidth="1"/>
    <col min="29" max="29" width="11.28125" style="164" customWidth="1"/>
    <col min="30" max="30" width="9.140625" style="164" customWidth="1"/>
    <col min="31" max="16384" width="9.140625" style="164" hidden="1" customWidth="1"/>
  </cols>
  <sheetData>
    <row r="1" spans="1:30" s="192" customFormat="1" ht="18.75" customHeight="1">
      <c r="A1" s="191"/>
      <c r="B1" s="94"/>
      <c r="C1" s="93" t="str">
        <f>"Motpartsredovisning "&amp;År&amp;", miljoner kronor"</f>
        <v>Motpartsredovisning 2014, miljoner kronor</v>
      </c>
      <c r="D1" s="94"/>
      <c r="E1" s="191"/>
      <c r="F1" s="191"/>
      <c r="G1" s="191"/>
      <c r="H1" s="191"/>
      <c r="I1" s="191"/>
      <c r="J1" s="588" t="s">
        <v>502</v>
      </c>
      <c r="K1" s="589" t="str">
        <f>'Kn Information'!B2</f>
        <v>RIKSTOTAL</v>
      </c>
      <c r="L1" s="191"/>
      <c r="M1" s="191"/>
      <c r="N1" s="93"/>
      <c r="O1" s="191"/>
      <c r="P1" s="191"/>
      <c r="Q1" s="191"/>
      <c r="R1" s="191"/>
      <c r="S1" s="93" t="str">
        <f>"Motpartsredovisning "&amp;År&amp;", miljoner kr"</f>
        <v>Motpartsredovisning 2014, miljoner kr</v>
      </c>
      <c r="T1" s="191"/>
      <c r="U1" s="191"/>
      <c r="V1" s="191"/>
      <c r="W1" s="191"/>
      <c r="X1" s="191"/>
      <c r="Y1" s="191"/>
      <c r="Z1" s="588" t="s">
        <v>502</v>
      </c>
      <c r="AA1" s="589" t="str">
        <f>'Kn Information'!B2</f>
        <v>RIKSTOTAL</v>
      </c>
      <c r="AB1" s="191"/>
      <c r="AC1" s="191"/>
      <c r="AD1" s="191"/>
    </row>
    <row r="2" spans="1:29" s="192" customFormat="1" ht="11.25" customHeight="1">
      <c r="A2" s="1546"/>
      <c r="C2" s="87"/>
      <c r="D2" s="1660"/>
      <c r="E2" s="166"/>
      <c r="J2" s="166"/>
      <c r="M2" s="230"/>
      <c r="N2" s="86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3:29" ht="11.25" customHeight="1" thickBot="1">
      <c r="C3" s="144"/>
      <c r="D3" s="1660"/>
      <c r="E3" s="166"/>
      <c r="F3" s="1944"/>
      <c r="G3" s="1944"/>
      <c r="H3" s="1944"/>
      <c r="I3" s="1944"/>
      <c r="J3" s="166"/>
      <c r="K3" s="46"/>
      <c r="L3" s="46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s="1646" customFormat="1" ht="18" customHeight="1">
      <c r="A4" s="1639" t="s">
        <v>695</v>
      </c>
      <c r="B4" s="1640" t="s">
        <v>21</v>
      </c>
      <c r="C4" s="1628"/>
      <c r="D4" s="1648" t="s">
        <v>943</v>
      </c>
      <c r="E4" s="1644"/>
      <c r="F4" s="1644"/>
      <c r="G4" s="1644"/>
      <c r="H4" s="1644"/>
      <c r="I4" s="1644"/>
      <c r="J4" s="1644"/>
      <c r="K4" s="1640"/>
      <c r="L4" s="1640"/>
      <c r="M4" s="1641"/>
      <c r="N4" s="1647" t="s">
        <v>906</v>
      </c>
      <c r="O4" s="1640"/>
      <c r="P4" s="1640"/>
      <c r="Q4" s="1640"/>
      <c r="R4" s="1640"/>
      <c r="S4" s="1640"/>
      <c r="T4" s="1640"/>
      <c r="U4" s="1640"/>
      <c r="V4" s="1640"/>
      <c r="W4" s="1640"/>
      <c r="X4" s="1642"/>
      <c r="Y4" s="1648" t="s">
        <v>618</v>
      </c>
      <c r="Z4" s="1643"/>
      <c r="AA4" s="1644"/>
      <c r="AB4" s="1644"/>
      <c r="AC4" s="1645"/>
    </row>
    <row r="5" spans="1:29" ht="29.25" customHeight="1">
      <c r="A5" s="901" t="s">
        <v>698</v>
      </c>
      <c r="B5" s="1251"/>
      <c r="C5" s="1809" t="s">
        <v>563</v>
      </c>
      <c r="D5" s="1252" t="s">
        <v>520</v>
      </c>
      <c r="E5" s="1246" t="s">
        <v>551</v>
      </c>
      <c r="F5" s="1246" t="s">
        <v>521</v>
      </c>
      <c r="G5" s="1246" t="s">
        <v>136</v>
      </c>
      <c r="H5" s="1246" t="s">
        <v>978</v>
      </c>
      <c r="I5" s="1246" t="s">
        <v>523</v>
      </c>
      <c r="J5" s="1246" t="s">
        <v>979</v>
      </c>
      <c r="K5" s="1246" t="s">
        <v>980</v>
      </c>
      <c r="L5" s="1246" t="s">
        <v>169</v>
      </c>
      <c r="M5" s="1248" t="s">
        <v>570</v>
      </c>
      <c r="N5" s="1758" t="s">
        <v>563</v>
      </c>
      <c r="O5" s="1246" t="s">
        <v>520</v>
      </c>
      <c r="P5" s="1629" t="s">
        <v>551</v>
      </c>
      <c r="Q5" s="1629" t="s">
        <v>521</v>
      </c>
      <c r="R5" s="1629" t="s">
        <v>136</v>
      </c>
      <c r="S5" s="1629" t="s">
        <v>503</v>
      </c>
      <c r="T5" s="1629" t="s">
        <v>980</v>
      </c>
      <c r="U5" s="1629" t="s">
        <v>981</v>
      </c>
      <c r="V5" s="1629" t="s">
        <v>979</v>
      </c>
      <c r="W5" s="1629" t="s">
        <v>169</v>
      </c>
      <c r="X5" s="1244" t="s">
        <v>570</v>
      </c>
      <c r="Y5" s="1245" t="s">
        <v>956</v>
      </c>
      <c r="Z5" s="1246" t="s">
        <v>524</v>
      </c>
      <c r="AA5" s="1247" t="s">
        <v>525</v>
      </c>
      <c r="AB5" s="1247" t="s">
        <v>526</v>
      </c>
      <c r="AC5" s="1248" t="s">
        <v>527</v>
      </c>
    </row>
    <row r="6" spans="1:29" ht="27" customHeight="1" thickBot="1">
      <c r="A6" s="1253"/>
      <c r="B6" s="1855" t="s">
        <v>865</v>
      </c>
      <c r="C6" s="1757"/>
      <c r="D6" s="1847" t="s">
        <v>907</v>
      </c>
      <c r="E6" s="1848" t="s">
        <v>908</v>
      </c>
      <c r="F6" s="1848" t="s">
        <v>909</v>
      </c>
      <c r="G6" s="1848" t="s">
        <v>910</v>
      </c>
      <c r="H6" s="1848" t="s">
        <v>911</v>
      </c>
      <c r="I6" s="1848" t="s">
        <v>912</v>
      </c>
      <c r="J6" s="1848" t="s">
        <v>913</v>
      </c>
      <c r="K6" s="1848" t="s">
        <v>914</v>
      </c>
      <c r="L6" s="1848" t="s">
        <v>915</v>
      </c>
      <c r="M6" s="1249"/>
      <c r="N6" s="1759"/>
      <c r="O6" s="1847" t="s">
        <v>907</v>
      </c>
      <c r="P6" s="1848" t="s">
        <v>908</v>
      </c>
      <c r="Q6" s="1848" t="s">
        <v>909</v>
      </c>
      <c r="R6" s="1848" t="s">
        <v>910</v>
      </c>
      <c r="S6" s="1848" t="s">
        <v>911</v>
      </c>
      <c r="T6" s="1848" t="s">
        <v>914</v>
      </c>
      <c r="U6" s="1848" t="s">
        <v>912</v>
      </c>
      <c r="V6" s="1848" t="s">
        <v>913</v>
      </c>
      <c r="W6" s="1848" t="s">
        <v>915</v>
      </c>
      <c r="X6" s="1249"/>
      <c r="Y6" s="1853" t="s">
        <v>916</v>
      </c>
      <c r="Z6" s="1752" t="s">
        <v>917</v>
      </c>
      <c r="AA6" s="1848" t="s">
        <v>918</v>
      </c>
      <c r="AB6" s="1848" t="s">
        <v>144</v>
      </c>
      <c r="AC6" s="1854" t="s">
        <v>982</v>
      </c>
    </row>
    <row r="7" spans="1:29" ht="2.25" customHeight="1" hidden="1" thickBot="1">
      <c r="A7" s="1254"/>
      <c r="B7" s="2238"/>
      <c r="C7" s="1844"/>
      <c r="D7" s="2240"/>
      <c r="E7" s="2242"/>
      <c r="F7" s="2242"/>
      <c r="G7" s="2242"/>
      <c r="H7" s="2242"/>
      <c r="I7" s="2242"/>
      <c r="J7" s="2242"/>
      <c r="K7" s="2242"/>
      <c r="L7" s="1856"/>
      <c r="M7" s="1849"/>
      <c r="N7" s="1850"/>
      <c r="O7" s="2240"/>
      <c r="P7" s="2242"/>
      <c r="Q7" s="2242"/>
      <c r="R7" s="2242"/>
      <c r="S7" s="2242"/>
      <c r="T7" s="2242"/>
      <c r="U7" s="2252"/>
      <c r="V7" s="2242"/>
      <c r="W7" s="1856"/>
      <c r="X7" s="1249"/>
      <c r="Y7" s="2250"/>
      <c r="Z7" s="2244"/>
      <c r="AA7" s="2244"/>
      <c r="AB7" s="2246"/>
      <c r="AC7" s="2248"/>
    </row>
    <row r="8" spans="1:29" ht="1.5" customHeight="1">
      <c r="A8" s="1253"/>
      <c r="B8" s="2239"/>
      <c r="C8" s="1845"/>
      <c r="D8" s="2241"/>
      <c r="E8" s="2243"/>
      <c r="F8" s="2243"/>
      <c r="G8" s="2243"/>
      <c r="H8" s="2243"/>
      <c r="I8" s="2243"/>
      <c r="J8" s="2243"/>
      <c r="K8" s="2243"/>
      <c r="L8" s="1846"/>
      <c r="M8" s="1851"/>
      <c r="N8" s="1852"/>
      <c r="O8" s="2241"/>
      <c r="P8" s="2243"/>
      <c r="Q8" s="2243"/>
      <c r="R8" s="2243"/>
      <c r="S8" s="2243"/>
      <c r="T8" s="2243"/>
      <c r="U8" s="2253"/>
      <c r="V8" s="2243"/>
      <c r="W8" s="1846"/>
      <c r="X8" s="1250"/>
      <c r="Y8" s="2251"/>
      <c r="Z8" s="2245"/>
      <c r="AA8" s="2245"/>
      <c r="AB8" s="2247"/>
      <c r="AC8" s="2249"/>
    </row>
    <row r="9" spans="1:29" ht="12.75" customHeight="1">
      <c r="A9" s="1958">
        <v>190</v>
      </c>
      <c r="B9" s="1256" t="s">
        <v>23</v>
      </c>
      <c r="C9" s="99">
        <f>Drift!F17</f>
        <v>121</v>
      </c>
      <c r="D9" s="74">
        <v>2</v>
      </c>
      <c r="E9" s="74">
        <v>1</v>
      </c>
      <c r="F9" s="74">
        <v>20</v>
      </c>
      <c r="G9" s="74">
        <v>69</v>
      </c>
      <c r="H9" s="74">
        <v>1</v>
      </c>
      <c r="I9" s="74">
        <v>0</v>
      </c>
      <c r="J9" s="74">
        <v>14</v>
      </c>
      <c r="K9" s="209">
        <v>14</v>
      </c>
      <c r="L9" s="209">
        <v>0</v>
      </c>
      <c r="M9" s="508">
        <f>C9-SUM(D9:L9)</f>
        <v>0</v>
      </c>
      <c r="N9" s="509">
        <f>Drift!H17</f>
        <v>601</v>
      </c>
      <c r="O9" s="74">
        <v>446</v>
      </c>
      <c r="P9" s="74">
        <v>12</v>
      </c>
      <c r="Q9" s="74">
        <v>63</v>
      </c>
      <c r="R9" s="74">
        <v>12</v>
      </c>
      <c r="S9" s="74">
        <v>11</v>
      </c>
      <c r="T9" s="74">
        <v>36</v>
      </c>
      <c r="U9" s="74">
        <v>10</v>
      </c>
      <c r="V9" s="74">
        <v>11</v>
      </c>
      <c r="W9" s="74">
        <v>0</v>
      </c>
      <c r="X9" s="508">
        <f>N9-SUM(O9:W9)</f>
        <v>0</v>
      </c>
      <c r="Y9" s="511">
        <v>83</v>
      </c>
      <c r="Z9" s="74">
        <v>1</v>
      </c>
      <c r="AA9" s="74">
        <v>390</v>
      </c>
      <c r="AB9" s="74">
        <v>9</v>
      </c>
      <c r="AC9" s="116">
        <v>50</v>
      </c>
    </row>
    <row r="10" spans="1:29" ht="12.75" customHeight="1">
      <c r="A10" s="639" t="s">
        <v>258</v>
      </c>
      <c r="B10" s="646" t="s">
        <v>168</v>
      </c>
      <c r="C10" s="99">
        <f>Drift!F30</f>
        <v>6925</v>
      </c>
      <c r="D10" s="57">
        <v>35</v>
      </c>
      <c r="E10" s="57">
        <v>887</v>
      </c>
      <c r="F10" s="57">
        <v>2589</v>
      </c>
      <c r="G10" s="57">
        <v>424</v>
      </c>
      <c r="H10" s="57">
        <v>1</v>
      </c>
      <c r="I10" s="57">
        <v>40</v>
      </c>
      <c r="J10" s="57">
        <v>60</v>
      </c>
      <c r="K10" s="58">
        <v>2882</v>
      </c>
      <c r="L10" s="209">
        <v>7</v>
      </c>
      <c r="M10" s="508">
        <f aca="true" t="shared" si="0" ref="M10:M39">C10-SUM(D10:L10)</f>
        <v>0</v>
      </c>
      <c r="N10" s="509">
        <f>Drift!H30</f>
        <v>2482</v>
      </c>
      <c r="O10" s="57">
        <v>475</v>
      </c>
      <c r="P10" s="57">
        <v>509</v>
      </c>
      <c r="Q10" s="57">
        <v>305</v>
      </c>
      <c r="R10" s="57">
        <v>25</v>
      </c>
      <c r="S10" s="57">
        <v>2</v>
      </c>
      <c r="T10" s="57">
        <v>699</v>
      </c>
      <c r="U10" s="57">
        <v>419</v>
      </c>
      <c r="V10" s="57">
        <v>46</v>
      </c>
      <c r="W10" s="57">
        <v>1</v>
      </c>
      <c r="X10" s="508">
        <f aca="true" t="shared" si="1" ref="X10:X39">N10-SUM(O10:W10)</f>
        <v>1</v>
      </c>
      <c r="Y10" s="512">
        <v>252</v>
      </c>
      <c r="Z10" s="57">
        <v>17</v>
      </c>
      <c r="AA10" s="57">
        <v>1081</v>
      </c>
      <c r="AB10" s="57">
        <v>160</v>
      </c>
      <c r="AC10" s="200">
        <v>1650</v>
      </c>
    </row>
    <row r="11" spans="1:29" ht="12.75" customHeight="1">
      <c r="A11" s="639">
        <v>339</v>
      </c>
      <c r="B11" s="646" t="s">
        <v>78</v>
      </c>
      <c r="C11" s="99">
        <f>Drift!F37</f>
        <v>231</v>
      </c>
      <c r="D11" s="74">
        <v>60</v>
      </c>
      <c r="E11" s="74">
        <v>20</v>
      </c>
      <c r="F11" s="74">
        <v>96</v>
      </c>
      <c r="G11" s="74">
        <v>8</v>
      </c>
      <c r="H11" s="74">
        <v>2</v>
      </c>
      <c r="I11" s="74">
        <v>1</v>
      </c>
      <c r="J11" s="74">
        <v>4</v>
      </c>
      <c r="K11" s="209">
        <v>38</v>
      </c>
      <c r="L11" s="209">
        <v>1</v>
      </c>
      <c r="M11" s="508">
        <f t="shared" si="0"/>
        <v>1</v>
      </c>
      <c r="N11" s="509">
        <f>Drift!H37</f>
        <v>1612</v>
      </c>
      <c r="O11" s="74">
        <v>937</v>
      </c>
      <c r="P11" s="74">
        <v>360</v>
      </c>
      <c r="Q11" s="74">
        <v>243</v>
      </c>
      <c r="R11" s="74">
        <v>1</v>
      </c>
      <c r="S11" s="74">
        <v>20</v>
      </c>
      <c r="T11" s="74">
        <v>0</v>
      </c>
      <c r="U11" s="74">
        <v>27</v>
      </c>
      <c r="V11" s="74">
        <v>22</v>
      </c>
      <c r="W11" s="74">
        <v>2</v>
      </c>
      <c r="X11" s="508">
        <f t="shared" si="1"/>
        <v>0</v>
      </c>
      <c r="Y11" s="511">
        <v>8</v>
      </c>
      <c r="Z11" s="74">
        <v>12</v>
      </c>
      <c r="AA11" s="74">
        <v>293</v>
      </c>
      <c r="AB11" s="74">
        <v>18</v>
      </c>
      <c r="AC11" s="116">
        <v>403</v>
      </c>
    </row>
    <row r="12" spans="1:29" ht="12.75" customHeight="1">
      <c r="A12" s="639">
        <v>359</v>
      </c>
      <c r="B12" s="646" t="s">
        <v>145</v>
      </c>
      <c r="C12" s="99">
        <f>Drift!F42</f>
        <v>709</v>
      </c>
      <c r="D12" s="74">
        <v>197</v>
      </c>
      <c r="E12" s="74">
        <v>167</v>
      </c>
      <c r="F12" s="74">
        <v>311</v>
      </c>
      <c r="G12" s="74">
        <v>17</v>
      </c>
      <c r="H12" s="74">
        <v>0</v>
      </c>
      <c r="I12" s="74">
        <v>1</v>
      </c>
      <c r="J12" s="74">
        <v>3</v>
      </c>
      <c r="K12" s="209">
        <v>14</v>
      </c>
      <c r="L12" s="209">
        <v>0</v>
      </c>
      <c r="M12" s="508">
        <f t="shared" si="0"/>
        <v>-1</v>
      </c>
      <c r="N12" s="509">
        <f>Drift!H42</f>
        <v>1823</v>
      </c>
      <c r="O12" s="74">
        <v>1603</v>
      </c>
      <c r="P12" s="74">
        <v>54</v>
      </c>
      <c r="Q12" s="74">
        <v>154</v>
      </c>
      <c r="R12" s="74">
        <v>3</v>
      </c>
      <c r="S12" s="74">
        <v>1</v>
      </c>
      <c r="T12" s="74">
        <v>1</v>
      </c>
      <c r="U12" s="74">
        <v>1</v>
      </c>
      <c r="V12" s="74">
        <v>6</v>
      </c>
      <c r="W12" s="74">
        <v>0</v>
      </c>
      <c r="X12" s="508">
        <f t="shared" si="1"/>
        <v>0</v>
      </c>
      <c r="Y12" s="511">
        <v>3</v>
      </c>
      <c r="Z12" s="74">
        <v>0</v>
      </c>
      <c r="AA12" s="74">
        <v>92</v>
      </c>
      <c r="AB12" s="74">
        <v>6</v>
      </c>
      <c r="AC12" s="116">
        <v>136</v>
      </c>
    </row>
    <row r="13" spans="1:29" ht="12.75" customHeight="1">
      <c r="A13" s="639">
        <v>407</v>
      </c>
      <c r="B13" s="646" t="s">
        <v>87</v>
      </c>
      <c r="C13" s="99">
        <f>Drift!F47</f>
        <v>12752</v>
      </c>
      <c r="D13" s="57">
        <v>4235</v>
      </c>
      <c r="E13" s="57">
        <v>11</v>
      </c>
      <c r="F13" s="57">
        <v>8192</v>
      </c>
      <c r="G13" s="57">
        <v>272</v>
      </c>
      <c r="H13" s="57">
        <v>5</v>
      </c>
      <c r="I13" s="57">
        <v>18</v>
      </c>
      <c r="J13" s="57">
        <v>19</v>
      </c>
      <c r="K13" s="58">
        <v>0</v>
      </c>
      <c r="L13" s="209">
        <v>0</v>
      </c>
      <c r="M13" s="1580">
        <f>C13-SUM(D13:L13)</f>
        <v>0</v>
      </c>
      <c r="N13" s="509">
        <f>Drift!H47</f>
        <v>71</v>
      </c>
      <c r="O13" s="57">
        <v>8</v>
      </c>
      <c r="P13" s="57">
        <v>0</v>
      </c>
      <c r="Q13" s="57">
        <v>49</v>
      </c>
      <c r="R13" s="57">
        <v>0</v>
      </c>
      <c r="S13" s="57">
        <v>0</v>
      </c>
      <c r="T13" s="57">
        <v>1</v>
      </c>
      <c r="U13" s="57">
        <v>1</v>
      </c>
      <c r="V13" s="57">
        <v>12</v>
      </c>
      <c r="W13" s="57">
        <v>0</v>
      </c>
      <c r="X13" s="508">
        <f t="shared" si="1"/>
        <v>0</v>
      </c>
      <c r="Y13" s="512">
        <v>271</v>
      </c>
      <c r="Z13" s="57">
        <v>4</v>
      </c>
      <c r="AA13" s="57">
        <v>3357</v>
      </c>
      <c r="AB13" s="57">
        <v>13</v>
      </c>
      <c r="AC13" s="116">
        <v>820</v>
      </c>
    </row>
    <row r="14" spans="1:29" ht="12.75" customHeight="1">
      <c r="A14" s="639">
        <v>412</v>
      </c>
      <c r="B14" s="646" t="s">
        <v>88</v>
      </c>
      <c r="C14" s="99">
        <f>Drift!F48</f>
        <v>623</v>
      </c>
      <c r="D14" s="57">
        <v>44</v>
      </c>
      <c r="E14" s="57">
        <v>0</v>
      </c>
      <c r="F14" s="57">
        <v>563</v>
      </c>
      <c r="G14" s="57">
        <v>5</v>
      </c>
      <c r="H14" s="57">
        <v>0</v>
      </c>
      <c r="I14" s="57">
        <v>1</v>
      </c>
      <c r="J14" s="57">
        <v>10</v>
      </c>
      <c r="K14" s="58">
        <v>0</v>
      </c>
      <c r="L14" s="209">
        <v>0</v>
      </c>
      <c r="M14" s="1580">
        <f t="shared" si="0"/>
        <v>0</v>
      </c>
      <c r="N14" s="509">
        <f>Drift!H48</f>
        <v>135</v>
      </c>
      <c r="O14" s="57">
        <v>0</v>
      </c>
      <c r="P14" s="57">
        <v>0</v>
      </c>
      <c r="Q14" s="57">
        <v>2</v>
      </c>
      <c r="R14" s="57">
        <v>0</v>
      </c>
      <c r="S14" s="57">
        <v>0</v>
      </c>
      <c r="T14" s="57">
        <v>0</v>
      </c>
      <c r="U14" s="57">
        <v>2</v>
      </c>
      <c r="V14" s="57">
        <v>131</v>
      </c>
      <c r="W14" s="57">
        <v>0</v>
      </c>
      <c r="X14" s="508">
        <f t="shared" si="1"/>
        <v>0</v>
      </c>
      <c r="Y14" s="512">
        <v>7</v>
      </c>
      <c r="Z14" s="57">
        <v>0</v>
      </c>
      <c r="AA14" s="57">
        <v>34</v>
      </c>
      <c r="AB14" s="57">
        <v>0</v>
      </c>
      <c r="AC14" s="116">
        <v>32</v>
      </c>
    </row>
    <row r="15" spans="1:29" ht="12.75" customHeight="1">
      <c r="A15" s="639">
        <v>425</v>
      </c>
      <c r="B15" s="646" t="s">
        <v>90</v>
      </c>
      <c r="C15" s="99">
        <f>Drift!F50</f>
        <v>1851</v>
      </c>
      <c r="D15" s="57">
        <v>575</v>
      </c>
      <c r="E15" s="57">
        <v>0</v>
      </c>
      <c r="F15" s="57">
        <v>1133</v>
      </c>
      <c r="G15" s="57">
        <v>117</v>
      </c>
      <c r="H15" s="57">
        <v>0</v>
      </c>
      <c r="I15" s="57">
        <v>23</v>
      </c>
      <c r="J15" s="57">
        <v>2</v>
      </c>
      <c r="K15" s="58">
        <v>1</v>
      </c>
      <c r="L15" s="209">
        <v>0</v>
      </c>
      <c r="M15" s="1580">
        <f>C15-SUM(D15:L15)</f>
        <v>0</v>
      </c>
      <c r="N15" s="509">
        <f>Drift!H50</f>
        <v>4</v>
      </c>
      <c r="O15" s="57">
        <v>1</v>
      </c>
      <c r="P15" s="57">
        <v>0</v>
      </c>
      <c r="Q15" s="57">
        <v>3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08">
        <f t="shared" si="1"/>
        <v>0</v>
      </c>
      <c r="Y15" s="512">
        <v>112</v>
      </c>
      <c r="Z15" s="57">
        <v>0</v>
      </c>
      <c r="AA15" s="57">
        <v>572</v>
      </c>
      <c r="AB15" s="57">
        <v>1</v>
      </c>
      <c r="AC15" s="116">
        <v>109</v>
      </c>
    </row>
    <row r="16" spans="1:29" ht="20.25" customHeight="1">
      <c r="A16" s="639">
        <v>419</v>
      </c>
      <c r="B16" s="646" t="s">
        <v>176</v>
      </c>
      <c r="C16" s="99">
        <f>SUM(Drift!F46,Drift!F49)</f>
        <v>71</v>
      </c>
      <c r="D16" s="57">
        <v>40</v>
      </c>
      <c r="E16" s="57">
        <v>0</v>
      </c>
      <c r="F16" s="57">
        <v>30</v>
      </c>
      <c r="G16" s="57">
        <v>1</v>
      </c>
      <c r="H16" s="57">
        <v>0</v>
      </c>
      <c r="I16" s="57">
        <v>0</v>
      </c>
      <c r="J16" s="57">
        <v>0</v>
      </c>
      <c r="K16" s="58">
        <v>0</v>
      </c>
      <c r="L16" s="209">
        <v>0</v>
      </c>
      <c r="M16" s="1580">
        <f t="shared" si="0"/>
        <v>0</v>
      </c>
      <c r="N16" s="509">
        <f>SUM(Drift!H46,Drift!H49)</f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08">
        <f t="shared" si="1"/>
        <v>0</v>
      </c>
      <c r="Y16" s="512">
        <v>1</v>
      </c>
      <c r="Z16" s="57">
        <v>1</v>
      </c>
      <c r="AA16" s="57">
        <v>5</v>
      </c>
      <c r="AB16" s="57">
        <v>0</v>
      </c>
      <c r="AC16" s="116">
        <v>5</v>
      </c>
    </row>
    <row r="17" spans="1:29" ht="12.75" customHeight="1">
      <c r="A17" s="639">
        <v>435</v>
      </c>
      <c r="B17" s="646" t="s">
        <v>533</v>
      </c>
      <c r="C17" s="99">
        <f>Drift!F53</f>
        <v>717</v>
      </c>
      <c r="D17" s="57">
        <v>238</v>
      </c>
      <c r="E17" s="57">
        <v>1</v>
      </c>
      <c r="F17" s="57">
        <v>431</v>
      </c>
      <c r="G17" s="57">
        <v>33</v>
      </c>
      <c r="H17" s="57">
        <v>1</v>
      </c>
      <c r="I17" s="57">
        <v>11</v>
      </c>
      <c r="J17" s="57">
        <v>1</v>
      </c>
      <c r="K17" s="58">
        <v>1</v>
      </c>
      <c r="L17" s="209">
        <v>0</v>
      </c>
      <c r="M17" s="1580">
        <f t="shared" si="0"/>
        <v>0</v>
      </c>
      <c r="N17" s="509">
        <f>Drift!H53</f>
        <v>2</v>
      </c>
      <c r="O17" s="57">
        <v>1</v>
      </c>
      <c r="P17" s="57">
        <v>0</v>
      </c>
      <c r="Q17" s="57">
        <v>1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08">
        <f t="shared" si="1"/>
        <v>0</v>
      </c>
      <c r="Y17" s="512">
        <v>33</v>
      </c>
      <c r="Z17" s="57">
        <v>0</v>
      </c>
      <c r="AA17" s="57">
        <v>43</v>
      </c>
      <c r="AB17" s="57">
        <v>1</v>
      </c>
      <c r="AC17" s="116">
        <v>41</v>
      </c>
    </row>
    <row r="18" spans="1:29" ht="12.75" customHeight="1">
      <c r="A18" s="639">
        <v>440</v>
      </c>
      <c r="B18" s="646" t="s">
        <v>413</v>
      </c>
      <c r="C18" s="99">
        <f>Drift!F54</f>
        <v>13286</v>
      </c>
      <c r="D18" s="57">
        <v>3608</v>
      </c>
      <c r="E18" s="57">
        <v>29</v>
      </c>
      <c r="F18" s="57">
        <v>8251</v>
      </c>
      <c r="G18" s="57">
        <v>1142</v>
      </c>
      <c r="H18" s="57">
        <v>20</v>
      </c>
      <c r="I18" s="57">
        <v>182</v>
      </c>
      <c r="J18" s="57">
        <v>20</v>
      </c>
      <c r="K18" s="58">
        <v>31</v>
      </c>
      <c r="L18" s="209">
        <v>3</v>
      </c>
      <c r="M18" s="1580">
        <f t="shared" si="0"/>
        <v>0</v>
      </c>
      <c r="N18" s="509">
        <f>Drift!H54</f>
        <v>63</v>
      </c>
      <c r="O18" s="57">
        <v>11</v>
      </c>
      <c r="P18" s="57">
        <v>7</v>
      </c>
      <c r="Q18" s="57">
        <v>24</v>
      </c>
      <c r="R18" s="57">
        <v>1</v>
      </c>
      <c r="S18" s="57">
        <v>0</v>
      </c>
      <c r="T18" s="57">
        <v>9</v>
      </c>
      <c r="U18" s="57">
        <v>5</v>
      </c>
      <c r="V18" s="57">
        <v>5</v>
      </c>
      <c r="W18" s="57">
        <v>0</v>
      </c>
      <c r="X18" s="508">
        <f t="shared" si="1"/>
        <v>1</v>
      </c>
      <c r="Y18" s="512">
        <v>1166</v>
      </c>
      <c r="Z18" s="57">
        <v>3</v>
      </c>
      <c r="AA18" s="57">
        <v>1848</v>
      </c>
      <c r="AB18" s="57">
        <v>38</v>
      </c>
      <c r="AC18" s="116">
        <v>868</v>
      </c>
    </row>
    <row r="19" spans="1:29" ht="12.75" customHeight="1">
      <c r="A19" s="639">
        <v>443</v>
      </c>
      <c r="B19" s="646" t="s">
        <v>680</v>
      </c>
      <c r="C19" s="99">
        <f>Drift!F55</f>
        <v>498</v>
      </c>
      <c r="D19" s="57">
        <v>60</v>
      </c>
      <c r="E19" s="57">
        <v>0</v>
      </c>
      <c r="F19" s="57">
        <v>183</v>
      </c>
      <c r="G19" s="57">
        <v>240</v>
      </c>
      <c r="H19" s="57">
        <v>2</v>
      </c>
      <c r="I19" s="57">
        <v>12</v>
      </c>
      <c r="J19" s="57">
        <v>0</v>
      </c>
      <c r="K19" s="58">
        <v>0</v>
      </c>
      <c r="L19" s="209">
        <v>0</v>
      </c>
      <c r="M19" s="1580">
        <f t="shared" si="0"/>
        <v>1</v>
      </c>
      <c r="N19" s="509">
        <f>Drift!H55</f>
        <v>3</v>
      </c>
      <c r="O19" s="57">
        <v>0</v>
      </c>
      <c r="P19" s="57">
        <v>3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08">
        <f t="shared" si="1"/>
        <v>0</v>
      </c>
      <c r="Y19" s="512">
        <v>249</v>
      </c>
      <c r="Z19" s="57">
        <v>0</v>
      </c>
      <c r="AA19" s="57">
        <v>25</v>
      </c>
      <c r="AB19" s="57">
        <v>0</v>
      </c>
      <c r="AC19" s="116">
        <v>17</v>
      </c>
    </row>
    <row r="20" spans="1:29" ht="12.75" customHeight="1">
      <c r="A20" s="639">
        <v>450</v>
      </c>
      <c r="B20" s="646" t="s">
        <v>146</v>
      </c>
      <c r="C20" s="99">
        <f>Drift!F56</f>
        <v>17265</v>
      </c>
      <c r="D20" s="57">
        <v>917</v>
      </c>
      <c r="E20" s="57">
        <v>28</v>
      </c>
      <c r="F20" s="57">
        <v>7350</v>
      </c>
      <c r="G20" s="57">
        <v>6644</v>
      </c>
      <c r="H20" s="57">
        <v>406</v>
      </c>
      <c r="I20" s="57">
        <v>51</v>
      </c>
      <c r="J20" s="57">
        <v>13</v>
      </c>
      <c r="K20" s="58">
        <v>1839</v>
      </c>
      <c r="L20" s="209">
        <v>17</v>
      </c>
      <c r="M20" s="1580">
        <f t="shared" si="0"/>
        <v>0</v>
      </c>
      <c r="N20" s="509">
        <f>Drift!H56</f>
        <v>298</v>
      </c>
      <c r="O20" s="57">
        <v>18</v>
      </c>
      <c r="P20" s="57">
        <v>2</v>
      </c>
      <c r="Q20" s="57">
        <v>59</v>
      </c>
      <c r="R20" s="57">
        <v>6</v>
      </c>
      <c r="S20" s="57">
        <v>0</v>
      </c>
      <c r="T20" s="57">
        <v>8</v>
      </c>
      <c r="U20" s="57">
        <v>3</v>
      </c>
      <c r="V20" s="57">
        <v>201</v>
      </c>
      <c r="W20" s="57">
        <v>1</v>
      </c>
      <c r="X20" s="508">
        <f t="shared" si="1"/>
        <v>0</v>
      </c>
      <c r="Y20" s="512">
        <v>6441</v>
      </c>
      <c r="Z20" s="57">
        <v>9</v>
      </c>
      <c r="AA20" s="57">
        <v>896</v>
      </c>
      <c r="AB20" s="57">
        <v>48</v>
      </c>
      <c r="AC20" s="116">
        <v>651</v>
      </c>
    </row>
    <row r="21" spans="1:29" ht="12.75" customHeight="1">
      <c r="A21" s="639">
        <v>453</v>
      </c>
      <c r="B21" s="646" t="s">
        <v>147</v>
      </c>
      <c r="C21" s="99">
        <f>Drift!F57</f>
        <v>1011</v>
      </c>
      <c r="D21" s="57">
        <v>61</v>
      </c>
      <c r="E21" s="57">
        <v>0</v>
      </c>
      <c r="F21" s="57">
        <v>182</v>
      </c>
      <c r="G21" s="57">
        <v>573</v>
      </c>
      <c r="H21" s="57">
        <v>53</v>
      </c>
      <c r="I21" s="57">
        <v>2</v>
      </c>
      <c r="J21" s="57">
        <v>1</v>
      </c>
      <c r="K21" s="58">
        <v>138</v>
      </c>
      <c r="L21" s="209">
        <v>1</v>
      </c>
      <c r="M21" s="1580">
        <f t="shared" si="0"/>
        <v>0</v>
      </c>
      <c r="N21" s="509">
        <f>Drift!H57</f>
        <v>3</v>
      </c>
      <c r="O21" s="57">
        <v>1</v>
      </c>
      <c r="P21" s="57">
        <v>0</v>
      </c>
      <c r="Q21" s="57">
        <v>1</v>
      </c>
      <c r="R21" s="57">
        <v>0</v>
      </c>
      <c r="S21" s="57">
        <v>0</v>
      </c>
      <c r="T21" s="57">
        <v>0</v>
      </c>
      <c r="U21" s="57">
        <v>0</v>
      </c>
      <c r="V21" s="57">
        <v>1</v>
      </c>
      <c r="W21" s="57">
        <v>0</v>
      </c>
      <c r="X21" s="508">
        <f t="shared" si="1"/>
        <v>0</v>
      </c>
      <c r="Y21" s="512">
        <v>558</v>
      </c>
      <c r="Z21" s="57">
        <v>0</v>
      </c>
      <c r="AA21" s="57">
        <v>37</v>
      </c>
      <c r="AB21" s="57">
        <v>1</v>
      </c>
      <c r="AC21" s="116">
        <v>18</v>
      </c>
    </row>
    <row r="22" spans="1:29" ht="12.75" customHeight="1">
      <c r="A22" s="639" t="s">
        <v>542</v>
      </c>
      <c r="B22" s="646" t="s">
        <v>414</v>
      </c>
      <c r="C22" s="99">
        <f>Drift!F60</f>
        <v>240</v>
      </c>
      <c r="D22" s="57">
        <v>4</v>
      </c>
      <c r="E22" s="57">
        <v>2</v>
      </c>
      <c r="F22" s="57">
        <v>156</v>
      </c>
      <c r="G22" s="57">
        <v>41</v>
      </c>
      <c r="H22" s="57">
        <v>0</v>
      </c>
      <c r="I22" s="57">
        <v>0</v>
      </c>
      <c r="J22" s="57">
        <v>0</v>
      </c>
      <c r="K22" s="58">
        <v>37</v>
      </c>
      <c r="L22" s="209">
        <v>0</v>
      </c>
      <c r="M22" s="1580">
        <f t="shared" si="0"/>
        <v>0</v>
      </c>
      <c r="N22" s="509">
        <f>Drift!H60</f>
        <v>1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08">
        <f t="shared" si="1"/>
        <v>1</v>
      </c>
      <c r="Y22" s="512">
        <v>27</v>
      </c>
      <c r="Z22" s="57">
        <v>0</v>
      </c>
      <c r="AA22" s="57">
        <v>22</v>
      </c>
      <c r="AB22" s="57">
        <v>0</v>
      </c>
      <c r="AC22" s="116">
        <v>10</v>
      </c>
    </row>
    <row r="23" spans="1:29" ht="12.75" customHeight="1">
      <c r="A23" s="639" t="s">
        <v>543</v>
      </c>
      <c r="B23" s="646" t="s">
        <v>415</v>
      </c>
      <c r="C23" s="99">
        <f>Drift!F61</f>
        <v>1614</v>
      </c>
      <c r="D23" s="57">
        <v>29</v>
      </c>
      <c r="E23" s="57">
        <v>8</v>
      </c>
      <c r="F23" s="57">
        <v>1116</v>
      </c>
      <c r="G23" s="57">
        <v>289</v>
      </c>
      <c r="H23" s="57">
        <v>16</v>
      </c>
      <c r="I23" s="57">
        <v>6</v>
      </c>
      <c r="J23" s="57">
        <v>2</v>
      </c>
      <c r="K23" s="58">
        <v>148</v>
      </c>
      <c r="L23" s="209">
        <v>0</v>
      </c>
      <c r="M23" s="1580">
        <f t="shared" si="0"/>
        <v>0</v>
      </c>
      <c r="N23" s="509">
        <f>Drift!H61</f>
        <v>12</v>
      </c>
      <c r="O23" s="57">
        <v>0</v>
      </c>
      <c r="P23" s="57">
        <v>0</v>
      </c>
      <c r="Q23" s="57">
        <v>10</v>
      </c>
      <c r="R23" s="57">
        <v>0</v>
      </c>
      <c r="S23" s="57">
        <v>0</v>
      </c>
      <c r="T23" s="57">
        <v>0</v>
      </c>
      <c r="U23" s="57">
        <v>0</v>
      </c>
      <c r="V23" s="57">
        <v>2</v>
      </c>
      <c r="W23" s="57">
        <v>0</v>
      </c>
      <c r="X23" s="508">
        <f t="shared" si="1"/>
        <v>0</v>
      </c>
      <c r="Y23" s="512">
        <v>266</v>
      </c>
      <c r="Z23" s="57">
        <v>0</v>
      </c>
      <c r="AA23" s="57">
        <v>920</v>
      </c>
      <c r="AB23" s="57">
        <v>16</v>
      </c>
      <c r="AC23" s="116">
        <v>164</v>
      </c>
    </row>
    <row r="24" spans="1:29" ht="12.75" customHeight="1">
      <c r="A24" s="639">
        <v>474</v>
      </c>
      <c r="B24" s="646" t="s">
        <v>148</v>
      </c>
      <c r="C24" s="99">
        <f>Drift!F63</f>
        <v>33</v>
      </c>
      <c r="D24" s="57">
        <v>0</v>
      </c>
      <c r="E24" s="57">
        <v>0</v>
      </c>
      <c r="F24" s="57">
        <v>10</v>
      </c>
      <c r="G24" s="57">
        <v>12</v>
      </c>
      <c r="H24" s="57">
        <v>0</v>
      </c>
      <c r="I24" s="57">
        <v>0</v>
      </c>
      <c r="J24" s="57">
        <v>0</v>
      </c>
      <c r="K24" s="58">
        <v>10</v>
      </c>
      <c r="L24" s="209">
        <v>0</v>
      </c>
      <c r="M24" s="508">
        <f t="shared" si="0"/>
        <v>1</v>
      </c>
      <c r="N24" s="509">
        <f>Drift!H63</f>
        <v>1</v>
      </c>
      <c r="O24" s="57">
        <v>0</v>
      </c>
      <c r="P24" s="57">
        <v>0</v>
      </c>
      <c r="Q24" s="57">
        <v>1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08">
        <f t="shared" si="1"/>
        <v>0</v>
      </c>
      <c r="Y24" s="511">
        <v>14</v>
      </c>
      <c r="Z24" s="57">
        <v>0</v>
      </c>
      <c r="AA24" s="57">
        <v>15</v>
      </c>
      <c r="AB24" s="57">
        <v>0</v>
      </c>
      <c r="AC24" s="116">
        <v>2</v>
      </c>
    </row>
    <row r="25" spans="1:29" ht="12.75" customHeight="1">
      <c r="A25" s="639">
        <v>479</v>
      </c>
      <c r="B25" s="646" t="s">
        <v>478</v>
      </c>
      <c r="C25" s="99">
        <f>SUM(Drift!F64,Drift!F65,Drift!F66)</f>
        <v>940</v>
      </c>
      <c r="D25" s="57">
        <v>64</v>
      </c>
      <c r="E25" s="57">
        <v>5</v>
      </c>
      <c r="F25" s="57">
        <v>703</v>
      </c>
      <c r="G25" s="57">
        <v>75</v>
      </c>
      <c r="H25" s="57">
        <v>5</v>
      </c>
      <c r="I25" s="57">
        <v>7</v>
      </c>
      <c r="J25" s="57">
        <v>2</v>
      </c>
      <c r="K25" s="58">
        <v>79</v>
      </c>
      <c r="L25" s="209">
        <v>0</v>
      </c>
      <c r="M25" s="508">
        <f t="shared" si="0"/>
        <v>0</v>
      </c>
      <c r="N25" s="509">
        <f>SUM(Drift!H64:H66)</f>
        <v>87</v>
      </c>
      <c r="O25" s="57">
        <v>13</v>
      </c>
      <c r="P25" s="57">
        <v>5</v>
      </c>
      <c r="Q25" s="57">
        <v>6</v>
      </c>
      <c r="R25" s="57">
        <v>0</v>
      </c>
      <c r="S25" s="57">
        <v>0</v>
      </c>
      <c r="T25" s="57">
        <v>1</v>
      </c>
      <c r="U25" s="57">
        <v>25</v>
      </c>
      <c r="V25" s="57">
        <v>37</v>
      </c>
      <c r="W25" s="57">
        <v>0</v>
      </c>
      <c r="X25" s="508">
        <f t="shared" si="1"/>
        <v>0</v>
      </c>
      <c r="Y25" s="512">
        <v>92</v>
      </c>
      <c r="Z25" s="57">
        <v>3</v>
      </c>
      <c r="AA25" s="57">
        <v>901</v>
      </c>
      <c r="AB25" s="57">
        <v>14</v>
      </c>
      <c r="AC25" s="116">
        <v>90</v>
      </c>
    </row>
    <row r="26" spans="1:29" ht="12.75" customHeight="1">
      <c r="A26" s="639">
        <v>509</v>
      </c>
      <c r="B26" s="646" t="s">
        <v>477</v>
      </c>
      <c r="C26" s="99">
        <f>SUM(Drift!F70,Drift!F71)</f>
        <v>1465</v>
      </c>
      <c r="D26" s="74">
        <v>0</v>
      </c>
      <c r="E26" s="74">
        <v>749</v>
      </c>
      <c r="F26" s="74">
        <v>216</v>
      </c>
      <c r="G26" s="74">
        <v>1</v>
      </c>
      <c r="H26" s="74">
        <v>499</v>
      </c>
      <c r="I26" s="74">
        <v>0</v>
      </c>
      <c r="J26" s="74">
        <v>0</v>
      </c>
      <c r="K26" s="209">
        <v>0</v>
      </c>
      <c r="L26" s="209">
        <v>0</v>
      </c>
      <c r="M26" s="508">
        <f t="shared" si="0"/>
        <v>0</v>
      </c>
      <c r="N26" s="509">
        <f>SUM(Drift!H70,Drift!H71)</f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508">
        <f t="shared" si="1"/>
        <v>0</v>
      </c>
      <c r="Y26" s="512">
        <v>0</v>
      </c>
      <c r="Z26" s="74">
        <v>103</v>
      </c>
      <c r="AA26" s="74">
        <v>209</v>
      </c>
      <c r="AB26" s="74">
        <v>0</v>
      </c>
      <c r="AC26" s="116">
        <v>1378</v>
      </c>
    </row>
    <row r="27" spans="1:29" ht="12.75" customHeight="1">
      <c r="A27" s="639">
        <v>510</v>
      </c>
      <c r="B27" s="646" t="s">
        <v>545</v>
      </c>
      <c r="C27" s="99">
        <f>Drift!F73</f>
        <v>18497</v>
      </c>
      <c r="D27" s="57">
        <v>1473</v>
      </c>
      <c r="E27" s="57">
        <v>577</v>
      </c>
      <c r="F27" s="57">
        <v>15884</v>
      </c>
      <c r="G27" s="57">
        <v>174</v>
      </c>
      <c r="H27" s="57">
        <v>313</v>
      </c>
      <c r="I27" s="57">
        <v>27</v>
      </c>
      <c r="J27" s="57">
        <v>12</v>
      </c>
      <c r="K27" s="58">
        <v>35</v>
      </c>
      <c r="L27" s="209">
        <v>1</v>
      </c>
      <c r="M27" s="508">
        <f t="shared" si="0"/>
        <v>1</v>
      </c>
      <c r="N27" s="509">
        <f>Drift!H73</f>
        <v>1077</v>
      </c>
      <c r="O27" s="57">
        <v>78</v>
      </c>
      <c r="P27" s="57">
        <v>9</v>
      </c>
      <c r="Q27" s="57">
        <v>263</v>
      </c>
      <c r="R27" s="57">
        <v>5</v>
      </c>
      <c r="S27" s="57">
        <v>5</v>
      </c>
      <c r="T27" s="57">
        <v>14</v>
      </c>
      <c r="U27" s="57">
        <v>10</v>
      </c>
      <c r="V27" s="57">
        <v>692</v>
      </c>
      <c r="W27" s="57">
        <v>1</v>
      </c>
      <c r="X27" s="508">
        <f t="shared" si="1"/>
        <v>0</v>
      </c>
      <c r="Y27" s="512">
        <v>144</v>
      </c>
      <c r="Z27" s="57">
        <v>186</v>
      </c>
      <c r="AA27" s="57">
        <v>661</v>
      </c>
      <c r="AB27" s="57">
        <v>6</v>
      </c>
      <c r="AC27" s="116">
        <v>1941</v>
      </c>
    </row>
    <row r="28" spans="1:29" ht="18" customHeight="1">
      <c r="A28" s="1979">
        <v>520</v>
      </c>
      <c r="B28" s="685" t="s">
        <v>409</v>
      </c>
      <c r="C28" s="99">
        <f>Drift!F74</f>
        <v>2890</v>
      </c>
      <c r="D28" s="57">
        <v>199</v>
      </c>
      <c r="E28" s="57">
        <v>55</v>
      </c>
      <c r="F28" s="57">
        <v>2524</v>
      </c>
      <c r="G28" s="57">
        <v>47</v>
      </c>
      <c r="H28" s="57">
        <v>40</v>
      </c>
      <c r="I28" s="57">
        <v>6</v>
      </c>
      <c r="J28" s="57">
        <v>13</v>
      </c>
      <c r="K28" s="57">
        <v>5</v>
      </c>
      <c r="L28" s="57">
        <v>0</v>
      </c>
      <c r="M28" s="508">
        <f t="shared" si="0"/>
        <v>1</v>
      </c>
      <c r="N28" s="509">
        <f>Drift!H74</f>
        <v>467</v>
      </c>
      <c r="O28" s="57">
        <v>99</v>
      </c>
      <c r="P28" s="57">
        <v>1</v>
      </c>
      <c r="Q28" s="57">
        <v>172</v>
      </c>
      <c r="R28" s="57">
        <v>1</v>
      </c>
      <c r="S28" s="57">
        <v>0</v>
      </c>
      <c r="T28" s="57">
        <v>2</v>
      </c>
      <c r="U28" s="197">
        <v>3</v>
      </c>
      <c r="V28" s="57">
        <v>188</v>
      </c>
      <c r="W28" s="57">
        <v>0</v>
      </c>
      <c r="X28" s="508">
        <f>N28-SUM(O28:W28)</f>
        <v>1</v>
      </c>
      <c r="Y28" s="511">
        <v>29</v>
      </c>
      <c r="Z28" s="57">
        <v>17</v>
      </c>
      <c r="AA28" s="57">
        <v>186</v>
      </c>
      <c r="AB28" s="57">
        <v>8</v>
      </c>
      <c r="AC28" s="598">
        <v>246</v>
      </c>
    </row>
    <row r="29" spans="1:29" ht="13.5" customHeight="1">
      <c r="A29" s="1979">
        <v>513</v>
      </c>
      <c r="B29" s="1807" t="s">
        <v>410</v>
      </c>
      <c r="C29" s="99">
        <f>Drift!F75</f>
        <v>9278</v>
      </c>
      <c r="D29" s="57">
        <v>1201</v>
      </c>
      <c r="E29" s="57">
        <v>198</v>
      </c>
      <c r="F29" s="57">
        <v>7307</v>
      </c>
      <c r="G29" s="57">
        <v>341</v>
      </c>
      <c r="H29" s="57">
        <v>85</v>
      </c>
      <c r="I29" s="57">
        <v>25</v>
      </c>
      <c r="J29" s="57">
        <v>89</v>
      </c>
      <c r="K29" s="58">
        <v>32</v>
      </c>
      <c r="L29" s="209">
        <v>0</v>
      </c>
      <c r="M29" s="508">
        <f t="shared" si="0"/>
        <v>0</v>
      </c>
      <c r="N29" s="509">
        <f>Drift!H75</f>
        <v>5051</v>
      </c>
      <c r="O29" s="57">
        <v>15</v>
      </c>
      <c r="P29" s="57">
        <v>0</v>
      </c>
      <c r="Q29" s="57">
        <v>44</v>
      </c>
      <c r="R29" s="57">
        <v>5</v>
      </c>
      <c r="S29" s="57">
        <v>1</v>
      </c>
      <c r="T29" s="57">
        <v>6</v>
      </c>
      <c r="U29" s="197">
        <v>4812</v>
      </c>
      <c r="V29" s="57">
        <v>169</v>
      </c>
      <c r="W29" s="57">
        <v>0</v>
      </c>
      <c r="X29" s="508">
        <f>N29-SUM(O29:W29)</f>
        <v>-1</v>
      </c>
      <c r="Y29" s="511">
        <v>261</v>
      </c>
      <c r="Z29" s="57">
        <v>33</v>
      </c>
      <c r="AA29" s="57">
        <v>272</v>
      </c>
      <c r="AB29" s="57">
        <v>3</v>
      </c>
      <c r="AC29" s="598">
        <v>8463</v>
      </c>
    </row>
    <row r="30" spans="1:29" ht="12.75" customHeight="1">
      <c r="A30" s="639">
        <v>530</v>
      </c>
      <c r="B30" s="1257" t="s">
        <v>111</v>
      </c>
      <c r="C30" s="99">
        <f>Drift!F76</f>
        <v>1469</v>
      </c>
      <c r="D30" s="57">
        <v>0</v>
      </c>
      <c r="E30" s="57">
        <v>13</v>
      </c>
      <c r="F30" s="57">
        <v>1099</v>
      </c>
      <c r="G30" s="57">
        <v>40</v>
      </c>
      <c r="H30" s="57">
        <v>236</v>
      </c>
      <c r="I30" s="57">
        <v>3</v>
      </c>
      <c r="J30" s="57">
        <v>17</v>
      </c>
      <c r="K30" s="58">
        <v>61</v>
      </c>
      <c r="L30" s="209">
        <v>0</v>
      </c>
      <c r="M30" s="508">
        <f t="shared" si="0"/>
        <v>0</v>
      </c>
      <c r="N30" s="509">
        <f>Drift!H76</f>
        <v>63</v>
      </c>
      <c r="O30" s="57">
        <v>0</v>
      </c>
      <c r="P30" s="57">
        <v>2</v>
      </c>
      <c r="Q30" s="57">
        <v>4</v>
      </c>
      <c r="R30" s="57">
        <v>0</v>
      </c>
      <c r="S30" s="57">
        <v>9</v>
      </c>
      <c r="T30" s="57">
        <v>46</v>
      </c>
      <c r="U30" s="57">
        <v>0</v>
      </c>
      <c r="V30" s="57">
        <v>2</v>
      </c>
      <c r="W30" s="57">
        <v>0</v>
      </c>
      <c r="X30" s="508">
        <f t="shared" si="1"/>
        <v>0</v>
      </c>
      <c r="Y30" s="511">
        <v>32</v>
      </c>
      <c r="Z30" s="57">
        <v>5</v>
      </c>
      <c r="AA30" s="57">
        <v>3</v>
      </c>
      <c r="AB30" s="57">
        <v>0</v>
      </c>
      <c r="AC30" s="116">
        <v>19</v>
      </c>
    </row>
    <row r="31" spans="1:29" ht="12.75" customHeight="1">
      <c r="A31" s="639">
        <v>559</v>
      </c>
      <c r="B31" s="1257" t="s">
        <v>230</v>
      </c>
      <c r="C31" s="99">
        <f>Drift!F79</f>
        <v>2513</v>
      </c>
      <c r="D31" s="57">
        <v>309</v>
      </c>
      <c r="E31" s="57">
        <v>3</v>
      </c>
      <c r="F31" s="57">
        <v>1619</v>
      </c>
      <c r="G31" s="57">
        <v>63</v>
      </c>
      <c r="H31" s="57">
        <v>37</v>
      </c>
      <c r="I31" s="57">
        <v>429</v>
      </c>
      <c r="J31" s="57">
        <v>42</v>
      </c>
      <c r="K31" s="57">
        <v>10</v>
      </c>
      <c r="L31" s="57">
        <v>2</v>
      </c>
      <c r="M31" s="1580">
        <f t="shared" si="0"/>
        <v>-1</v>
      </c>
      <c r="N31" s="509">
        <f>Drift!H79</f>
        <v>141</v>
      </c>
      <c r="O31" s="57">
        <v>99</v>
      </c>
      <c r="P31" s="57">
        <v>2</v>
      </c>
      <c r="Q31" s="57">
        <v>11</v>
      </c>
      <c r="R31" s="57">
        <v>0</v>
      </c>
      <c r="S31" s="57">
        <v>0</v>
      </c>
      <c r="T31" s="57">
        <v>1</v>
      </c>
      <c r="U31" s="57">
        <v>1</v>
      </c>
      <c r="V31" s="57">
        <v>27</v>
      </c>
      <c r="W31" s="57">
        <v>0</v>
      </c>
      <c r="X31" s="1580">
        <f t="shared" si="1"/>
        <v>0</v>
      </c>
      <c r="Y31" s="511">
        <v>67</v>
      </c>
      <c r="Z31" s="74">
        <v>5</v>
      </c>
      <c r="AA31" s="74">
        <v>78</v>
      </c>
      <c r="AB31" s="74">
        <v>1</v>
      </c>
      <c r="AC31" s="200">
        <v>152</v>
      </c>
    </row>
    <row r="32" spans="1:29" ht="12.75" customHeight="1">
      <c r="A32" s="639">
        <v>552</v>
      </c>
      <c r="B32" s="646" t="s">
        <v>150</v>
      </c>
      <c r="C32" s="57"/>
      <c r="D32" s="57">
        <v>128</v>
      </c>
      <c r="E32" s="57">
        <v>1</v>
      </c>
      <c r="F32" s="57">
        <v>927</v>
      </c>
      <c r="G32" s="57">
        <v>36</v>
      </c>
      <c r="H32" s="57">
        <v>17</v>
      </c>
      <c r="I32" s="57">
        <v>377</v>
      </c>
      <c r="J32" s="57">
        <v>28</v>
      </c>
      <c r="K32" s="57">
        <v>7</v>
      </c>
      <c r="L32" s="57">
        <v>1</v>
      </c>
      <c r="M32" s="1580">
        <f>IF(OR(C32="",C32=0),"",C32-SUM(D32:L32))</f>
      </c>
      <c r="N32" s="57"/>
      <c r="O32" s="57">
        <v>45</v>
      </c>
      <c r="P32" s="57">
        <v>0</v>
      </c>
      <c r="Q32" s="57">
        <v>8</v>
      </c>
      <c r="R32" s="57">
        <v>0</v>
      </c>
      <c r="S32" s="57">
        <v>0</v>
      </c>
      <c r="T32" s="57">
        <v>0</v>
      </c>
      <c r="U32" s="57">
        <v>0</v>
      </c>
      <c r="V32" s="57">
        <v>12</v>
      </c>
      <c r="W32" s="57">
        <v>0</v>
      </c>
      <c r="X32" s="1580">
        <f>IF(OR(N32="",N32=0),"",N32-SUM(O32:W32))</f>
      </c>
      <c r="Y32" s="512">
        <v>37</v>
      </c>
      <c r="Z32" s="57">
        <v>1</v>
      </c>
      <c r="AA32" s="57">
        <v>17</v>
      </c>
      <c r="AB32" s="57">
        <v>0</v>
      </c>
      <c r="AC32" s="200">
        <v>59</v>
      </c>
    </row>
    <row r="33" spans="1:29" ht="12.75" customHeight="1">
      <c r="A33" s="639">
        <v>569</v>
      </c>
      <c r="B33" s="641" t="s">
        <v>115</v>
      </c>
      <c r="C33" s="99">
        <f>Drift!F80</f>
        <v>6207</v>
      </c>
      <c r="D33" s="57">
        <v>227</v>
      </c>
      <c r="E33" s="57">
        <v>18</v>
      </c>
      <c r="F33" s="57">
        <v>4462</v>
      </c>
      <c r="G33" s="57">
        <v>156</v>
      </c>
      <c r="H33" s="57">
        <v>43</v>
      </c>
      <c r="I33" s="57">
        <v>1003</v>
      </c>
      <c r="J33" s="57">
        <v>274</v>
      </c>
      <c r="K33" s="57">
        <v>22</v>
      </c>
      <c r="L33" s="57">
        <v>2</v>
      </c>
      <c r="M33" s="1580">
        <f t="shared" si="0"/>
        <v>0</v>
      </c>
      <c r="N33" s="509">
        <f>Drift!H80</f>
        <v>245</v>
      </c>
      <c r="O33" s="57">
        <v>74</v>
      </c>
      <c r="P33" s="57">
        <v>0</v>
      </c>
      <c r="Q33" s="57">
        <v>31</v>
      </c>
      <c r="R33" s="57">
        <v>3</v>
      </c>
      <c r="S33" s="57">
        <v>4</v>
      </c>
      <c r="T33" s="57">
        <v>4</v>
      </c>
      <c r="U33" s="57">
        <v>2</v>
      </c>
      <c r="V33" s="57">
        <v>127</v>
      </c>
      <c r="W33" s="57">
        <v>0</v>
      </c>
      <c r="X33" s="1580">
        <f t="shared" si="1"/>
        <v>0</v>
      </c>
      <c r="Y33" s="512">
        <v>127</v>
      </c>
      <c r="Z33" s="57">
        <v>44</v>
      </c>
      <c r="AA33" s="57">
        <v>1136</v>
      </c>
      <c r="AB33" s="57">
        <v>3</v>
      </c>
      <c r="AC33" s="200">
        <v>433</v>
      </c>
    </row>
    <row r="34" spans="1:29" ht="12.75" customHeight="1">
      <c r="A34" s="639">
        <v>554</v>
      </c>
      <c r="B34" s="646" t="s">
        <v>234</v>
      </c>
      <c r="C34" s="57"/>
      <c r="D34" s="57">
        <v>95</v>
      </c>
      <c r="E34" s="57">
        <v>8</v>
      </c>
      <c r="F34" s="57">
        <v>2370</v>
      </c>
      <c r="G34" s="57">
        <v>49</v>
      </c>
      <c r="H34" s="57">
        <v>10</v>
      </c>
      <c r="I34" s="57">
        <v>804</v>
      </c>
      <c r="J34" s="57">
        <v>62</v>
      </c>
      <c r="K34" s="57">
        <v>14</v>
      </c>
      <c r="L34" s="57">
        <v>1</v>
      </c>
      <c r="M34" s="1580">
        <f>IF(OR(C34="",C34=0),"",C34-SUM(D34:L34))</f>
      </c>
      <c r="N34" s="57"/>
      <c r="O34" s="57">
        <v>7</v>
      </c>
      <c r="P34" s="57">
        <v>0</v>
      </c>
      <c r="Q34" s="57">
        <v>16</v>
      </c>
      <c r="R34" s="57">
        <v>0</v>
      </c>
      <c r="S34" s="57">
        <v>0</v>
      </c>
      <c r="T34" s="57">
        <v>0</v>
      </c>
      <c r="U34" s="57">
        <v>1</v>
      </c>
      <c r="V34" s="57">
        <v>31</v>
      </c>
      <c r="W34" s="57">
        <v>0</v>
      </c>
      <c r="X34" s="1580">
        <f>IF(OR(N34="",N34=0),"",N34-SUM(O34:W34))</f>
      </c>
      <c r="Y34" s="512">
        <v>45</v>
      </c>
      <c r="Z34" s="57">
        <v>8</v>
      </c>
      <c r="AA34" s="57">
        <v>566</v>
      </c>
      <c r="AB34" s="57">
        <v>1</v>
      </c>
      <c r="AC34" s="200">
        <v>180</v>
      </c>
    </row>
    <row r="35" spans="1:29" ht="12.75" customHeight="1">
      <c r="A35" s="639">
        <v>580</v>
      </c>
      <c r="B35" s="646" t="s">
        <v>151</v>
      </c>
      <c r="C35" s="99">
        <f>SUM(Drift!F81,Drift!F82,Drift!F84)</f>
        <v>562</v>
      </c>
      <c r="D35" s="57">
        <v>79</v>
      </c>
      <c r="E35" s="57">
        <v>7</v>
      </c>
      <c r="F35" s="57">
        <v>344</v>
      </c>
      <c r="G35" s="57">
        <v>77</v>
      </c>
      <c r="H35" s="57">
        <v>7</v>
      </c>
      <c r="I35" s="57">
        <v>4</v>
      </c>
      <c r="J35" s="57">
        <v>17</v>
      </c>
      <c r="K35" s="58">
        <v>25</v>
      </c>
      <c r="L35" s="209">
        <v>1</v>
      </c>
      <c r="M35" s="1580">
        <f t="shared" si="0"/>
        <v>1</v>
      </c>
      <c r="N35" s="509">
        <f>SUM(Drift!H81,Drift!H82,Drift!H84)</f>
        <v>10680</v>
      </c>
      <c r="O35" s="57">
        <v>151</v>
      </c>
      <c r="P35" s="57">
        <v>7</v>
      </c>
      <c r="Q35" s="57">
        <v>41</v>
      </c>
      <c r="R35" s="57">
        <v>3</v>
      </c>
      <c r="S35" s="57">
        <v>1</v>
      </c>
      <c r="T35" s="57">
        <v>4</v>
      </c>
      <c r="U35" s="57">
        <v>4</v>
      </c>
      <c r="V35" s="57">
        <v>10469</v>
      </c>
      <c r="W35" s="57">
        <v>0</v>
      </c>
      <c r="X35" s="1580">
        <f t="shared" si="1"/>
        <v>0</v>
      </c>
      <c r="Y35" s="511">
        <v>77</v>
      </c>
      <c r="Z35" s="57">
        <v>1</v>
      </c>
      <c r="AA35" s="57">
        <v>345</v>
      </c>
      <c r="AB35" s="57">
        <v>12</v>
      </c>
      <c r="AC35" s="116">
        <v>333</v>
      </c>
    </row>
    <row r="36" spans="1:29" ht="12.75" customHeight="1">
      <c r="A36" s="639">
        <v>600</v>
      </c>
      <c r="B36" s="641" t="s">
        <v>123</v>
      </c>
      <c r="C36" s="99">
        <f>Drift!F87</f>
        <v>2052</v>
      </c>
      <c r="D36" s="74">
        <v>86</v>
      </c>
      <c r="E36" s="74">
        <v>11</v>
      </c>
      <c r="F36" s="74">
        <v>1664</v>
      </c>
      <c r="G36" s="74">
        <v>112</v>
      </c>
      <c r="H36" s="74">
        <v>2</v>
      </c>
      <c r="I36" s="74">
        <v>91</v>
      </c>
      <c r="J36" s="74">
        <v>30</v>
      </c>
      <c r="K36" s="209">
        <v>56</v>
      </c>
      <c r="L36" s="209">
        <v>0</v>
      </c>
      <c r="M36" s="508">
        <f t="shared" si="0"/>
        <v>0</v>
      </c>
      <c r="N36" s="509">
        <f>Drift!H87</f>
        <v>426</v>
      </c>
      <c r="O36" s="74">
        <v>13</v>
      </c>
      <c r="P36" s="74">
        <v>2</v>
      </c>
      <c r="Q36" s="74">
        <v>12</v>
      </c>
      <c r="R36" s="74">
        <v>1</v>
      </c>
      <c r="S36" s="74">
        <v>0</v>
      </c>
      <c r="T36" s="74">
        <v>5</v>
      </c>
      <c r="U36" s="74">
        <v>4</v>
      </c>
      <c r="V36" s="74">
        <v>389</v>
      </c>
      <c r="W36" s="74">
        <v>0</v>
      </c>
      <c r="X36" s="508">
        <f t="shared" si="1"/>
        <v>0</v>
      </c>
      <c r="Y36" s="512">
        <v>60</v>
      </c>
      <c r="Z36" s="74">
        <v>0</v>
      </c>
      <c r="AA36" s="74">
        <v>7073</v>
      </c>
      <c r="AB36" s="74">
        <v>9</v>
      </c>
      <c r="AC36" s="116">
        <v>120</v>
      </c>
    </row>
    <row r="37" spans="1:29" ht="12.75" customHeight="1">
      <c r="A37" s="639">
        <v>610</v>
      </c>
      <c r="B37" s="646" t="s">
        <v>152</v>
      </c>
      <c r="C37" s="99">
        <f>Drift!F88</f>
        <v>177</v>
      </c>
      <c r="D37" s="57">
        <v>25</v>
      </c>
      <c r="E37" s="57">
        <v>12</v>
      </c>
      <c r="F37" s="57">
        <v>92</v>
      </c>
      <c r="G37" s="57">
        <v>22</v>
      </c>
      <c r="H37" s="57">
        <v>2</v>
      </c>
      <c r="I37" s="57">
        <v>7</v>
      </c>
      <c r="J37" s="57">
        <v>10</v>
      </c>
      <c r="K37" s="58">
        <v>7</v>
      </c>
      <c r="L37" s="209">
        <v>0</v>
      </c>
      <c r="M37" s="508">
        <f t="shared" si="0"/>
        <v>0</v>
      </c>
      <c r="N37" s="509">
        <f>Drift!H88</f>
        <v>144</v>
      </c>
      <c r="O37" s="57">
        <v>72</v>
      </c>
      <c r="P37" s="57">
        <v>11</v>
      </c>
      <c r="Q37" s="57">
        <v>17</v>
      </c>
      <c r="R37" s="57">
        <v>0</v>
      </c>
      <c r="S37" s="57">
        <v>0</v>
      </c>
      <c r="T37" s="57">
        <v>26</v>
      </c>
      <c r="U37" s="57">
        <v>4</v>
      </c>
      <c r="V37" s="57">
        <v>11</v>
      </c>
      <c r="W37" s="57">
        <v>2</v>
      </c>
      <c r="X37" s="508">
        <f t="shared" si="1"/>
        <v>1</v>
      </c>
      <c r="Y37" s="512">
        <v>14</v>
      </c>
      <c r="Z37" s="57">
        <v>1</v>
      </c>
      <c r="AA37" s="57">
        <v>2791</v>
      </c>
      <c r="AB37" s="57">
        <v>131</v>
      </c>
      <c r="AC37" s="116">
        <v>142</v>
      </c>
    </row>
    <row r="38" spans="1:29" ht="12.75" customHeight="1">
      <c r="A38" s="639">
        <v>890</v>
      </c>
      <c r="B38" s="646" t="s">
        <v>153</v>
      </c>
      <c r="C38" s="99">
        <f>Drift!F109</f>
        <v>5606</v>
      </c>
      <c r="D38" s="57">
        <v>7</v>
      </c>
      <c r="E38" s="57">
        <v>1919</v>
      </c>
      <c r="F38" s="57">
        <v>2915</v>
      </c>
      <c r="G38" s="57">
        <v>143</v>
      </c>
      <c r="H38" s="57">
        <v>200</v>
      </c>
      <c r="I38" s="57">
        <v>68</v>
      </c>
      <c r="J38" s="57">
        <v>1</v>
      </c>
      <c r="K38" s="58">
        <v>349</v>
      </c>
      <c r="L38" s="209">
        <v>4</v>
      </c>
      <c r="M38" s="508">
        <f t="shared" si="0"/>
        <v>0</v>
      </c>
      <c r="N38" s="509">
        <f>Drift!H109</f>
        <v>1510</v>
      </c>
      <c r="O38" s="57">
        <v>21</v>
      </c>
      <c r="P38" s="57">
        <v>446</v>
      </c>
      <c r="Q38" s="57">
        <v>593</v>
      </c>
      <c r="R38" s="57">
        <v>4</v>
      </c>
      <c r="S38" s="57">
        <v>35</v>
      </c>
      <c r="T38" s="57">
        <v>396</v>
      </c>
      <c r="U38" s="57">
        <v>11</v>
      </c>
      <c r="V38" s="57">
        <v>5</v>
      </c>
      <c r="W38" s="57">
        <v>0</v>
      </c>
      <c r="X38" s="508">
        <f t="shared" si="1"/>
        <v>-1</v>
      </c>
      <c r="Y38" s="512">
        <v>119</v>
      </c>
      <c r="Z38" s="57">
        <v>15</v>
      </c>
      <c r="AA38" s="57">
        <v>204</v>
      </c>
      <c r="AB38" s="57">
        <v>8</v>
      </c>
      <c r="AC38" s="116">
        <v>3689</v>
      </c>
    </row>
    <row r="39" spans="1:29" ht="12.75" customHeight="1">
      <c r="A39" s="639">
        <v>940</v>
      </c>
      <c r="B39" s="646" t="s">
        <v>154</v>
      </c>
      <c r="C39" s="99">
        <f>SUM(Drift!F111:F112)</f>
        <v>912</v>
      </c>
      <c r="D39" s="57">
        <v>15</v>
      </c>
      <c r="E39" s="57">
        <v>467</v>
      </c>
      <c r="F39" s="57">
        <v>223</v>
      </c>
      <c r="G39" s="57">
        <v>133</v>
      </c>
      <c r="H39" s="57">
        <v>2</v>
      </c>
      <c r="I39" s="57">
        <v>2</v>
      </c>
      <c r="J39" s="57">
        <v>-1</v>
      </c>
      <c r="K39" s="58">
        <v>71</v>
      </c>
      <c r="L39" s="209">
        <v>1</v>
      </c>
      <c r="M39" s="508">
        <f t="shared" si="0"/>
        <v>-1</v>
      </c>
      <c r="N39" s="509">
        <f>SUM(Drift!H111:H112)</f>
        <v>407</v>
      </c>
      <c r="O39" s="57">
        <v>109</v>
      </c>
      <c r="P39" s="57">
        <v>69</v>
      </c>
      <c r="Q39" s="57">
        <v>100</v>
      </c>
      <c r="R39" s="57">
        <v>6</v>
      </c>
      <c r="S39" s="57">
        <v>4</v>
      </c>
      <c r="T39" s="57">
        <v>77</v>
      </c>
      <c r="U39" s="57">
        <v>28</v>
      </c>
      <c r="V39" s="57">
        <v>11</v>
      </c>
      <c r="W39" s="57">
        <v>4</v>
      </c>
      <c r="X39" s="508">
        <f t="shared" si="1"/>
        <v>-1</v>
      </c>
      <c r="Y39" s="512">
        <v>366</v>
      </c>
      <c r="Z39" s="57">
        <v>41</v>
      </c>
      <c r="AA39" s="57">
        <v>516</v>
      </c>
      <c r="AB39" s="57">
        <v>92</v>
      </c>
      <c r="AC39" s="116">
        <v>685</v>
      </c>
    </row>
    <row r="40" spans="1:29" ht="12.75" customHeight="1">
      <c r="A40" s="672" t="s">
        <v>311</v>
      </c>
      <c r="B40" s="1258" t="s">
        <v>41</v>
      </c>
      <c r="C40" s="476">
        <f>SUM(C9:C31,C33,C35:C39)</f>
        <v>110515</v>
      </c>
      <c r="D40" s="420">
        <f>SUM(D9:D31,D33,D35:D39)</f>
        <v>13790</v>
      </c>
      <c r="E40" s="420">
        <f aca="true" t="shared" si="2" ref="E40:L40">SUM(E9:E31,E33,E35:E39)</f>
        <v>5188</v>
      </c>
      <c r="F40" s="420">
        <f t="shared" si="2"/>
        <v>69665</v>
      </c>
      <c r="G40" s="420">
        <f t="shared" si="2"/>
        <v>11271</v>
      </c>
      <c r="H40" s="420">
        <f t="shared" si="2"/>
        <v>1978</v>
      </c>
      <c r="I40" s="420">
        <f t="shared" si="2"/>
        <v>2020</v>
      </c>
      <c r="J40" s="420">
        <f t="shared" si="2"/>
        <v>655</v>
      </c>
      <c r="K40" s="420">
        <f t="shared" si="2"/>
        <v>5905</v>
      </c>
      <c r="L40" s="420">
        <f t="shared" si="2"/>
        <v>40</v>
      </c>
      <c r="M40" s="425">
        <f>SUM(M9:M31,M33,M35:M39)</f>
        <v>3</v>
      </c>
      <c r="N40" s="510">
        <f>SUM(N9:N31,N33,N35:N39)</f>
        <v>27409</v>
      </c>
      <c r="O40" s="420">
        <f>SUM(O9:O31,O33,O35:O39)</f>
        <v>4245</v>
      </c>
      <c r="P40" s="420">
        <f aca="true" t="shared" si="3" ref="P40:W40">SUM(P9:P31,P33,P35:P39)</f>
        <v>1501</v>
      </c>
      <c r="Q40" s="420">
        <f t="shared" si="3"/>
        <v>2209</v>
      </c>
      <c r="R40" s="420">
        <f t="shared" si="3"/>
        <v>76</v>
      </c>
      <c r="S40" s="420">
        <f t="shared" si="3"/>
        <v>93</v>
      </c>
      <c r="T40" s="420">
        <f t="shared" si="3"/>
        <v>1336</v>
      </c>
      <c r="U40" s="420">
        <f t="shared" si="3"/>
        <v>5372</v>
      </c>
      <c r="V40" s="420">
        <f t="shared" si="3"/>
        <v>12564</v>
      </c>
      <c r="W40" s="420">
        <f t="shared" si="3"/>
        <v>11</v>
      </c>
      <c r="X40" s="425">
        <f aca="true" t="shared" si="4" ref="X40:AC40">SUM(X9:X31,X33,X35:X39)</f>
        <v>2</v>
      </c>
      <c r="Y40" s="513">
        <f t="shared" si="4"/>
        <v>10879</v>
      </c>
      <c r="Z40" s="422">
        <f t="shared" si="4"/>
        <v>501</v>
      </c>
      <c r="AA40" s="422">
        <f t="shared" si="4"/>
        <v>24005</v>
      </c>
      <c r="AB40" s="422">
        <f t="shared" si="4"/>
        <v>598</v>
      </c>
      <c r="AC40" s="423">
        <f t="shared" si="4"/>
        <v>22667</v>
      </c>
    </row>
    <row r="41" spans="1:29" ht="12" customHeight="1">
      <c r="A41" s="672"/>
      <c r="B41" s="1259" t="s">
        <v>171</v>
      </c>
      <c r="C41" s="11"/>
      <c r="D41" s="50"/>
      <c r="E41" s="50"/>
      <c r="F41" s="50"/>
      <c r="G41" s="50"/>
      <c r="H41" s="50"/>
      <c r="I41" s="50"/>
      <c r="K41" s="49"/>
      <c r="L41" s="50"/>
      <c r="M41" s="2312">
        <f>IF(OR(ABS(M40&gt;500),(M40&lt;-500),COUNTIF(M9:M39,"&gt;500")&gt;0,COUNTIF(M9:M39,"&lt;-500")&gt;0),"Rätta differenserna i kolumn M","")</f>
      </c>
      <c r="N41" s="601"/>
      <c r="O41" s="295"/>
      <c r="P41" s="295"/>
      <c r="Q41" s="295"/>
      <c r="R41" s="295"/>
      <c r="S41" s="295"/>
      <c r="T41" s="296"/>
      <c r="V41" s="296"/>
      <c r="W41" s="604"/>
      <c r="X41" s="2316">
        <f>IF(OR(ABS(X40&gt;500),(X40&lt;-500),COUNTIF(X9:X39,"&gt;500")&gt;0,COUNTIF(X9:X39,"&lt;-500")&gt;0),"Rätta differenserna i kolumn X","")</f>
      </c>
      <c r="Y41" s="2314">
        <f>'Verks int o kostn'!I25</f>
        <v>10880</v>
      </c>
      <c r="Z41" s="103">
        <f>'Verks int o kostn'!I26</f>
        <v>501</v>
      </c>
      <c r="AA41" s="103">
        <f>SUM('Verks int o kostn'!D17,'Verks int o kostn'!D18)</f>
        <v>24009</v>
      </c>
      <c r="AB41" s="103">
        <f>'Verks int o kostn'!D22</f>
        <v>599</v>
      </c>
      <c r="AC41" s="294">
        <f>SUM('Verks int o kostn'!D14,'Verks int o kostn'!D19,'Verks int o kostn'!D20,'Verks int o kostn'!D21,'Verks int o kostn'!D23-'Verks int o kostn'!I23)</f>
        <v>22668</v>
      </c>
    </row>
    <row r="42" spans="1:29" ht="12.75" customHeight="1" thickBot="1">
      <c r="A42" s="663"/>
      <c r="B42" s="1260"/>
      <c r="C42" s="290"/>
      <c r="D42" s="145"/>
      <c r="E42" s="145"/>
      <c r="F42" s="145"/>
      <c r="G42" s="145"/>
      <c r="H42" s="145"/>
      <c r="I42" s="145"/>
      <c r="J42" s="599"/>
      <c r="K42" s="145"/>
      <c r="L42" s="600"/>
      <c r="M42" s="2313">
        <f>IF(OR(COUNTIF(M27:M28,"&gt;10")&gt;0,COUNTIF(M27:M28,"&lt;-10")&gt;0),"Rätta differensen mellan Driften och Motparten på rad 510 och/eller rad 519","")</f>
      </c>
      <c r="N42" s="602"/>
      <c r="O42" s="291"/>
      <c r="P42" s="145"/>
      <c r="Q42" s="145"/>
      <c r="R42" s="145"/>
      <c r="S42" s="145"/>
      <c r="T42" s="146"/>
      <c r="U42" s="609"/>
      <c r="V42" s="146"/>
      <c r="W42" s="291"/>
      <c r="X42" s="2317"/>
      <c r="Y42" s="2315"/>
      <c r="Z42" s="477"/>
      <c r="AA42" s="478"/>
      <c r="AB42" s="478"/>
      <c r="AC42" s="479"/>
    </row>
    <row r="43" spans="1:29" ht="12.75" customHeight="1">
      <c r="A43" s="44"/>
      <c r="B43" s="44"/>
      <c r="E43" s="50"/>
      <c r="G43" s="50"/>
      <c r="H43" s="50"/>
      <c r="J43" s="188"/>
      <c r="K43" s="50"/>
      <c r="L43" s="189"/>
      <c r="R43" s="50"/>
      <c r="S43" s="50"/>
      <c r="U43" s="1581"/>
      <c r="V43" s="190"/>
      <c r="W43" s="292"/>
      <c r="X43" s="603"/>
      <c r="Y43" s="386"/>
      <c r="Z43" s="386"/>
      <c r="AA43" s="386"/>
      <c r="AB43" s="386"/>
      <c r="AC43" s="386"/>
    </row>
    <row r="44" spans="1:29" ht="12.75" customHeight="1">
      <c r="A44" s="44"/>
      <c r="B44" s="44"/>
      <c r="D44" s="607"/>
      <c r="F44" s="349"/>
      <c r="I44" s="607"/>
      <c r="K44" s="1579"/>
      <c r="L44" s="189"/>
      <c r="M44" s="189"/>
      <c r="O44" s="385"/>
      <c r="Q44" s="349"/>
      <c r="R44" s="189"/>
      <c r="S44" s="385"/>
      <c r="T44" s="1579"/>
      <c r="V44" s="367"/>
      <c r="W44" s="367"/>
      <c r="X44" s="385"/>
      <c r="Y44" s="349"/>
      <c r="Z44" s="349"/>
      <c r="AA44" s="349"/>
      <c r="AB44" s="349"/>
      <c r="AC44" s="349"/>
    </row>
    <row r="45" spans="1:29" ht="12.75" customHeight="1">
      <c r="A45" s="44"/>
      <c r="B45" s="44"/>
      <c r="D45" s="608"/>
      <c r="F45" s="349"/>
      <c r="G45" s="189"/>
      <c r="H45" s="189"/>
      <c r="I45" s="607"/>
      <c r="K45" s="1579"/>
      <c r="L45" s="189"/>
      <c r="O45" s="385"/>
      <c r="Q45" s="349"/>
      <c r="R45" s="189"/>
      <c r="S45" s="385"/>
      <c r="T45" s="1579"/>
      <c r="V45" s="190"/>
      <c r="W45" s="292"/>
      <c r="X45" s="385"/>
      <c r="Y45" s="349"/>
      <c r="Z45" s="349"/>
      <c r="AA45" s="349"/>
      <c r="AB45" s="349"/>
      <c r="AC45" s="349"/>
    </row>
    <row r="46" spans="1:29" ht="9.75" customHeight="1">
      <c r="A46" s="44"/>
      <c r="B46" s="44"/>
      <c r="C46" s="8"/>
      <c r="D46" s="11"/>
      <c r="E46" s="11"/>
      <c r="F46" s="11"/>
      <c r="G46" s="11"/>
      <c r="H46" s="11"/>
      <c r="I46" s="44"/>
      <c r="J46" s="44"/>
      <c r="K46" s="11"/>
      <c r="L46" s="11"/>
      <c r="M46" s="11"/>
      <c r="N46" s="8"/>
      <c r="O46" s="11"/>
      <c r="P46" s="11"/>
      <c r="Q46" s="11"/>
      <c r="R46" s="11"/>
      <c r="S46" s="11"/>
      <c r="T46" s="11"/>
      <c r="V46" s="11"/>
      <c r="W46" s="11"/>
      <c r="X46" s="11"/>
      <c r="Y46" s="8"/>
      <c r="Z46" s="8"/>
      <c r="AA46" s="7"/>
      <c r="AB46" s="11"/>
      <c r="AC46" s="1934"/>
    </row>
    <row r="47" spans="1:29" ht="10.5" customHeight="1">
      <c r="A47" s="44"/>
      <c r="B47" s="44"/>
      <c r="C47" s="2161"/>
      <c r="D47" s="2161"/>
      <c r="E47" s="2161"/>
      <c r="F47" s="2161"/>
      <c r="G47" s="2161"/>
      <c r="H47" s="2161"/>
      <c r="L47" s="2236"/>
      <c r="M47" s="2187"/>
      <c r="N47" s="2161"/>
      <c r="O47" s="2161"/>
      <c r="P47" s="2161"/>
      <c r="Q47" s="2161"/>
      <c r="R47" s="2161"/>
      <c r="S47" s="2161"/>
      <c r="T47" s="188" t="s">
        <v>502</v>
      </c>
      <c r="U47" s="2237"/>
      <c r="V47" s="2235"/>
      <c r="W47" s="2235"/>
      <c r="X47" s="2235"/>
      <c r="Y47" s="2161"/>
      <c r="Z47" s="2161"/>
      <c r="AA47" s="2161"/>
      <c r="AB47" s="2161"/>
      <c r="AC47" s="2161"/>
    </row>
    <row r="48" spans="1:29" ht="9.75" customHeight="1">
      <c r="A48" s="44"/>
      <c r="B48" s="44"/>
      <c r="C48" s="2161"/>
      <c r="D48" s="2161"/>
      <c r="E48" s="2161"/>
      <c r="F48" s="2161"/>
      <c r="G48" s="2161"/>
      <c r="H48" s="2161"/>
      <c r="L48" s="2236"/>
      <c r="M48" s="2187"/>
      <c r="N48" s="2161"/>
      <c r="O48" s="2161"/>
      <c r="P48" s="2161"/>
      <c r="Q48" s="2161"/>
      <c r="R48" s="2161"/>
      <c r="S48" s="2161"/>
      <c r="T48" s="48" t="s">
        <v>502</v>
      </c>
      <c r="U48" s="2237"/>
      <c r="V48" s="2235"/>
      <c r="W48" s="2235"/>
      <c r="X48" s="2235"/>
      <c r="Y48" s="2161"/>
      <c r="Z48" s="2161"/>
      <c r="AA48" s="2161"/>
      <c r="AB48" s="2161"/>
      <c r="AC48" s="2161"/>
    </row>
    <row r="49" spans="1:29" ht="12.75">
      <c r="A49" s="44"/>
      <c r="B49" s="44"/>
      <c r="C49" s="2161"/>
      <c r="D49" s="2161"/>
      <c r="E49" s="2161"/>
      <c r="F49" s="2161"/>
      <c r="G49" s="2161"/>
      <c r="H49" s="2161"/>
      <c r="L49" s="293"/>
      <c r="M49" s="11"/>
      <c r="N49" s="2161"/>
      <c r="O49" s="2161"/>
      <c r="P49" s="2161"/>
      <c r="Q49" s="2161"/>
      <c r="R49" s="2161"/>
      <c r="S49" s="2161"/>
      <c r="T49" s="11"/>
      <c r="U49" s="2234"/>
      <c r="V49" s="2235"/>
      <c r="W49" s="2235"/>
      <c r="X49" s="2235"/>
      <c r="Y49" s="2161"/>
      <c r="Z49" s="2161"/>
      <c r="AA49" s="2161"/>
      <c r="AB49" s="2161"/>
      <c r="AC49" s="2161"/>
    </row>
    <row r="50" spans="1:29" ht="9">
      <c r="A50" s="44"/>
      <c r="B50" s="44"/>
      <c r="C50" s="2161"/>
      <c r="D50" s="2161"/>
      <c r="E50" s="2161"/>
      <c r="F50" s="2161"/>
      <c r="G50" s="2161"/>
      <c r="H50" s="2161"/>
      <c r="L50" s="293"/>
      <c r="M50" s="11"/>
      <c r="N50" s="2161"/>
      <c r="O50" s="2161"/>
      <c r="P50" s="2161"/>
      <c r="Q50" s="2161"/>
      <c r="R50" s="2161"/>
      <c r="S50" s="2161"/>
      <c r="T50" s="11"/>
      <c r="Y50" s="2161"/>
      <c r="Z50" s="2161"/>
      <c r="AA50" s="2161"/>
      <c r="AB50" s="2161"/>
      <c r="AC50" s="2161"/>
    </row>
    <row r="51" spans="1:24" ht="12" customHeight="1">
      <c r="A51" s="44"/>
      <c r="B51" s="44"/>
      <c r="L51" s="293"/>
      <c r="M51" s="11"/>
      <c r="T51" s="11"/>
      <c r="U51" s="11"/>
      <c r="V51" s="11"/>
      <c r="W51" s="11"/>
      <c r="X51" s="11"/>
    </row>
  </sheetData>
  <sheetProtection/>
  <mergeCells count="30">
    <mergeCell ref="Z7:Z8"/>
    <mergeCell ref="AA7:AA8"/>
    <mergeCell ref="AB7:AB8"/>
    <mergeCell ref="AC7:AC8"/>
    <mergeCell ref="Y7:Y8"/>
    <mergeCell ref="R7:R8"/>
    <mergeCell ref="S7:S8"/>
    <mergeCell ref="T7:T8"/>
    <mergeCell ref="U7:U8"/>
    <mergeCell ref="V7:V8"/>
    <mergeCell ref="I7:I8"/>
    <mergeCell ref="J7:J8"/>
    <mergeCell ref="K7:K8"/>
    <mergeCell ref="O7:O8"/>
    <mergeCell ref="P7:P8"/>
    <mergeCell ref="Q7:Q8"/>
    <mergeCell ref="B7:B8"/>
    <mergeCell ref="D7:D8"/>
    <mergeCell ref="E7:E8"/>
    <mergeCell ref="F7:F8"/>
    <mergeCell ref="G7:G8"/>
    <mergeCell ref="H7:H8"/>
    <mergeCell ref="C47:H50"/>
    <mergeCell ref="N47:S50"/>
    <mergeCell ref="Y47:AC50"/>
    <mergeCell ref="U49:X49"/>
    <mergeCell ref="L47:M47"/>
    <mergeCell ref="U47:X47"/>
    <mergeCell ref="U48:X48"/>
    <mergeCell ref="L48:M48"/>
  </mergeCells>
  <conditionalFormatting sqref="D32:L32 D34:L34 O34:W34 O32:W32 Y32:AC32 Y34:AC34">
    <cfRule type="cellIs" priority="31" dxfId="0" operator="lessThan" stopIfTrue="1">
      <formula>-500</formula>
    </cfRule>
    <cfRule type="cellIs" priority="32" dxfId="3" operator="greaterThan" stopIfTrue="1">
      <formula>D31</formula>
    </cfRule>
  </conditionalFormatting>
  <conditionalFormatting sqref="M9:M26 M30:M40 X9:X40">
    <cfRule type="cellIs" priority="18" dxfId="3" operator="notBetween" stopIfTrue="1">
      <formula>-500</formula>
      <formula>500</formula>
    </cfRule>
  </conditionalFormatting>
  <conditionalFormatting sqref="M27:M29">
    <cfRule type="cellIs" priority="2" dxfId="7" operator="notBetween" stopIfTrue="1">
      <formula>-10</formula>
      <formula>10</formula>
    </cfRule>
  </conditionalFormatting>
  <dataValidations count="1">
    <dataValidation type="decimal" operator="lessThan" allowBlank="1" showInputMessage="1" showErrorMessage="1" error="Beloppet ska vara i 1000 tal kr" sqref="D9:L39 O9:W39 Y9:AC39">
      <formula1>99999999</formula1>
    </dataValidation>
  </dataValidations>
  <printOptions/>
  <pageMargins left="0.7086614173228347" right="0.7086614173228347" top="0.54" bottom="0.17" header="0.1968503937007874" footer="0.15748031496062992"/>
  <pageSetup horizontalDpi="600" verticalDpi="600" orientation="landscape" paperSize="9" scale="65" r:id="rId1"/>
  <headerFooter>
    <oddHeader>&amp;L&amp;8Statistiska Centralbyrån
Offentlig ekonomi&amp;R&amp;P</oddHeader>
  </headerFooter>
  <colBreaks count="2" manualBreakCount="2">
    <brk id="13" max="65535" man="1"/>
    <brk id="24" max="65535" man="1"/>
  </colBreaks>
  <ignoredErrors>
    <ignoredError sqref="A10:A40" numberStoredAsText="1"/>
    <ignoredError sqref="N25" formulaRange="1"/>
    <ignoredError sqref="M32:M34 X33 X32 X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03"/>
  <sheetViews>
    <sheetView showGridLines="0" tabSelected="1" zoomScalePageLayoutView="0" workbookViewId="0" topLeftCell="A1">
      <pane xSplit="2" ySplit="7" topLeftCell="C50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70" sqref="A70:Q70"/>
    </sheetView>
  </sheetViews>
  <sheetFormatPr defaultColWidth="0" defaultRowHeight="0" customHeight="1" zeroHeight="1"/>
  <cols>
    <col min="1" max="1" width="4.00390625" style="308" customWidth="1"/>
    <col min="2" max="2" width="27.140625" style="241" customWidth="1"/>
    <col min="3" max="3" width="7.421875" style="241" customWidth="1"/>
    <col min="4" max="5" width="6.8515625" style="241" customWidth="1"/>
    <col min="6" max="6" width="7.8515625" style="241" customWidth="1"/>
    <col min="7" max="7" width="9.00390625" style="241" customWidth="1"/>
    <col min="8" max="8" width="8.421875" style="309" hidden="1" customWidth="1"/>
    <col min="9" max="9" width="12.57421875" style="241" customWidth="1"/>
    <col min="10" max="10" width="5.140625" style="241" customWidth="1"/>
    <col min="11" max="11" width="0.71875" style="242" customWidth="1"/>
    <col min="12" max="12" width="0.9921875" style="242" customWidth="1"/>
    <col min="13" max="13" width="9.140625" style="193" customWidth="1"/>
    <col min="14" max="15" width="0.13671875" style="193" customWidth="1"/>
    <col min="16" max="16" width="0.42578125" style="310" customWidth="1"/>
    <col min="17" max="17" width="43.28125" style="4" customWidth="1"/>
    <col min="18" max="24" width="8.421875" style="192" hidden="1" customWidth="1"/>
    <col min="25" max="16384" width="0" style="192" hidden="1" customWidth="1"/>
  </cols>
  <sheetData>
    <row r="1" spans="1:256" ht="21.75">
      <c r="A1" s="93" t="str">
        <f>"Specificering pedagogisk verksamhet "&amp;År&amp;", miljoner kronor"</f>
        <v>Specificering pedagogisk verksamhet 2014, miljoner kronor</v>
      </c>
      <c r="B1" s="94"/>
      <c r="C1" s="94"/>
      <c r="D1" s="94"/>
      <c r="E1" s="191"/>
      <c r="F1" s="191"/>
      <c r="G1" s="191"/>
      <c r="H1" s="297"/>
      <c r="I1" s="593" t="s">
        <v>502</v>
      </c>
      <c r="J1" s="589" t="str">
        <f>'Kn Information'!B2</f>
        <v>RIKSTOTAL</v>
      </c>
      <c r="K1" s="220"/>
      <c r="L1" s="220"/>
      <c r="M1" s="1600"/>
      <c r="N1" s="191"/>
      <c r="O1" s="93"/>
      <c r="P1" s="159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17" ht="12.75" customHeight="1">
      <c r="A2" s="1547" t="s">
        <v>502</v>
      </c>
      <c r="C2" s="1660"/>
      <c r="D2" s="166"/>
      <c r="E2" s="192"/>
      <c r="F2" s="192"/>
      <c r="G2" s="1948"/>
      <c r="H2" s="1949"/>
      <c r="I2" s="166"/>
      <c r="K2" s="1761"/>
      <c r="L2" s="192"/>
      <c r="O2" s="1593"/>
      <c r="P2" s="1588"/>
      <c r="Q2" s="1588"/>
    </row>
    <row r="3" spans="3:17" ht="13.5" thickBot="1">
      <c r="C3" s="1660"/>
      <c r="D3" s="166"/>
      <c r="E3" s="1948"/>
      <c r="F3" s="1948"/>
      <c r="G3" s="1948"/>
      <c r="H3" s="1949"/>
      <c r="I3" s="166"/>
      <c r="K3" s="1761"/>
      <c r="L3" s="1761"/>
      <c r="M3" s="1592"/>
      <c r="N3" s="1592"/>
      <c r="O3" s="1589"/>
      <c r="P3" s="1591"/>
      <c r="Q3" s="1590"/>
    </row>
    <row r="4" spans="1:19" ht="11.25" customHeight="1">
      <c r="A4" s="1682" t="s">
        <v>695</v>
      </c>
      <c r="B4" s="1681" t="s">
        <v>501</v>
      </c>
      <c r="C4" s="1981" t="s">
        <v>155</v>
      </c>
      <c r="D4" s="1982"/>
      <c r="E4" s="900" t="s">
        <v>155</v>
      </c>
      <c r="F4" s="1982"/>
      <c r="G4" s="1983"/>
      <c r="H4" s="1984" t="s">
        <v>646</v>
      </c>
      <c r="I4" s="2263" t="s">
        <v>569</v>
      </c>
      <c r="J4" s="2264"/>
      <c r="K4" s="2264"/>
      <c r="L4" s="2265"/>
      <c r="M4" s="2255" t="s">
        <v>1194</v>
      </c>
      <c r="N4" s="2256"/>
      <c r="O4" s="1320"/>
      <c r="P4" s="2066"/>
      <c r="Q4" s="2261" t="s">
        <v>66</v>
      </c>
      <c r="R4" s="299"/>
      <c r="S4" s="299"/>
    </row>
    <row r="5" spans="1:19" ht="12.75" customHeight="1">
      <c r="A5" s="1683" t="s">
        <v>698</v>
      </c>
      <c r="B5" s="961"/>
      <c r="C5" s="1261" t="s">
        <v>51</v>
      </c>
      <c r="D5" s="2268" t="s">
        <v>958</v>
      </c>
      <c r="E5" s="903" t="s">
        <v>167</v>
      </c>
      <c r="F5" s="2268" t="s">
        <v>553</v>
      </c>
      <c r="G5" s="2271" t="s">
        <v>858</v>
      </c>
      <c r="H5" s="169"/>
      <c r="I5" s="2266"/>
      <c r="J5" s="2266"/>
      <c r="K5" s="2266"/>
      <c r="L5" s="2267"/>
      <c r="M5" s="2257"/>
      <c r="N5" s="2258"/>
      <c r="O5" s="1251"/>
      <c r="P5" s="2062"/>
      <c r="Q5" s="2262"/>
      <c r="R5" s="299"/>
      <c r="S5" s="299"/>
    </row>
    <row r="6" spans="1:256" ht="39" customHeight="1">
      <c r="A6" s="1262"/>
      <c r="B6" s="961"/>
      <c r="C6" s="1261"/>
      <c r="D6" s="2269"/>
      <c r="E6" s="644"/>
      <c r="F6" s="2269"/>
      <c r="G6" s="2272"/>
      <c r="H6" s="169"/>
      <c r="I6" s="1783"/>
      <c r="J6" s="1800"/>
      <c r="K6" s="1800"/>
      <c r="L6" s="1801"/>
      <c r="M6" s="2259"/>
      <c r="N6" s="2260"/>
      <c r="O6" s="1980" t="s">
        <v>568</v>
      </c>
      <c r="P6" s="2063"/>
      <c r="Q6" s="2262"/>
      <c r="S6" s="299"/>
      <c r="IV6" s="2254"/>
    </row>
    <row r="7" spans="1:256" ht="39.75" customHeight="1" thickBot="1">
      <c r="A7" s="1253"/>
      <c r="B7" s="961"/>
      <c r="C7" s="1255"/>
      <c r="D7" s="2270"/>
      <c r="E7" s="644"/>
      <c r="F7" s="2270"/>
      <c r="G7" s="2273"/>
      <c r="H7" s="169"/>
      <c r="I7" s="1802"/>
      <c r="J7" s="961"/>
      <c r="K7" s="1804"/>
      <c r="L7" s="1803"/>
      <c r="M7" s="1321" t="str">
        <f>"År "&amp;År</f>
        <v>År 2014</v>
      </c>
      <c r="N7" s="1322" t="str">
        <f>"År "&amp;År-1</f>
        <v>År 2013</v>
      </c>
      <c r="O7" s="1323" t="str">
        <f>År-1&amp;"-"&amp;År</f>
        <v>2013-2014</v>
      </c>
      <c r="P7" s="2063"/>
      <c r="Q7" s="2262"/>
      <c r="S7" s="299"/>
      <c r="IV7" s="2254"/>
    </row>
    <row r="8" spans="1:19" ht="12.75">
      <c r="A8" s="1286" t="s">
        <v>435</v>
      </c>
      <c r="B8" s="1287" t="s">
        <v>612</v>
      </c>
      <c r="C8" s="137">
        <f>Drift!P47</f>
        <v>73269.35910180485</v>
      </c>
      <c r="D8" s="138">
        <f>SUM(Motpart!D13:L13)</f>
        <v>12752</v>
      </c>
      <c r="E8" s="138">
        <f>Drift!W47</f>
        <v>16502</v>
      </c>
      <c r="F8" s="138">
        <f>Motpart!Y13</f>
        <v>271</v>
      </c>
      <c r="G8" s="148">
        <f>Drift!V47</f>
        <v>7934</v>
      </c>
      <c r="H8" s="170"/>
      <c r="I8" s="1243" t="s">
        <v>1078</v>
      </c>
      <c r="J8" s="909">
        <v>586</v>
      </c>
      <c r="K8" s="1790"/>
      <c r="L8" s="1791"/>
      <c r="M8" s="1324">
        <f>(C8-F8-G8)*1000/J8</f>
        <v>111031.32952526424</v>
      </c>
      <c r="N8" s="1325">
        <v>0</v>
      </c>
      <c r="O8" s="1326">
        <f aca="true" t="shared" si="0" ref="O8:O14">IF(OR(M8="",N8=""),"",IF(AND(M8=0,N8=0),0,IF(N8=0,1,M8/N8-1)))</f>
        <v>1</v>
      </c>
      <c r="P8" s="2064"/>
      <c r="Q8" s="1327" t="s">
        <v>1085</v>
      </c>
      <c r="R8" s="106"/>
      <c r="S8" s="299"/>
    </row>
    <row r="9" spans="1:24" s="1570" customFormat="1" ht="11.25">
      <c r="A9" s="1288" t="s">
        <v>351</v>
      </c>
      <c r="B9" s="1289" t="s">
        <v>399</v>
      </c>
      <c r="C9" s="419">
        <f>C8-G8-D8</f>
        <v>52583.35910180485</v>
      </c>
      <c r="D9" s="1263"/>
      <c r="E9" s="1269"/>
      <c r="F9" s="1269"/>
      <c r="G9" s="1275"/>
      <c r="H9" s="171">
        <v>850</v>
      </c>
      <c r="I9" s="1784"/>
      <c r="J9" s="1785"/>
      <c r="K9" s="1788"/>
      <c r="L9" s="1789"/>
      <c r="M9" s="1328">
        <f>C9*1000/J8</f>
        <v>89732.69471297755</v>
      </c>
      <c r="N9" s="1329"/>
      <c r="O9" s="1330">
        <f t="shared" si="0"/>
      </c>
      <c r="P9" s="2064"/>
      <c r="Q9" s="1327" t="s">
        <v>1086</v>
      </c>
      <c r="R9" s="2274"/>
      <c r="S9" s="2275"/>
      <c r="T9" s="2275"/>
      <c r="U9" s="2275"/>
      <c r="V9" s="2275"/>
      <c r="W9" s="2275"/>
      <c r="X9" s="1566"/>
    </row>
    <row r="10" spans="1:23" s="1566" customFormat="1" ht="18.75">
      <c r="A10" s="1288" t="s">
        <v>349</v>
      </c>
      <c r="B10" s="1290" t="s">
        <v>400</v>
      </c>
      <c r="C10" s="99">
        <f>Drift!C47+Drift!D47</f>
        <v>38206</v>
      </c>
      <c r="D10" s="1263"/>
      <c r="E10" s="1270"/>
      <c r="F10" s="1270"/>
      <c r="G10" s="1275"/>
      <c r="H10" s="171">
        <v>851</v>
      </c>
      <c r="I10" s="1784"/>
      <c r="J10" s="1785"/>
      <c r="K10" s="1355"/>
      <c r="L10" s="1786"/>
      <c r="M10" s="1328">
        <f>IF(C10=0,0,C10*100/C9)</f>
        <v>72.65796756352265</v>
      </c>
      <c r="N10" s="1329"/>
      <c r="O10" s="1330">
        <f t="shared" si="0"/>
      </c>
      <c r="P10" s="2064"/>
      <c r="Q10" s="1327" t="s">
        <v>401</v>
      </c>
      <c r="R10" s="2275"/>
      <c r="S10" s="2275"/>
      <c r="T10" s="2275"/>
      <c r="U10" s="2275"/>
      <c r="V10" s="2275"/>
      <c r="W10" s="2275"/>
    </row>
    <row r="11" spans="1:23" s="1566" customFormat="1" ht="11.25">
      <c r="A11" s="1288" t="s">
        <v>352</v>
      </c>
      <c r="B11" s="1290" t="s">
        <v>609</v>
      </c>
      <c r="C11" s="312">
        <v>7749</v>
      </c>
      <c r="D11" s="1264"/>
      <c r="E11" s="280">
        <v>171</v>
      </c>
      <c r="F11" s="1270"/>
      <c r="G11" s="311">
        <v>155</v>
      </c>
      <c r="H11" s="171"/>
      <c r="I11" s="961"/>
      <c r="J11" s="1331"/>
      <c r="K11" s="1321"/>
      <c r="L11" s="1787"/>
      <c r="M11" s="1328">
        <f>(C11-E11)*1000/J8</f>
        <v>12931.74061433447</v>
      </c>
      <c r="N11" s="1329"/>
      <c r="O11" s="1330">
        <f t="shared" si="0"/>
      </c>
      <c r="P11" s="2064"/>
      <c r="Q11" s="1327" t="s">
        <v>1087</v>
      </c>
      <c r="R11" s="2275"/>
      <c r="S11" s="2275"/>
      <c r="T11" s="2275"/>
      <c r="U11" s="2275"/>
      <c r="V11" s="2275"/>
      <c r="W11" s="2275"/>
    </row>
    <row r="12" spans="1:23" s="1566" customFormat="1" ht="11.25">
      <c r="A12" s="1288" t="s">
        <v>504</v>
      </c>
      <c r="B12" s="1290" t="s">
        <v>554</v>
      </c>
      <c r="C12" s="1267"/>
      <c r="D12" s="1265"/>
      <c r="E12" s="100">
        <f>Drift!R47</f>
        <v>3920</v>
      </c>
      <c r="F12" s="1271"/>
      <c r="G12" s="1594"/>
      <c r="H12" s="185" t="s">
        <v>625</v>
      </c>
      <c r="I12" s="1340"/>
      <c r="J12" s="1785"/>
      <c r="K12" s="1788"/>
      <c r="L12" s="1789"/>
      <c r="M12" s="1328">
        <f>(Motpart!G13+Motpart!K13)*1000/J8</f>
        <v>464.16382252559725</v>
      </c>
      <c r="N12" s="1329"/>
      <c r="O12" s="1330">
        <f t="shared" si="0"/>
      </c>
      <c r="P12" s="2065"/>
      <c r="Q12" s="1327" t="s">
        <v>1088</v>
      </c>
      <c r="R12" s="2275"/>
      <c r="S12" s="2275"/>
      <c r="T12" s="2275"/>
      <c r="U12" s="2275"/>
      <c r="V12" s="2275"/>
      <c r="W12" s="2275"/>
    </row>
    <row r="13" spans="1:23" s="1566" customFormat="1" ht="11.25">
      <c r="A13" s="1288" t="s">
        <v>505</v>
      </c>
      <c r="B13" s="1290" t="s">
        <v>506</v>
      </c>
      <c r="C13" s="1268"/>
      <c r="D13" s="1265"/>
      <c r="E13" s="280">
        <v>381</v>
      </c>
      <c r="F13" s="1271"/>
      <c r="G13" s="1594"/>
      <c r="H13" s="186" t="s">
        <v>626</v>
      </c>
      <c r="I13" s="1340"/>
      <c r="J13" s="1785"/>
      <c r="K13" s="1788"/>
      <c r="L13" s="1789"/>
      <c r="M13" s="1328">
        <f>F8*1000/J8</f>
        <v>462.45733788395904</v>
      </c>
      <c r="N13" s="1329"/>
      <c r="O13" s="1330">
        <f t="shared" si="0"/>
      </c>
      <c r="P13" s="2064"/>
      <c r="Q13" s="1327" t="s">
        <v>1089</v>
      </c>
      <c r="R13" s="2275"/>
      <c r="S13" s="2275"/>
      <c r="T13" s="2275"/>
      <c r="U13" s="2275"/>
      <c r="V13" s="2275"/>
      <c r="W13" s="2275"/>
    </row>
    <row r="14" spans="1:23" s="1566" customFormat="1" ht="11.25">
      <c r="A14" s="1291"/>
      <c r="B14" s="1292"/>
      <c r="C14" s="1268"/>
      <c r="D14" s="1266"/>
      <c r="E14" s="1274"/>
      <c r="F14" s="1272"/>
      <c r="G14" s="1594"/>
      <c r="H14" s="185" t="s">
        <v>627</v>
      </c>
      <c r="I14" s="1340"/>
      <c r="J14" s="1785"/>
      <c r="K14" s="1788"/>
      <c r="L14" s="1789"/>
      <c r="M14" s="1328">
        <f>((Motpart!D13+Motpart!E13+Motpart!F13+Motpart!J13)-((Motpart!D13+Motpart!E13+Motpart!F13+Motpart!J13)*0.06))*1000/J8</f>
        <v>19982.21843003413</v>
      </c>
      <c r="N14" s="1329"/>
      <c r="O14" s="1330">
        <f t="shared" si="0"/>
      </c>
      <c r="P14" s="2064"/>
      <c r="Q14" s="1327" t="s">
        <v>1090</v>
      </c>
      <c r="R14" s="2275"/>
      <c r="S14" s="2275"/>
      <c r="T14" s="2275"/>
      <c r="U14" s="2275"/>
      <c r="V14" s="2275"/>
      <c r="W14" s="2275"/>
    </row>
    <row r="15" spans="1:23" s="1571" customFormat="1" ht="12" thickBot="1">
      <c r="A15" s="1291"/>
      <c r="B15" s="1292"/>
      <c r="C15" s="1268"/>
      <c r="D15" s="1266"/>
      <c r="E15" s="1266"/>
      <c r="F15" s="1273"/>
      <c r="G15" s="1276"/>
      <c r="H15" s="172"/>
      <c r="I15" s="1799"/>
      <c r="J15" s="1341"/>
      <c r="K15" s="1332"/>
      <c r="L15" s="1797"/>
      <c r="M15" s="1333">
        <f>IF(C9=0,0,(E12-E13)*100/C9)</f>
        <v>6.730266115461097</v>
      </c>
      <c r="N15" s="1334"/>
      <c r="O15" s="1335">
        <f>IF(M15="","",IF(AND(M15=0,N15=0),0,IF(N15=0,1,M15/N15-1)))</f>
        <v>1</v>
      </c>
      <c r="P15" s="1336"/>
      <c r="Q15" s="1344" t="s">
        <v>588</v>
      </c>
      <c r="R15" s="1566"/>
      <c r="S15" s="1566"/>
      <c r="T15" s="1566"/>
      <c r="U15" s="1566"/>
      <c r="V15" s="1566"/>
      <c r="W15" s="1566"/>
    </row>
    <row r="16" spans="1:19" ht="12.75">
      <c r="A16" s="1293" t="s">
        <v>757</v>
      </c>
      <c r="B16" s="1294" t="s">
        <v>613</v>
      </c>
      <c r="C16" s="97">
        <f>Drift!P50</f>
        <v>17764.739730212445</v>
      </c>
      <c r="D16" s="98">
        <f>SUM(Motpart!D15:L15)</f>
        <v>1851</v>
      </c>
      <c r="E16" s="102">
        <f>Drift!W50</f>
        <v>5790</v>
      </c>
      <c r="F16" s="98">
        <f>Motpart!Y15</f>
        <v>112</v>
      </c>
      <c r="G16" s="149">
        <f>Drift!V50</f>
        <v>2571</v>
      </c>
      <c r="H16" s="169"/>
      <c r="I16" s="1243" t="s">
        <v>1079</v>
      </c>
      <c r="J16" s="909">
        <v>778</v>
      </c>
      <c r="K16" s="1798"/>
      <c r="L16" s="1791"/>
      <c r="M16" s="1337">
        <f>(C16-G16-F16)*1000/J16</f>
        <v>19385.26957610854</v>
      </c>
      <c r="N16" s="1325">
        <v>0</v>
      </c>
      <c r="O16" s="1338">
        <f aca="true" t="shared" si="1" ref="O16:O42">IF(OR(M16="",N16=""),"",IF(AND(M16=0,N16=0),0,IF(N16=0,1,M16/N16-1)))</f>
        <v>1</v>
      </c>
      <c r="P16" s="1596"/>
      <c r="Q16" s="2061" t="s">
        <v>1143</v>
      </c>
      <c r="R16" s="106"/>
      <c r="S16" s="299"/>
    </row>
    <row r="17" spans="1:23" ht="12.75">
      <c r="A17" s="1288" t="s">
        <v>416</v>
      </c>
      <c r="B17" s="1295" t="s">
        <v>399</v>
      </c>
      <c r="C17" s="419">
        <f>C16-G16-D16</f>
        <v>13342.739730212445</v>
      </c>
      <c r="D17" s="1277"/>
      <c r="E17" s="1278"/>
      <c r="F17" s="1278"/>
      <c r="G17" s="1275"/>
      <c r="H17" s="173" t="s">
        <v>305</v>
      </c>
      <c r="I17" s="1784"/>
      <c r="J17" s="1785"/>
      <c r="K17" s="1788"/>
      <c r="L17" s="1789"/>
      <c r="M17" s="1328">
        <f>C17*1000/J16</f>
        <v>17150.05106711111</v>
      </c>
      <c r="N17" s="1329"/>
      <c r="O17" s="1338">
        <f t="shared" si="1"/>
      </c>
      <c r="P17" s="1596"/>
      <c r="Q17" s="1327" t="s">
        <v>1144</v>
      </c>
      <c r="R17" s="2276"/>
      <c r="S17" s="2161"/>
      <c r="T17" s="2161"/>
      <c r="U17" s="2161"/>
      <c r="V17" s="2161"/>
      <c r="W17" s="2161"/>
    </row>
    <row r="18" spans="1:23" ht="18.75">
      <c r="A18" s="1288" t="s">
        <v>417</v>
      </c>
      <c r="B18" s="1296" t="s">
        <v>400</v>
      </c>
      <c r="C18" s="99">
        <f>Drift!C50+Drift!D50</f>
        <v>9559</v>
      </c>
      <c r="D18" s="1277"/>
      <c r="E18" s="1270"/>
      <c r="F18" s="1270"/>
      <c r="G18" s="1275"/>
      <c r="H18" s="171" t="s">
        <v>648</v>
      </c>
      <c r="I18" s="1784"/>
      <c r="J18" s="1785"/>
      <c r="K18" s="1355"/>
      <c r="L18" s="1786"/>
      <c r="M18" s="1328">
        <f>IF(C18=0,0,(C18*100/C17))</f>
        <v>71.64195804820514</v>
      </c>
      <c r="N18" s="1329"/>
      <c r="O18" s="1338">
        <f t="shared" si="1"/>
      </c>
      <c r="P18" s="1596"/>
      <c r="Q18" s="1327" t="s">
        <v>411</v>
      </c>
      <c r="R18" s="2161"/>
      <c r="S18" s="2161"/>
      <c r="T18" s="2161"/>
      <c r="U18" s="2161"/>
      <c r="V18" s="2161"/>
      <c r="W18" s="2161"/>
    </row>
    <row r="19" spans="1:23" ht="12.75">
      <c r="A19" s="1288" t="s">
        <v>418</v>
      </c>
      <c r="B19" s="1290" t="s">
        <v>609</v>
      </c>
      <c r="C19" s="312">
        <v>2225</v>
      </c>
      <c r="D19" s="1277"/>
      <c r="E19" s="280">
        <v>31</v>
      </c>
      <c r="F19" s="1272"/>
      <c r="G19" s="311">
        <v>27</v>
      </c>
      <c r="H19" s="169"/>
      <c r="I19" s="1784"/>
      <c r="J19" s="1331"/>
      <c r="K19" s="1321"/>
      <c r="L19" s="1787"/>
      <c r="M19" s="1339">
        <f>(C19-E19)*1000/J16</f>
        <v>2820.051413881748</v>
      </c>
      <c r="N19" s="1325"/>
      <c r="O19" s="1338">
        <f t="shared" si="1"/>
      </c>
      <c r="P19" s="1596"/>
      <c r="Q19" s="1327" t="s">
        <v>1145</v>
      </c>
      <c r="R19" s="2161"/>
      <c r="S19" s="2161"/>
      <c r="T19" s="2161"/>
      <c r="U19" s="2161"/>
      <c r="V19" s="2161"/>
      <c r="W19" s="2161"/>
    </row>
    <row r="20" spans="1:23" ht="12.75">
      <c r="A20" s="1288" t="s">
        <v>628</v>
      </c>
      <c r="B20" s="1290" t="s">
        <v>554</v>
      </c>
      <c r="C20" s="1267"/>
      <c r="D20" s="1265"/>
      <c r="E20" s="103">
        <f>Drift!R50</f>
        <v>2385</v>
      </c>
      <c r="F20" s="1271"/>
      <c r="G20" s="1594"/>
      <c r="H20" s="497" t="s">
        <v>649</v>
      </c>
      <c r="I20" s="1340"/>
      <c r="J20" s="1785"/>
      <c r="K20" s="1788"/>
      <c r="L20" s="1789"/>
      <c r="M20" s="1328">
        <f>IF(D16=0,0,(Motpart!G15+Motpart!K15)*1000/J16)</f>
        <v>151.67095115681235</v>
      </c>
      <c r="N20" s="1329"/>
      <c r="O20" s="1338">
        <f t="shared" si="1"/>
      </c>
      <c r="P20" s="1596"/>
      <c r="Q20" s="1327" t="s">
        <v>1146</v>
      </c>
      <c r="R20" s="2161"/>
      <c r="S20" s="2161"/>
      <c r="T20" s="2161"/>
      <c r="U20" s="2161"/>
      <c r="V20" s="2161"/>
      <c r="W20" s="2161"/>
    </row>
    <row r="21" spans="1:256" ht="12.75">
      <c r="A21" s="1288" t="s">
        <v>629</v>
      </c>
      <c r="B21" s="1290" t="s">
        <v>506</v>
      </c>
      <c r="C21" s="1268"/>
      <c r="D21" s="1265"/>
      <c r="E21" s="280">
        <v>98</v>
      </c>
      <c r="F21" s="1271"/>
      <c r="G21" s="1594"/>
      <c r="H21" s="497" t="s">
        <v>650</v>
      </c>
      <c r="I21" s="1340"/>
      <c r="J21" s="1785"/>
      <c r="K21" s="1788"/>
      <c r="L21" s="1789"/>
      <c r="M21" s="1328">
        <f>IF(F16=0,0,(F16*1000/J16))</f>
        <v>143.95886889460155</v>
      </c>
      <c r="N21" s="1329"/>
      <c r="O21" s="1338">
        <f t="shared" si="1"/>
      </c>
      <c r="P21" s="1596"/>
      <c r="Q21" s="1327" t="s">
        <v>1147</v>
      </c>
      <c r="R21" s="2161"/>
      <c r="S21" s="2161"/>
      <c r="T21" s="2161"/>
      <c r="U21" s="2161"/>
      <c r="V21" s="2161"/>
      <c r="W21" s="2161"/>
      <c r="IV21" s="299"/>
    </row>
    <row r="22" spans="1:256" ht="12.75">
      <c r="A22" s="1291"/>
      <c r="B22" s="1297"/>
      <c r="C22" s="1268"/>
      <c r="D22" s="1266"/>
      <c r="E22" s="1274"/>
      <c r="F22" s="1272"/>
      <c r="G22" s="1594"/>
      <c r="H22" s="497" t="s">
        <v>651</v>
      </c>
      <c r="I22" s="1340"/>
      <c r="J22" s="1785"/>
      <c r="K22" s="1788"/>
      <c r="L22" s="1789"/>
      <c r="M22" s="1328">
        <f>IF(D16=0,0,((Motpart!D15+Motpart!E15+Motpart!F15+Motpart!I15+Motpart!J15)-((Motpart!D15+Motpart!E15+Motpart!F15+Motpart!J15)*0.06))*1000/J16)</f>
        <v>2095.629820051414</v>
      </c>
      <c r="N22" s="1329"/>
      <c r="O22" s="1338">
        <f t="shared" si="1"/>
      </c>
      <c r="P22" s="1596"/>
      <c r="Q22" s="1327" t="s">
        <v>1148</v>
      </c>
      <c r="R22" s="2161"/>
      <c r="S22" s="2161"/>
      <c r="T22" s="2161"/>
      <c r="U22" s="2161"/>
      <c r="V22" s="2161"/>
      <c r="W22" s="2161"/>
      <c r="IV22" s="299"/>
    </row>
    <row r="23" spans="1:256" ht="13.5" thickBot="1">
      <c r="A23" s="1291"/>
      <c r="B23" s="1297"/>
      <c r="C23" s="1268"/>
      <c r="D23" s="1266"/>
      <c r="E23" s="1266"/>
      <c r="F23" s="1266"/>
      <c r="G23" s="1276"/>
      <c r="H23" s="498"/>
      <c r="I23" s="735"/>
      <c r="J23" s="1341"/>
      <c r="K23" s="1332"/>
      <c r="L23" s="1797"/>
      <c r="M23" s="1342">
        <f>IF(E20=0,0,(E20-E21)*100/C17)</f>
        <v>17.140407789124925</v>
      </c>
      <c r="N23" s="1334"/>
      <c r="O23" s="1343">
        <f t="shared" si="1"/>
      </c>
      <c r="P23" s="1596"/>
      <c r="Q23" s="1344" t="s">
        <v>592</v>
      </c>
      <c r="R23" s="299"/>
      <c r="S23" s="299"/>
      <c r="IV23" s="299"/>
    </row>
    <row r="24" spans="1:19" ht="12.75">
      <c r="A24" s="1293" t="s">
        <v>422</v>
      </c>
      <c r="B24" s="1298" t="s">
        <v>614</v>
      </c>
      <c r="C24" s="97">
        <f>Drift!P53</f>
        <v>6866.4005922165825</v>
      </c>
      <c r="D24" s="98">
        <f>SUM(Motpart!D17:L17)</f>
        <v>717</v>
      </c>
      <c r="E24" s="98">
        <f>Drift!W53</f>
        <v>1094</v>
      </c>
      <c r="F24" s="98">
        <f>Motpart!Y17</f>
        <v>33</v>
      </c>
      <c r="G24" s="149">
        <f>Drift!V53</f>
        <v>948</v>
      </c>
      <c r="H24" s="185"/>
      <c r="I24" s="1243" t="s">
        <v>1080</v>
      </c>
      <c r="J24" s="909">
        <v>116</v>
      </c>
      <c r="K24" s="1793"/>
      <c r="L24" s="1791"/>
      <c r="M24" s="1337">
        <f>(C24-G24-F24)*1000/J24</f>
        <v>50736.21200186708</v>
      </c>
      <c r="N24" s="1325"/>
      <c r="O24" s="1345">
        <f t="shared" si="1"/>
      </c>
      <c r="P24" s="1346"/>
      <c r="Q24" s="2061" t="s">
        <v>1137</v>
      </c>
      <c r="R24" s="106"/>
      <c r="S24" s="299"/>
    </row>
    <row r="25" spans="1:23" ht="12.75">
      <c r="A25" s="1288" t="s">
        <v>419</v>
      </c>
      <c r="B25" s="1299" t="s">
        <v>399</v>
      </c>
      <c r="C25" s="419">
        <f>C24-G24-D24</f>
        <v>5201.4005922165825</v>
      </c>
      <c r="D25" s="1277"/>
      <c r="E25" s="1278"/>
      <c r="F25" s="1278"/>
      <c r="G25" s="1275"/>
      <c r="H25" s="497" t="s">
        <v>652</v>
      </c>
      <c r="I25" s="1340"/>
      <c r="J25" s="1785"/>
      <c r="K25" s="1788"/>
      <c r="L25" s="1789"/>
      <c r="M25" s="1328">
        <f>C25*1000/J24</f>
        <v>44839.660277729155</v>
      </c>
      <c r="N25" s="1347"/>
      <c r="O25" s="1338">
        <f t="shared" si="1"/>
      </c>
      <c r="P25" s="1596"/>
      <c r="Q25" s="1327" t="s">
        <v>1138</v>
      </c>
      <c r="R25" s="2274"/>
      <c r="S25" s="2161"/>
      <c r="T25" s="2161"/>
      <c r="U25" s="2161"/>
      <c r="V25" s="2161"/>
      <c r="W25" s="2161"/>
    </row>
    <row r="26" spans="1:23" ht="12.75">
      <c r="A26" s="1288" t="s">
        <v>420</v>
      </c>
      <c r="B26" s="1300" t="s">
        <v>577</v>
      </c>
      <c r="C26" s="101">
        <f>Drift!C53+Drift!D53</f>
        <v>3404</v>
      </c>
      <c r="D26" s="1277"/>
      <c r="E26" s="1270"/>
      <c r="F26" s="1270"/>
      <c r="G26" s="1275"/>
      <c r="H26" s="185" t="s">
        <v>422</v>
      </c>
      <c r="I26" s="1340"/>
      <c r="J26" s="1785"/>
      <c r="K26" s="1355"/>
      <c r="L26" s="1786"/>
      <c r="M26" s="1333">
        <f>IF(C26=0,0,C26*100/C25)</f>
        <v>65.44391149364218</v>
      </c>
      <c r="N26" s="1329"/>
      <c r="O26" s="1338">
        <f t="shared" si="1"/>
      </c>
      <c r="P26" s="1596"/>
      <c r="Q26" s="1327" t="s">
        <v>412</v>
      </c>
      <c r="R26" s="2161"/>
      <c r="S26" s="2161"/>
      <c r="T26" s="2161"/>
      <c r="U26" s="2161"/>
      <c r="V26" s="2161"/>
      <c r="W26" s="2161"/>
    </row>
    <row r="27" spans="1:23" ht="12.75">
      <c r="A27" s="1291" t="s">
        <v>421</v>
      </c>
      <c r="B27" s="1290" t="s">
        <v>609</v>
      </c>
      <c r="C27" s="312">
        <v>1045</v>
      </c>
      <c r="D27" s="1277"/>
      <c r="E27" s="280">
        <v>19</v>
      </c>
      <c r="F27" s="1272"/>
      <c r="G27" s="311">
        <v>13</v>
      </c>
      <c r="H27" s="497"/>
      <c r="I27" s="1340"/>
      <c r="J27" s="961"/>
      <c r="K27" s="1321"/>
      <c r="L27" s="1787"/>
      <c r="M27" s="1328">
        <f>(C27-E27)*1000/J24</f>
        <v>8844.827586206897</v>
      </c>
      <c r="N27" s="1329"/>
      <c r="O27" s="1338">
        <f t="shared" si="1"/>
      </c>
      <c r="P27" s="1596"/>
      <c r="Q27" s="1327" t="s">
        <v>1139</v>
      </c>
      <c r="R27" s="2161"/>
      <c r="S27" s="2161"/>
      <c r="T27" s="2161"/>
      <c r="U27" s="2161"/>
      <c r="V27" s="2161"/>
      <c r="W27" s="2161"/>
    </row>
    <row r="28" spans="1:23" ht="12.75">
      <c r="A28" s="1291"/>
      <c r="B28" s="1301"/>
      <c r="C28" s="1277"/>
      <c r="D28" s="1277"/>
      <c r="E28" s="1277"/>
      <c r="F28" s="1272"/>
      <c r="G28" s="1594"/>
      <c r="H28" s="185" t="s">
        <v>653</v>
      </c>
      <c r="I28" s="1340"/>
      <c r="J28" s="1785"/>
      <c r="K28" s="1788"/>
      <c r="L28" s="1789"/>
      <c r="M28" s="1333">
        <f>(Motpart!G17+Motpart!K17)*1000/J24</f>
        <v>293.1034482758621</v>
      </c>
      <c r="N28" s="1329"/>
      <c r="O28" s="1338">
        <f t="shared" si="1"/>
      </c>
      <c r="P28" s="1596"/>
      <c r="Q28" s="1327" t="s">
        <v>1140</v>
      </c>
      <c r="R28" s="2161"/>
      <c r="S28" s="2161"/>
      <c r="T28" s="2161"/>
      <c r="U28" s="2161"/>
      <c r="V28" s="2161"/>
      <c r="W28" s="2161"/>
    </row>
    <row r="29" spans="1:23" ht="12.75">
      <c r="A29" s="1291"/>
      <c r="B29" s="1302"/>
      <c r="C29" s="1277"/>
      <c r="D29" s="1277"/>
      <c r="E29" s="1277"/>
      <c r="F29" s="1272"/>
      <c r="G29" s="1594"/>
      <c r="H29" s="496" t="s">
        <v>654</v>
      </c>
      <c r="I29" s="1340"/>
      <c r="J29" s="1785"/>
      <c r="K29" s="1788"/>
      <c r="L29" s="1789"/>
      <c r="M29" s="1348">
        <f>F24*1000/J24</f>
        <v>284.48275862068965</v>
      </c>
      <c r="N29" s="1329"/>
      <c r="O29" s="1338">
        <f t="shared" si="1"/>
      </c>
      <c r="P29" s="1596"/>
      <c r="Q29" s="1327" t="s">
        <v>1141</v>
      </c>
      <c r="R29" s="2161"/>
      <c r="S29" s="2161"/>
      <c r="T29" s="2161"/>
      <c r="U29" s="2161"/>
      <c r="V29" s="2161"/>
      <c r="W29" s="2161"/>
    </row>
    <row r="30" spans="1:19" ht="13.5" thickBot="1">
      <c r="A30" s="2318"/>
      <c r="B30" s="1303"/>
      <c r="C30" s="2125"/>
      <c r="D30" s="2125"/>
      <c r="E30" s="2125"/>
      <c r="F30" s="2319"/>
      <c r="G30" s="1595"/>
      <c r="H30" s="499" t="s">
        <v>655</v>
      </c>
      <c r="I30" s="735"/>
      <c r="J30" s="1794"/>
      <c r="K30" s="1795"/>
      <c r="L30" s="1796"/>
      <c r="M30" s="1349">
        <f>(Motpart!D17+Motpart!E17+Motpart!F17+Motpart!I17+Motpart!J17-(Motpart!D17+Motpart!E17+Motpart!F17+Motpart!J17)*0.06)*1000/J24</f>
        <v>5532.241379310345</v>
      </c>
      <c r="N30" s="2320"/>
      <c r="O30" s="1350">
        <f t="shared" si="1"/>
      </c>
      <c r="P30" s="1351"/>
      <c r="Q30" s="1344" t="s">
        <v>1142</v>
      </c>
      <c r="R30" s="299"/>
      <c r="S30" s="299"/>
    </row>
    <row r="31" spans="1:19" ht="12.75">
      <c r="A31" s="1293" t="s">
        <v>436</v>
      </c>
      <c r="B31" s="1304" t="s">
        <v>615</v>
      </c>
      <c r="C31" s="97">
        <f>Drift!P54</f>
        <v>107004.94742902802</v>
      </c>
      <c r="D31" s="98">
        <f>SUM(Motpart!D18:L18)</f>
        <v>13286</v>
      </c>
      <c r="E31" s="98">
        <f>Drift!W54</f>
        <v>17232</v>
      </c>
      <c r="F31" s="98">
        <f>Motpart!Y18</f>
        <v>1166</v>
      </c>
      <c r="G31" s="149">
        <f>Drift!V54</f>
        <v>12749</v>
      </c>
      <c r="H31" s="500"/>
      <c r="I31" s="1243" t="s">
        <v>1081</v>
      </c>
      <c r="J31" s="909">
        <v>964</v>
      </c>
      <c r="K31" s="1790"/>
      <c r="L31" s="1791"/>
      <c r="M31" s="1352">
        <f>SUM(M32:M34,M36:M38)</f>
        <v>79283.19502074689</v>
      </c>
      <c r="N31" s="1353"/>
      <c r="O31" s="1338">
        <f t="shared" si="1"/>
      </c>
      <c r="P31" s="1346"/>
      <c r="Q31" s="2061" t="s">
        <v>1125</v>
      </c>
      <c r="R31" s="106"/>
      <c r="S31" s="299"/>
    </row>
    <row r="32" spans="1:23" ht="12.75">
      <c r="A32" s="1288" t="s">
        <v>423</v>
      </c>
      <c r="B32" s="1305" t="s">
        <v>564</v>
      </c>
      <c r="C32" s="312">
        <f>46328-84</f>
        <v>46244</v>
      </c>
      <c r="D32" s="1277"/>
      <c r="E32" s="280">
        <v>6185</v>
      </c>
      <c r="F32" s="1278"/>
      <c r="G32" s="311">
        <f>5019+1</f>
        <v>5020</v>
      </c>
      <c r="H32" s="171" t="s">
        <v>656</v>
      </c>
      <c r="I32" s="1784"/>
      <c r="J32" s="1785"/>
      <c r="K32" s="1788"/>
      <c r="L32" s="1789"/>
      <c r="M32" s="1328">
        <f aca="true" t="shared" si="2" ref="M32:M37">(C32-E32)*1000/$J$31</f>
        <v>41554.97925311203</v>
      </c>
      <c r="N32" s="1354"/>
      <c r="O32" s="1338">
        <f t="shared" si="1"/>
      </c>
      <c r="P32" s="1596"/>
      <c r="Q32" s="1327" t="s">
        <v>1126</v>
      </c>
      <c r="R32" s="2274"/>
      <c r="S32" s="2161"/>
      <c r="T32" s="2161"/>
      <c r="U32" s="2161"/>
      <c r="V32" s="2161"/>
      <c r="W32" s="2161"/>
    </row>
    <row r="33" spans="1:23" ht="12.75">
      <c r="A33" s="1288" t="s">
        <v>424</v>
      </c>
      <c r="B33" s="1305" t="s">
        <v>1008</v>
      </c>
      <c r="C33" s="312">
        <f>3406-6</f>
        <v>3400</v>
      </c>
      <c r="D33" s="1277"/>
      <c r="E33" s="280">
        <v>163</v>
      </c>
      <c r="F33" s="1270"/>
      <c r="G33" s="311">
        <v>70</v>
      </c>
      <c r="H33" s="171" t="s">
        <v>657</v>
      </c>
      <c r="I33" s="1784"/>
      <c r="J33" s="1785"/>
      <c r="K33" s="1355"/>
      <c r="L33" s="1786"/>
      <c r="M33" s="1328">
        <f t="shared" si="2"/>
        <v>3357.883817427386</v>
      </c>
      <c r="N33" s="1329"/>
      <c r="O33" s="1338">
        <f t="shared" si="1"/>
      </c>
      <c r="P33" s="1596"/>
      <c r="Q33" s="1327" t="s">
        <v>1127</v>
      </c>
      <c r="R33" s="2161"/>
      <c r="S33" s="2161"/>
      <c r="T33" s="2161"/>
      <c r="U33" s="2161"/>
      <c r="V33" s="2161"/>
      <c r="W33" s="2161"/>
    </row>
    <row r="34" spans="1:23" ht="12.75">
      <c r="A34" s="1288" t="s">
        <v>425</v>
      </c>
      <c r="B34" s="1305" t="s">
        <v>582</v>
      </c>
      <c r="C34" s="312">
        <f>5794-10</f>
        <v>5784</v>
      </c>
      <c r="D34" s="1277"/>
      <c r="E34" s="280">
        <v>1000</v>
      </c>
      <c r="F34" s="1270"/>
      <c r="G34" s="311">
        <v>805</v>
      </c>
      <c r="H34" s="171"/>
      <c r="I34" s="1784"/>
      <c r="J34" s="961"/>
      <c r="K34" s="1321"/>
      <c r="L34" s="1787"/>
      <c r="M34" s="1328">
        <f t="shared" si="2"/>
        <v>4962.6556016597515</v>
      </c>
      <c r="N34" s="1347"/>
      <c r="O34" s="1338">
        <f t="shared" si="1"/>
      </c>
      <c r="P34" s="1596"/>
      <c r="Q34" s="1327" t="s">
        <v>1128</v>
      </c>
      <c r="R34" s="2161"/>
      <c r="S34" s="2161"/>
      <c r="T34" s="2161"/>
      <c r="U34" s="2161"/>
      <c r="V34" s="2161"/>
      <c r="W34" s="2161"/>
    </row>
    <row r="35" spans="1:23" ht="12.75">
      <c r="A35" s="1288" t="s">
        <v>426</v>
      </c>
      <c r="B35" s="1305" t="s">
        <v>565</v>
      </c>
      <c r="C35" s="312">
        <f>2932-5</f>
        <v>2927</v>
      </c>
      <c r="D35" s="1277"/>
      <c r="E35" s="280">
        <v>36</v>
      </c>
      <c r="F35" s="1270"/>
      <c r="G35" s="311">
        <v>16</v>
      </c>
      <c r="H35" s="171" t="s">
        <v>658</v>
      </c>
      <c r="I35" s="961"/>
      <c r="J35" s="1785"/>
      <c r="K35" s="1788"/>
      <c r="L35" s="1789"/>
      <c r="M35" s="1328">
        <f t="shared" si="2"/>
        <v>2998.9626556016597</v>
      </c>
      <c r="N35" s="1354"/>
      <c r="O35" s="1338">
        <f t="shared" si="1"/>
      </c>
      <c r="P35" s="1596"/>
      <c r="Q35" s="1327" t="s">
        <v>1129</v>
      </c>
      <c r="R35" s="2161"/>
      <c r="S35" s="2161"/>
      <c r="T35" s="2161"/>
      <c r="U35" s="2161"/>
      <c r="V35" s="2161"/>
      <c r="W35" s="2161"/>
    </row>
    <row r="36" spans="1:23" ht="12.75">
      <c r="A36" s="1288" t="s">
        <v>427</v>
      </c>
      <c r="B36" s="1306" t="s">
        <v>860</v>
      </c>
      <c r="C36" s="312">
        <f>2358-5</f>
        <v>2353</v>
      </c>
      <c r="D36" s="1277"/>
      <c r="E36" s="280">
        <v>172</v>
      </c>
      <c r="F36" s="1269"/>
      <c r="G36" s="311">
        <v>84</v>
      </c>
      <c r="H36" s="171" t="s">
        <v>659</v>
      </c>
      <c r="I36" s="1784"/>
      <c r="J36" s="1785"/>
      <c r="K36" s="1788"/>
      <c r="L36" s="1789"/>
      <c r="M36" s="1328">
        <f t="shared" si="2"/>
        <v>2262.448132780083</v>
      </c>
      <c r="N36" s="1354"/>
      <c r="O36" s="1338">
        <f t="shared" si="1"/>
      </c>
      <c r="P36" s="1596"/>
      <c r="Q36" s="1327" t="s">
        <v>1130</v>
      </c>
      <c r="R36" s="2161"/>
      <c r="S36" s="2161"/>
      <c r="T36" s="2161"/>
      <c r="U36" s="2161"/>
      <c r="V36" s="2161"/>
      <c r="W36" s="2161"/>
    </row>
    <row r="37" spans="1:23" s="232" customFormat="1" ht="12.75">
      <c r="A37" s="1288" t="s">
        <v>270</v>
      </c>
      <c r="B37" s="1307" t="s">
        <v>610</v>
      </c>
      <c r="C37" s="312">
        <f>15281-27</f>
        <v>15254</v>
      </c>
      <c r="D37" s="1277"/>
      <c r="E37" s="280">
        <v>784</v>
      </c>
      <c r="F37" s="1171"/>
      <c r="G37" s="311">
        <v>695</v>
      </c>
      <c r="H37" s="186" t="s">
        <v>660</v>
      </c>
      <c r="I37" s="1340"/>
      <c r="J37" s="1785"/>
      <c r="K37" s="1788"/>
      <c r="L37" s="1789"/>
      <c r="M37" s="1328">
        <f t="shared" si="2"/>
        <v>15010.373443983402</v>
      </c>
      <c r="N37" s="1329"/>
      <c r="O37" s="1338">
        <f t="shared" si="1"/>
      </c>
      <c r="P37" s="1596"/>
      <c r="Q37" s="1327" t="s">
        <v>1131</v>
      </c>
      <c r="R37" s="2161"/>
      <c r="S37" s="2161"/>
      <c r="T37" s="2161"/>
      <c r="U37" s="2161"/>
      <c r="V37" s="2161"/>
      <c r="W37" s="2161"/>
    </row>
    <row r="38" spans="1:23" s="232" customFormat="1" ht="12.75">
      <c r="A38" s="1288" t="s">
        <v>428</v>
      </c>
      <c r="B38" s="1305" t="s">
        <v>500</v>
      </c>
      <c r="C38" s="312">
        <f>14728-26</f>
        <v>14702</v>
      </c>
      <c r="D38" s="1277"/>
      <c r="E38" s="280">
        <v>7012</v>
      </c>
      <c r="F38" s="1171"/>
      <c r="G38" s="311">
        <f>6058+1</f>
        <v>6059</v>
      </c>
      <c r="H38" s="171"/>
      <c r="I38" s="1122"/>
      <c r="J38" s="1331"/>
      <c r="K38" s="1355"/>
      <c r="L38" s="1786"/>
      <c r="M38" s="1328">
        <f>((C38+C39-G38)*1000/J31)</f>
        <v>12134.854771784232</v>
      </c>
      <c r="N38" s="1347"/>
      <c r="O38" s="1338">
        <f t="shared" si="1"/>
      </c>
      <c r="P38" s="1596"/>
      <c r="Q38" s="1327" t="s">
        <v>1132</v>
      </c>
      <c r="R38" s="2161"/>
      <c r="S38" s="2161"/>
      <c r="T38" s="2161"/>
      <c r="U38" s="2161"/>
      <c r="V38" s="2161"/>
      <c r="W38" s="2161"/>
    </row>
    <row r="39" spans="1:23" s="232" customFormat="1" ht="12.75">
      <c r="A39" s="1288" t="s">
        <v>429</v>
      </c>
      <c r="B39" s="1308" t="s">
        <v>566</v>
      </c>
      <c r="C39" s="312">
        <f>3060-5</f>
        <v>3055</v>
      </c>
      <c r="D39" s="1264"/>
      <c r="E39" s="1277"/>
      <c r="F39" s="1277"/>
      <c r="G39" s="1280"/>
      <c r="H39" s="185"/>
      <c r="I39" s="1122"/>
      <c r="J39" s="1331"/>
      <c r="K39" s="1355"/>
      <c r="L39" s="1786"/>
      <c r="M39" s="1333">
        <f>(M31*J31/1000+D31-F31-(Motpart!D18+Motpart!E18+Motpart!F18+Motpart!J18)*0.06)*1000/J31+M35</f>
        <v>94113.60995850622</v>
      </c>
      <c r="N39" s="1354"/>
      <c r="O39" s="1338">
        <f t="shared" si="1"/>
      </c>
      <c r="P39" s="1596"/>
      <c r="Q39" s="1327" t="s">
        <v>1133</v>
      </c>
      <c r="R39" s="2161"/>
      <c r="S39" s="2161"/>
      <c r="T39" s="2161"/>
      <c r="U39" s="2161"/>
      <c r="V39" s="2161"/>
      <c r="W39" s="2161"/>
    </row>
    <row r="40" spans="1:23" ht="12.75">
      <c r="A40" s="1309" t="s">
        <v>630</v>
      </c>
      <c r="B40" s="1310"/>
      <c r="C40" s="1122"/>
      <c r="D40" s="1122"/>
      <c r="E40" s="1122"/>
      <c r="F40" s="1122"/>
      <c r="G40" s="2124"/>
      <c r="H40" s="173"/>
      <c r="I40" s="1122"/>
      <c r="J40" s="1331"/>
      <c r="K40" s="1355"/>
      <c r="L40" s="1355"/>
      <c r="M40" s="1328">
        <f>(Motpart!G18+Motpart!K18)*1000/J31</f>
        <v>1216.804979253112</v>
      </c>
      <c r="N40" s="1919">
        <f>IF(D31=0,0,(Motpart!G18+Motpart!K18)/SUM(C32:C34,C36:C39))</f>
        <v>0.012919640496960084</v>
      </c>
      <c r="O40" s="1338">
        <f t="shared" si="1"/>
        <v>94181.57261410788</v>
      </c>
      <c r="P40" s="1596"/>
      <c r="Q40" s="1327" t="s">
        <v>1134</v>
      </c>
      <c r="R40" s="2161"/>
      <c r="S40" s="2161"/>
      <c r="T40" s="2161"/>
      <c r="U40" s="2161"/>
      <c r="V40" s="2161"/>
      <c r="W40" s="2161"/>
    </row>
    <row r="41" spans="1:23" ht="12.75">
      <c r="A41" s="1309" t="s">
        <v>631</v>
      </c>
      <c r="B41" s="1310"/>
      <c r="C41" s="1268"/>
      <c r="D41" s="1266"/>
      <c r="E41" s="1266"/>
      <c r="F41" s="1266"/>
      <c r="G41" s="1276"/>
      <c r="H41" s="173"/>
      <c r="I41" s="1122"/>
      <c r="J41" s="1331"/>
      <c r="K41" s="1355"/>
      <c r="L41" s="1355"/>
      <c r="M41" s="1333">
        <f>F31*1000/J31</f>
        <v>1209.5435684647302</v>
      </c>
      <c r="N41" s="1920">
        <f>IF(F31=0,0,F31/SUM(C32:C34,C36:C39))</f>
        <v>0.012842541193056656</v>
      </c>
      <c r="O41" s="1338">
        <f t="shared" si="1"/>
        <v>94181.57261410788</v>
      </c>
      <c r="P41" s="1596"/>
      <c r="Q41" s="1327" t="s">
        <v>1135</v>
      </c>
      <c r="R41" s="2161"/>
      <c r="S41" s="2161"/>
      <c r="T41" s="2161"/>
      <c r="U41" s="2161"/>
      <c r="V41" s="2161"/>
      <c r="W41" s="2161"/>
    </row>
    <row r="42" spans="1:23" ht="12.75">
      <c r="A42" s="1288" t="s">
        <v>632</v>
      </c>
      <c r="B42" s="1308"/>
      <c r="C42" s="1268"/>
      <c r="D42" s="1266"/>
      <c r="E42" s="1266"/>
      <c r="F42" s="1266"/>
      <c r="G42" s="1276"/>
      <c r="H42" s="173"/>
      <c r="I42" s="1122"/>
      <c r="J42" s="1331"/>
      <c r="K42" s="1355"/>
      <c r="L42" s="1355"/>
      <c r="M42" s="1348">
        <f>((Motpart!D18+Motpart!E18+Motpart!F18+Motpart!J18-(Motpart!D18+Motpart!E18+Motpart!F18+Motpart!J18)*0.06))*1000/J31</f>
        <v>11611.535269709544</v>
      </c>
      <c r="N42" s="1985">
        <f>IF(D31=0,"0%",((Motpart!D18+Motpart!E18+Motpart!F18+Motpart!J18-(Motpart!D18+Motpart!E18+Motpart!F18+Motpart!J18)*0.06))/SUM(C32:C34,C36:C39))</f>
        <v>0.12328751431844216</v>
      </c>
      <c r="O42" s="1338">
        <f t="shared" si="1"/>
        <v>94181.57261410788</v>
      </c>
      <c r="P42" s="1596"/>
      <c r="Q42" s="1327" t="s">
        <v>1136</v>
      </c>
      <c r="R42" s="2161"/>
      <c r="S42" s="2161"/>
      <c r="T42" s="2161"/>
      <c r="U42" s="2161"/>
      <c r="V42" s="2161"/>
      <c r="W42" s="2161"/>
    </row>
    <row r="43" spans="1:19" ht="13.5" thickBot="1">
      <c r="A43" s="1311"/>
      <c r="B43" s="1312"/>
      <c r="C43" s="1281"/>
      <c r="D43" s="1279"/>
      <c r="E43" s="1279"/>
      <c r="F43" s="1279"/>
      <c r="G43" s="1282"/>
      <c r="H43" s="172"/>
      <c r="I43" s="1341"/>
      <c r="J43" s="1341"/>
      <c r="K43" s="1332"/>
      <c r="L43" s="1332"/>
      <c r="M43" s="1349"/>
      <c r="N43" s="1334"/>
      <c r="O43" s="1356"/>
      <c r="P43" s="1596"/>
      <c r="Q43" s="1344"/>
      <c r="R43" s="299"/>
      <c r="S43" s="299"/>
    </row>
    <row r="44" spans="1:19" ht="12.75">
      <c r="A44" s="1293" t="s">
        <v>437</v>
      </c>
      <c r="B44" s="1304" t="s">
        <v>647</v>
      </c>
      <c r="C44" s="97">
        <f>Drift!P55</f>
        <v>4972.653800056401</v>
      </c>
      <c r="D44" s="98">
        <f>SUM(Motpart!D19:L19)</f>
        <v>497</v>
      </c>
      <c r="E44" s="98">
        <f>Drift!W55</f>
        <v>899</v>
      </c>
      <c r="F44" s="98">
        <f>Motpart!Y19</f>
        <v>249</v>
      </c>
      <c r="G44" s="149">
        <f>Drift!V55</f>
        <v>586</v>
      </c>
      <c r="H44" s="175"/>
      <c r="I44" s="1792" t="s">
        <v>1082</v>
      </c>
      <c r="J44" s="909">
        <v>964</v>
      </c>
      <c r="K44" s="1793"/>
      <c r="L44" s="1791"/>
      <c r="M44" s="1333">
        <f>SUM(M45:M47,M49:M51)</f>
        <v>3559.1286307053942</v>
      </c>
      <c r="N44" s="1347"/>
      <c r="O44" s="1338">
        <f aca="true" t="shared" si="3" ref="O44:O80">IF(OR(M44="",N44=""),"",IF(AND(M44=0,N44=0),0,IF(N44=0,1,M44/N44-1)))</f>
      </c>
      <c r="P44" s="1346"/>
      <c r="Q44" s="2061" t="s">
        <v>1112</v>
      </c>
      <c r="R44" s="106"/>
      <c r="S44" s="299"/>
    </row>
    <row r="45" spans="1:23" ht="12.75">
      <c r="A45" s="1288" t="s">
        <v>430</v>
      </c>
      <c r="B45" s="1305" t="s">
        <v>567</v>
      </c>
      <c r="C45" s="312">
        <f>2158+12</f>
        <v>2170</v>
      </c>
      <c r="D45" s="1277"/>
      <c r="E45" s="280">
        <f>247-1</f>
        <v>246</v>
      </c>
      <c r="F45" s="1270"/>
      <c r="G45" s="311">
        <v>232</v>
      </c>
      <c r="H45" s="169" t="s">
        <v>661</v>
      </c>
      <c r="I45" s="1784"/>
      <c r="J45" s="1785"/>
      <c r="K45" s="1788"/>
      <c r="L45" s="1789"/>
      <c r="M45" s="1348">
        <f aca="true" t="shared" si="4" ref="M45:M50">(C45-E45)*1000/$J$44</f>
        <v>1995.850622406639</v>
      </c>
      <c r="N45" s="1354"/>
      <c r="O45" s="1338">
        <f t="shared" si="3"/>
      </c>
      <c r="P45" s="1596"/>
      <c r="Q45" s="1327" t="s">
        <v>1113</v>
      </c>
      <c r="R45" s="2161"/>
      <c r="S45" s="2161"/>
      <c r="T45" s="2161"/>
      <c r="U45" s="2161"/>
      <c r="V45" s="2161"/>
      <c r="W45" s="2161"/>
    </row>
    <row r="46" spans="1:23" ht="12.75">
      <c r="A46" s="1288" t="s">
        <v>438</v>
      </c>
      <c r="B46" s="1305" t="s">
        <v>1008</v>
      </c>
      <c r="C46" s="312">
        <v>64</v>
      </c>
      <c r="D46" s="1277"/>
      <c r="E46" s="280">
        <v>2</v>
      </c>
      <c r="F46" s="1270"/>
      <c r="G46" s="311">
        <v>0</v>
      </c>
      <c r="H46" s="173" t="s">
        <v>662</v>
      </c>
      <c r="I46" s="1784"/>
      <c r="J46" s="1785"/>
      <c r="K46" s="1355"/>
      <c r="L46" s="1786"/>
      <c r="M46" s="1348">
        <f t="shared" si="4"/>
        <v>64.31535269709543</v>
      </c>
      <c r="N46" s="1329"/>
      <c r="O46" s="1338">
        <f t="shared" si="3"/>
      </c>
      <c r="P46" s="1596"/>
      <c r="Q46" s="1327" t="s">
        <v>1114</v>
      </c>
      <c r="R46" s="2161"/>
      <c r="S46" s="2161"/>
      <c r="T46" s="2161"/>
      <c r="U46" s="2161"/>
      <c r="V46" s="2161"/>
      <c r="W46" s="2161"/>
    </row>
    <row r="47" spans="1:23" ht="12.75">
      <c r="A47" s="1288" t="s">
        <v>439</v>
      </c>
      <c r="B47" s="1305" t="s">
        <v>582</v>
      </c>
      <c r="C47" s="312">
        <v>65</v>
      </c>
      <c r="D47" s="1277"/>
      <c r="E47" s="280">
        <v>4</v>
      </c>
      <c r="F47" s="1269"/>
      <c r="G47" s="311">
        <v>2</v>
      </c>
      <c r="H47" s="173"/>
      <c r="I47" s="1784"/>
      <c r="J47" s="1331"/>
      <c r="K47" s="1321"/>
      <c r="L47" s="1787"/>
      <c r="M47" s="1348">
        <f t="shared" si="4"/>
        <v>63.27800829875519</v>
      </c>
      <c r="N47" s="1329"/>
      <c r="O47" s="1338">
        <f t="shared" si="3"/>
      </c>
      <c r="P47" s="1596"/>
      <c r="Q47" s="1327" t="s">
        <v>1115</v>
      </c>
      <c r="R47" s="2161"/>
      <c r="S47" s="2161"/>
      <c r="T47" s="2161"/>
      <c r="U47" s="2161"/>
      <c r="V47" s="2161"/>
      <c r="W47" s="2161"/>
    </row>
    <row r="48" spans="1:23" ht="12.75">
      <c r="A48" s="1288" t="s">
        <v>433</v>
      </c>
      <c r="B48" s="1305" t="s">
        <v>565</v>
      </c>
      <c r="C48" s="312">
        <f>447+3</f>
        <v>450</v>
      </c>
      <c r="D48" s="1277"/>
      <c r="E48" s="280">
        <v>18</v>
      </c>
      <c r="F48" s="1171"/>
      <c r="G48" s="311">
        <v>12</v>
      </c>
      <c r="H48" s="171" t="s">
        <v>663</v>
      </c>
      <c r="I48" s="1784"/>
      <c r="J48" s="1785"/>
      <c r="K48" s="1788"/>
      <c r="L48" s="1789"/>
      <c r="M48" s="1348">
        <f t="shared" si="4"/>
        <v>448.13278008298755</v>
      </c>
      <c r="N48" s="1347"/>
      <c r="O48" s="1338">
        <f t="shared" si="3"/>
      </c>
      <c r="P48" s="1596"/>
      <c r="Q48" s="1327" t="s">
        <v>1116</v>
      </c>
      <c r="R48" s="2161"/>
      <c r="S48" s="2161"/>
      <c r="T48" s="2161"/>
      <c r="U48" s="2161"/>
      <c r="V48" s="2161"/>
      <c r="W48" s="2161"/>
    </row>
    <row r="49" spans="1:23" ht="12.75">
      <c r="A49" s="1288" t="s">
        <v>440</v>
      </c>
      <c r="B49" s="1306" t="s">
        <v>860</v>
      </c>
      <c r="C49" s="312">
        <v>52</v>
      </c>
      <c r="D49" s="1277"/>
      <c r="E49" s="280">
        <v>2</v>
      </c>
      <c r="F49" s="1283"/>
      <c r="G49" s="311">
        <v>0</v>
      </c>
      <c r="H49" s="173" t="s">
        <v>664</v>
      </c>
      <c r="I49" s="1784"/>
      <c r="J49" s="1785"/>
      <c r="K49" s="1788"/>
      <c r="L49" s="1789"/>
      <c r="M49" s="1348">
        <f t="shared" si="4"/>
        <v>51.86721991701245</v>
      </c>
      <c r="N49" s="1354"/>
      <c r="O49" s="1338">
        <f t="shared" si="3"/>
      </c>
      <c r="P49" s="1596"/>
      <c r="Q49" s="1327" t="s">
        <v>1117</v>
      </c>
      <c r="R49" s="2161"/>
      <c r="S49" s="2161"/>
      <c r="T49" s="2161"/>
      <c r="U49" s="2161"/>
      <c r="V49" s="2161"/>
      <c r="W49" s="2161"/>
    </row>
    <row r="50" spans="1:23" ht="12.75">
      <c r="A50" s="1288" t="s">
        <v>441</v>
      </c>
      <c r="B50" s="1307" t="s">
        <v>610</v>
      </c>
      <c r="C50" s="312">
        <f>394+2</f>
        <v>396</v>
      </c>
      <c r="D50" s="1277"/>
      <c r="E50" s="280">
        <v>17</v>
      </c>
      <c r="F50" s="1269"/>
      <c r="G50" s="311">
        <v>16</v>
      </c>
      <c r="H50" s="171" t="s">
        <v>665</v>
      </c>
      <c r="I50" s="1784"/>
      <c r="J50" s="1785"/>
      <c r="K50" s="1788"/>
      <c r="L50" s="1789"/>
      <c r="M50" s="1348">
        <f t="shared" si="4"/>
        <v>393.1535269709544</v>
      </c>
      <c r="N50" s="1354"/>
      <c r="O50" s="1338">
        <f t="shared" si="3"/>
      </c>
      <c r="P50" s="1596"/>
      <c r="Q50" s="1327" t="s">
        <v>1118</v>
      </c>
      <c r="R50" s="2161"/>
      <c r="S50" s="2161"/>
      <c r="T50" s="2161"/>
      <c r="U50" s="2161"/>
      <c r="V50" s="2161"/>
      <c r="W50" s="2161"/>
    </row>
    <row r="51" spans="1:23" ht="12.75">
      <c r="A51" s="1288" t="s">
        <v>442</v>
      </c>
      <c r="B51" s="1305" t="s">
        <v>500</v>
      </c>
      <c r="C51" s="312">
        <f>1138+7</f>
        <v>1145</v>
      </c>
      <c r="D51" s="1679"/>
      <c r="E51" s="280">
        <f>348-2</f>
        <v>346</v>
      </c>
      <c r="F51" s="1269"/>
      <c r="G51" s="311">
        <f>323+1</f>
        <v>324</v>
      </c>
      <c r="H51" s="169" t="s">
        <v>666</v>
      </c>
      <c r="I51" s="1784"/>
      <c r="J51" s="1785"/>
      <c r="K51" s="1788"/>
      <c r="L51" s="1789"/>
      <c r="M51" s="1348">
        <f>(C51+C52-G51)*1000/$J$44</f>
        <v>990.6639004149378</v>
      </c>
      <c r="N51" s="1354"/>
      <c r="O51" s="1338">
        <f t="shared" si="3"/>
      </c>
      <c r="P51" s="1596"/>
      <c r="Q51" s="1327" t="s">
        <v>1119</v>
      </c>
      <c r="R51" s="2161"/>
      <c r="S51" s="2161"/>
      <c r="T51" s="2161"/>
      <c r="U51" s="2161"/>
      <c r="V51" s="2161"/>
      <c r="W51" s="2161"/>
    </row>
    <row r="52" spans="1:23" ht="12.75">
      <c r="A52" s="1288" t="s">
        <v>443</v>
      </c>
      <c r="B52" s="1308" t="s">
        <v>515</v>
      </c>
      <c r="C52" s="312">
        <v>134</v>
      </c>
      <c r="D52" s="1680"/>
      <c r="E52" s="1277"/>
      <c r="F52" s="1277"/>
      <c r="G52" s="1280"/>
      <c r="H52" s="173"/>
      <c r="I52" s="1596"/>
      <c r="J52" s="1331"/>
      <c r="K52" s="1355"/>
      <c r="L52" s="1786"/>
      <c r="M52" s="1328">
        <f>((M44*J44/1000+D44-F44-(Motpart!D19+Motpart!E19+Motpart!F19+Motpart!J19)*0.06))*1000/J44+M48</f>
        <v>4249.398340248963</v>
      </c>
      <c r="N52" s="1354"/>
      <c r="O52" s="1338">
        <f t="shared" si="3"/>
      </c>
      <c r="P52" s="1596"/>
      <c r="Q52" s="1327" t="s">
        <v>1120</v>
      </c>
      <c r="R52" s="2161"/>
      <c r="S52" s="2161"/>
      <c r="T52" s="2161"/>
      <c r="U52" s="2161"/>
      <c r="V52" s="2161"/>
      <c r="W52" s="2161"/>
    </row>
    <row r="53" spans="1:23" ht="12.75">
      <c r="A53" s="1311" t="s">
        <v>633</v>
      </c>
      <c r="B53" s="1308"/>
      <c r="C53" s="1277"/>
      <c r="D53" s="1277"/>
      <c r="E53" s="1277"/>
      <c r="F53" s="1277"/>
      <c r="G53" s="1280"/>
      <c r="H53" s="173"/>
      <c r="I53" s="1122"/>
      <c r="J53" s="1331"/>
      <c r="K53" s="1355"/>
      <c r="L53" s="1355"/>
      <c r="M53" s="1333">
        <f>(Motpart!G19+Motpart!K19)*1000/J44</f>
        <v>248.96265560165975</v>
      </c>
      <c r="N53" s="1354"/>
      <c r="O53" s="1338">
        <f t="shared" si="3"/>
      </c>
      <c r="P53" s="1596"/>
      <c r="Q53" s="1327" t="s">
        <v>1121</v>
      </c>
      <c r="R53" s="2161"/>
      <c r="S53" s="2161"/>
      <c r="T53" s="2161"/>
      <c r="U53" s="2161"/>
      <c r="V53" s="2161"/>
      <c r="W53" s="2161"/>
    </row>
    <row r="54" spans="1:23" ht="12.75">
      <c r="A54" s="1311" t="s">
        <v>634</v>
      </c>
      <c r="B54" s="1308"/>
      <c r="C54" s="1277"/>
      <c r="D54" s="1277"/>
      <c r="E54" s="1277"/>
      <c r="F54" s="1277"/>
      <c r="G54" s="1280"/>
      <c r="H54" s="171"/>
      <c r="I54" s="1122"/>
      <c r="J54" s="1331"/>
      <c r="K54" s="1355"/>
      <c r="L54" s="1355"/>
      <c r="M54" s="1348">
        <f>F44*1000/J44</f>
        <v>258.298755186722</v>
      </c>
      <c r="N54" s="1354"/>
      <c r="O54" s="1338">
        <f t="shared" si="3"/>
      </c>
      <c r="P54" s="1596"/>
      <c r="Q54" s="1327" t="s">
        <v>1122</v>
      </c>
      <c r="R54" s="2161"/>
      <c r="S54" s="2161"/>
      <c r="T54" s="2161"/>
      <c r="U54" s="2161"/>
      <c r="V54" s="2161"/>
      <c r="W54" s="2161"/>
    </row>
    <row r="55" spans="1:23" ht="12.75">
      <c r="A55" s="1311" t="s">
        <v>635</v>
      </c>
      <c r="B55" s="1313"/>
      <c r="C55" s="1277"/>
      <c r="D55" s="1277"/>
      <c r="E55" s="1277"/>
      <c r="F55" s="1277"/>
      <c r="G55" s="1280"/>
      <c r="H55" s="169"/>
      <c r="I55" s="1122"/>
      <c r="J55" s="1331"/>
      <c r="K55" s="1355"/>
      <c r="L55" s="1355"/>
      <c r="M55" s="1348">
        <f>Motpart!H19*1000/J44</f>
        <v>2.074688796680498</v>
      </c>
      <c r="N55" s="1329"/>
      <c r="O55" s="1338">
        <f t="shared" si="3"/>
      </c>
      <c r="P55" s="1596"/>
      <c r="Q55" s="1327" t="s">
        <v>1123</v>
      </c>
      <c r="R55" s="2161"/>
      <c r="S55" s="2161"/>
      <c r="T55" s="2161"/>
      <c r="U55" s="2161"/>
      <c r="V55" s="2161"/>
      <c r="W55" s="2161"/>
    </row>
    <row r="56" spans="1:23" ht="12.75">
      <c r="A56" s="1291" t="s">
        <v>636</v>
      </c>
      <c r="B56" s="1308"/>
      <c r="C56" s="1266"/>
      <c r="D56" s="1266"/>
      <c r="E56" s="1266"/>
      <c r="F56" s="1266"/>
      <c r="G56" s="1276"/>
      <c r="H56" s="1597"/>
      <c r="I56" s="1598"/>
      <c r="J56" s="1331"/>
      <c r="K56" s="1355"/>
      <c r="L56" s="1355"/>
      <c r="M56" s="1348">
        <f>(Motpart!D19+Motpart!E19+Motpart!F19+Motpart!J19-(Motpart!D19+Motpart!E19+Motpart!F19+Motpart!J19)*0.06)*1000/J44</f>
        <v>236.95020746887965</v>
      </c>
      <c r="N56" s="1354"/>
      <c r="O56" s="1338">
        <f t="shared" si="3"/>
      </c>
      <c r="P56" s="1596"/>
      <c r="Q56" s="1327" t="s">
        <v>1124</v>
      </c>
      <c r="R56" s="2161"/>
      <c r="S56" s="2161"/>
      <c r="T56" s="2161"/>
      <c r="U56" s="2161"/>
      <c r="V56" s="2161"/>
      <c r="W56" s="2161"/>
    </row>
    <row r="57" spans="1:19" ht="13.5" thickBot="1">
      <c r="A57" s="1311"/>
      <c r="B57" s="1314"/>
      <c r="C57" s="1279"/>
      <c r="D57" s="1279"/>
      <c r="E57" s="1279"/>
      <c r="F57" s="1279"/>
      <c r="G57" s="1284"/>
      <c r="H57" s="187"/>
      <c r="I57" s="1357"/>
      <c r="J57" s="1341"/>
      <c r="K57" s="1332"/>
      <c r="L57" s="1332"/>
      <c r="M57" s="1349"/>
      <c r="N57" s="1334"/>
      <c r="O57" s="1350"/>
      <c r="P57" s="1351"/>
      <c r="Q57" s="1344"/>
      <c r="R57" s="299"/>
      <c r="S57" s="299"/>
    </row>
    <row r="58" spans="1:19" ht="12.75">
      <c r="A58" s="1293" t="s">
        <v>444</v>
      </c>
      <c r="B58" s="1304" t="s">
        <v>616</v>
      </c>
      <c r="C58" s="97">
        <f>Drift!P56</f>
        <v>47721.7260998308</v>
      </c>
      <c r="D58" s="98">
        <f>SUM(Motpart!D20:L20)</f>
        <v>17265</v>
      </c>
      <c r="E58" s="98">
        <f>Drift!W56</f>
        <v>11836</v>
      </c>
      <c r="F58" s="98">
        <f>Motpart!Y20</f>
        <v>6441</v>
      </c>
      <c r="G58" s="149">
        <f>Drift!V56</f>
        <v>3118</v>
      </c>
      <c r="H58" s="169"/>
      <c r="I58" s="1792" t="s">
        <v>1083</v>
      </c>
      <c r="J58" s="909">
        <v>312</v>
      </c>
      <c r="K58" s="1790"/>
      <c r="L58" s="1791"/>
      <c r="M58" s="1352">
        <f>SUM(M59:M61,M63:M65)</f>
        <v>80403.84615384616</v>
      </c>
      <c r="N58" s="1353"/>
      <c r="O58" s="1338">
        <f t="shared" si="3"/>
      </c>
      <c r="P58" s="1596"/>
      <c r="Q58" s="2061" t="s">
        <v>1091</v>
      </c>
      <c r="R58" s="106"/>
      <c r="S58" s="299"/>
    </row>
    <row r="59" spans="1:23" ht="12.75">
      <c r="A59" s="1288" t="s">
        <v>445</v>
      </c>
      <c r="B59" s="1305" t="s">
        <v>567</v>
      </c>
      <c r="C59" s="312">
        <f>13814+105</f>
        <v>13919</v>
      </c>
      <c r="D59" s="1277"/>
      <c r="E59" s="280">
        <f>1623+47</f>
        <v>1670</v>
      </c>
      <c r="F59" s="1269"/>
      <c r="G59" s="311">
        <f>1132+3</f>
        <v>1135</v>
      </c>
      <c r="H59" s="173" t="s">
        <v>667</v>
      </c>
      <c r="I59" s="1784"/>
      <c r="J59" s="1785"/>
      <c r="K59" s="1788"/>
      <c r="L59" s="1789"/>
      <c r="M59" s="1348">
        <f aca="true" t="shared" si="5" ref="M59:M64">(C59-E59)*1000/$J$58</f>
        <v>39259.61538461538</v>
      </c>
      <c r="N59" s="1347"/>
      <c r="O59" s="1338">
        <f t="shared" si="3"/>
      </c>
      <c r="P59" s="1596"/>
      <c r="Q59" s="1327" t="s">
        <v>1092</v>
      </c>
      <c r="R59" s="2274"/>
      <c r="S59" s="2161"/>
      <c r="T59" s="2161"/>
      <c r="U59" s="2161"/>
      <c r="V59" s="2161"/>
      <c r="W59" s="2161"/>
    </row>
    <row r="60" spans="1:23" ht="12.75">
      <c r="A60" s="1288" t="s">
        <v>446</v>
      </c>
      <c r="B60" s="1305" t="s">
        <v>1008</v>
      </c>
      <c r="C60" s="312">
        <f>2328+18</f>
        <v>2346</v>
      </c>
      <c r="D60" s="1277"/>
      <c r="E60" s="280">
        <f>267+8</f>
        <v>275</v>
      </c>
      <c r="F60" s="1269"/>
      <c r="G60" s="311">
        <v>57</v>
      </c>
      <c r="H60" s="173" t="s">
        <v>668</v>
      </c>
      <c r="I60" s="1784"/>
      <c r="J60" s="1785"/>
      <c r="K60" s="1355"/>
      <c r="L60" s="1786"/>
      <c r="M60" s="1348">
        <f t="shared" si="5"/>
        <v>6637.820512820513</v>
      </c>
      <c r="N60" s="1354"/>
      <c r="O60" s="1338">
        <f t="shared" si="3"/>
      </c>
      <c r="P60" s="1596"/>
      <c r="Q60" s="1327" t="s">
        <v>1093</v>
      </c>
      <c r="R60" s="2161"/>
      <c r="S60" s="2161"/>
      <c r="T60" s="2161"/>
      <c r="U60" s="2161"/>
      <c r="V60" s="2161"/>
      <c r="W60" s="2161"/>
    </row>
    <row r="61" spans="1:23" ht="12.75">
      <c r="A61" s="1288" t="s">
        <v>447</v>
      </c>
      <c r="B61" s="1305" t="s">
        <v>582</v>
      </c>
      <c r="C61" s="312">
        <f>1284+10</f>
        <v>1294</v>
      </c>
      <c r="D61" s="1277"/>
      <c r="E61" s="280">
        <f>212+6</f>
        <v>218</v>
      </c>
      <c r="F61" s="1269"/>
      <c r="G61" s="311">
        <v>103</v>
      </c>
      <c r="H61" s="171"/>
      <c r="I61" s="1784"/>
      <c r="J61" s="961"/>
      <c r="K61" s="1321"/>
      <c r="L61" s="1787"/>
      <c r="M61" s="1348">
        <f t="shared" si="5"/>
        <v>3448.7179487179487</v>
      </c>
      <c r="N61" s="1354"/>
      <c r="O61" s="1338">
        <f t="shared" si="3"/>
      </c>
      <c r="P61" s="1596"/>
      <c r="Q61" s="1327" t="s">
        <v>1094</v>
      </c>
      <c r="R61" s="2161"/>
      <c r="S61" s="2161"/>
      <c r="T61" s="2161"/>
      <c r="U61" s="2161"/>
      <c r="V61" s="2161"/>
      <c r="W61" s="2161"/>
    </row>
    <row r="62" spans="1:23" ht="12.75">
      <c r="A62" s="1288" t="s">
        <v>286</v>
      </c>
      <c r="B62" s="1305" t="s">
        <v>565</v>
      </c>
      <c r="C62" s="312">
        <f>1242+10</f>
        <v>1252</v>
      </c>
      <c r="D62" s="1277"/>
      <c r="E62" s="280">
        <f>111+3</f>
        <v>114</v>
      </c>
      <c r="F62" s="1269"/>
      <c r="G62" s="311">
        <v>4</v>
      </c>
      <c r="H62" s="169" t="s">
        <v>669</v>
      </c>
      <c r="I62" s="1784"/>
      <c r="J62" s="1785"/>
      <c r="K62" s="1788"/>
      <c r="L62" s="1789"/>
      <c r="M62" s="1348">
        <f t="shared" si="5"/>
        <v>3647.4358974358975</v>
      </c>
      <c r="N62" s="1354"/>
      <c r="O62" s="1338">
        <f t="shared" si="3"/>
      </c>
      <c r="P62" s="1596"/>
      <c r="Q62" s="1327" t="s">
        <v>1095</v>
      </c>
      <c r="R62" s="2161"/>
      <c r="S62" s="2161"/>
      <c r="T62" s="2161"/>
      <c r="U62" s="2161"/>
      <c r="V62" s="2161"/>
      <c r="W62" s="2161"/>
    </row>
    <row r="63" spans="1:23" ht="12.75">
      <c r="A63" s="1288" t="s">
        <v>448</v>
      </c>
      <c r="B63" s="1306" t="s">
        <v>860</v>
      </c>
      <c r="C63" s="312">
        <f>545+4</f>
        <v>549</v>
      </c>
      <c r="D63" s="1277"/>
      <c r="E63" s="280">
        <f>29+1</f>
        <v>30</v>
      </c>
      <c r="F63" s="1269"/>
      <c r="G63" s="311">
        <v>5</v>
      </c>
      <c r="H63" s="173" t="s">
        <v>670</v>
      </c>
      <c r="I63" s="1784"/>
      <c r="J63" s="1785"/>
      <c r="K63" s="1788"/>
      <c r="L63" s="1789"/>
      <c r="M63" s="1348">
        <f t="shared" si="5"/>
        <v>1663.4615384615386</v>
      </c>
      <c r="N63" s="1354"/>
      <c r="O63" s="1338">
        <f t="shared" si="3"/>
      </c>
      <c r="P63" s="1596"/>
      <c r="Q63" s="1327" t="s">
        <v>1096</v>
      </c>
      <c r="R63" s="2161"/>
      <c r="S63" s="2161"/>
      <c r="T63" s="2161"/>
      <c r="U63" s="2161"/>
      <c r="V63" s="2161"/>
      <c r="W63" s="2161"/>
    </row>
    <row r="64" spans="1:23" ht="12.75">
      <c r="A64" s="1288" t="s">
        <v>449</v>
      </c>
      <c r="B64" s="1307" t="s">
        <v>610</v>
      </c>
      <c r="C64" s="312">
        <f>5322+41</f>
        <v>5363</v>
      </c>
      <c r="D64" s="1277"/>
      <c r="E64" s="280">
        <f>273+8</f>
        <v>281</v>
      </c>
      <c r="F64" s="1269"/>
      <c r="G64" s="311">
        <v>169</v>
      </c>
      <c r="H64" s="173" t="s">
        <v>671</v>
      </c>
      <c r="I64" s="1784"/>
      <c r="J64" s="1785"/>
      <c r="K64" s="1788"/>
      <c r="L64" s="1789"/>
      <c r="M64" s="1348">
        <f t="shared" si="5"/>
        <v>16288.461538461539</v>
      </c>
      <c r="N64" s="1354"/>
      <c r="O64" s="1338">
        <f t="shared" si="3"/>
      </c>
      <c r="P64" s="1596"/>
      <c r="Q64" s="1327" t="s">
        <v>1097</v>
      </c>
      <c r="R64" s="2161"/>
      <c r="S64" s="2161"/>
      <c r="T64" s="2161"/>
      <c r="U64" s="2161"/>
      <c r="V64" s="2161"/>
      <c r="W64" s="2161"/>
    </row>
    <row r="65" spans="1:23" ht="12.75">
      <c r="A65" s="1288" t="s">
        <v>450</v>
      </c>
      <c r="B65" s="1315" t="s">
        <v>500</v>
      </c>
      <c r="C65" s="312">
        <f>4714+36</f>
        <v>4750</v>
      </c>
      <c r="D65" s="1277"/>
      <c r="E65" s="280">
        <f>2244+65</f>
        <v>2309</v>
      </c>
      <c r="F65" s="1269"/>
      <c r="G65" s="311">
        <f>1641+4</f>
        <v>1645</v>
      </c>
      <c r="H65" s="173" t="s">
        <v>672</v>
      </c>
      <c r="I65" s="1784"/>
      <c r="J65" s="1785"/>
      <c r="K65" s="1788"/>
      <c r="L65" s="1789"/>
      <c r="M65" s="1348">
        <f>(C65+C66-G65)*1000/$J$58</f>
        <v>13105.76923076923</v>
      </c>
      <c r="N65" s="1354"/>
      <c r="O65" s="1338">
        <f t="shared" si="3"/>
      </c>
      <c r="P65" s="1596"/>
      <c r="Q65" s="1327" t="s">
        <v>1098</v>
      </c>
      <c r="R65" s="2161"/>
      <c r="S65" s="2161"/>
      <c r="T65" s="2161"/>
      <c r="U65" s="2161"/>
      <c r="V65" s="2161"/>
      <c r="W65" s="2161"/>
    </row>
    <row r="66" spans="1:23" ht="12.75">
      <c r="A66" s="1288" t="s">
        <v>451</v>
      </c>
      <c r="B66" s="1316" t="s">
        <v>515</v>
      </c>
      <c r="C66" s="312">
        <f>977+7</f>
        <v>984</v>
      </c>
      <c r="D66" s="1264"/>
      <c r="E66" s="1277"/>
      <c r="F66" s="1277"/>
      <c r="G66" s="1280"/>
      <c r="H66" s="173"/>
      <c r="I66" s="1596"/>
      <c r="J66" s="1331"/>
      <c r="K66" s="1355"/>
      <c r="L66" s="1786"/>
      <c r="M66" s="1348">
        <f>(M58*J58/1000+D58-F58-(Motpart!D20+Motpart!E20+Motpart!F20+Motpart!J20)*0.06)*1000/J58+M62</f>
        <v>117145.89743589742</v>
      </c>
      <c r="N66" s="1354"/>
      <c r="O66" s="1338">
        <f t="shared" si="3"/>
      </c>
      <c r="P66" s="1596"/>
      <c r="Q66" s="1327" t="s">
        <v>1099</v>
      </c>
      <c r="R66" s="2161"/>
      <c r="S66" s="2161"/>
      <c r="T66" s="2161"/>
      <c r="U66" s="2161"/>
      <c r="V66" s="2161"/>
      <c r="W66" s="2161"/>
    </row>
    <row r="67" spans="1:23" ht="12.75">
      <c r="A67" s="1288" t="s">
        <v>637</v>
      </c>
      <c r="B67" s="1308"/>
      <c r="C67" s="1277"/>
      <c r="D67" s="1277"/>
      <c r="E67" s="1277"/>
      <c r="F67" s="1277"/>
      <c r="G67" s="1280"/>
      <c r="H67" s="173"/>
      <c r="I67" s="1122"/>
      <c r="J67" s="1331"/>
      <c r="K67" s="1355"/>
      <c r="L67" s="1355"/>
      <c r="M67" s="1348">
        <f>(Motpart!G20+Motpart!K20)*1000/J58</f>
        <v>27189.102564102563</v>
      </c>
      <c r="N67" s="1354"/>
      <c r="O67" s="1338">
        <f t="shared" si="3"/>
      </c>
      <c r="P67" s="1596"/>
      <c r="Q67" s="1327" t="s">
        <v>1100</v>
      </c>
      <c r="R67" s="2161"/>
      <c r="S67" s="2161"/>
      <c r="T67" s="2161"/>
      <c r="U67" s="2161"/>
      <c r="V67" s="2161"/>
      <c r="W67" s="2161"/>
    </row>
    <row r="68" spans="1:23" ht="12.75">
      <c r="A68" s="1309" t="s">
        <v>638</v>
      </c>
      <c r="B68" s="1308"/>
      <c r="C68" s="1277"/>
      <c r="D68" s="1277"/>
      <c r="E68" s="1277"/>
      <c r="F68" s="1277"/>
      <c r="G68" s="1280"/>
      <c r="H68" s="171"/>
      <c r="I68" s="1122"/>
      <c r="J68" s="1331"/>
      <c r="K68" s="1355"/>
      <c r="L68" s="1355"/>
      <c r="M68" s="1348">
        <f>F58*1000/J58</f>
        <v>20644.23076923077</v>
      </c>
      <c r="N68" s="1354"/>
      <c r="O68" s="1338">
        <f t="shared" si="3"/>
      </c>
      <c r="P68" s="1596"/>
      <c r="Q68" s="1327" t="s">
        <v>1101</v>
      </c>
      <c r="R68" s="2161"/>
      <c r="S68" s="2161"/>
      <c r="T68" s="2161"/>
      <c r="U68" s="2161"/>
      <c r="V68" s="2161"/>
      <c r="W68" s="2161"/>
    </row>
    <row r="69" spans="1:23" ht="12.75">
      <c r="A69" s="1309" t="s">
        <v>639</v>
      </c>
      <c r="B69" s="1313"/>
      <c r="C69" s="1277"/>
      <c r="D69" s="1266"/>
      <c r="E69" s="1277"/>
      <c r="F69" s="1277"/>
      <c r="G69" s="1280"/>
      <c r="H69" s="169"/>
      <c r="I69" s="1122"/>
      <c r="J69" s="1331"/>
      <c r="K69" s="1355"/>
      <c r="L69" s="1355"/>
      <c r="M69" s="1348">
        <f>Motpart!H20*1000/J58</f>
        <v>1301.2820512820513</v>
      </c>
      <c r="N69" s="1354"/>
      <c r="O69" s="1338">
        <f t="shared" si="3"/>
      </c>
      <c r="P69" s="1596"/>
      <c r="Q69" s="1327" t="s">
        <v>1102</v>
      </c>
      <c r="R69" s="2161"/>
      <c r="S69" s="2161"/>
      <c r="T69" s="2161"/>
      <c r="U69" s="2161"/>
      <c r="V69" s="2161"/>
      <c r="W69" s="2161"/>
    </row>
    <row r="70" spans="1:23" ht="13.5" thickBot="1">
      <c r="A70" s="1317" t="s">
        <v>640</v>
      </c>
      <c r="B70" s="1318"/>
      <c r="C70" s="1279"/>
      <c r="D70" s="1279"/>
      <c r="E70" s="1279"/>
      <c r="F70" s="1279"/>
      <c r="G70" s="1282"/>
      <c r="H70" s="2322"/>
      <c r="I70" s="2323"/>
      <c r="J70" s="1341"/>
      <c r="K70" s="1332"/>
      <c r="L70" s="1332"/>
      <c r="M70" s="1349">
        <f>((Motpart!D20+Motpart!E20+Motpart!F20+Motpart!J20)-(Motpart!D20+Motpart!E20+Motpart!F20+Motpart!J20)*0.06)*1000/J58</f>
        <v>25030.51282051282</v>
      </c>
      <c r="N70" s="1334"/>
      <c r="O70" s="1356">
        <f t="shared" si="3"/>
      </c>
      <c r="P70" s="1351"/>
      <c r="Q70" s="1344" t="s">
        <v>1103</v>
      </c>
      <c r="R70" s="2161"/>
      <c r="S70" s="2161"/>
      <c r="T70" s="2161"/>
      <c r="U70" s="2161"/>
      <c r="V70" s="2161"/>
      <c r="W70" s="2161"/>
    </row>
    <row r="71" spans="1:19" ht="13.5" thickBot="1">
      <c r="A71" s="2318"/>
      <c r="B71" s="1314"/>
      <c r="C71" s="1281"/>
      <c r="D71" s="1279"/>
      <c r="E71" s="1279"/>
      <c r="F71" s="1266"/>
      <c r="G71" s="1282"/>
      <c r="H71" s="2321"/>
      <c r="I71" s="1341"/>
      <c r="J71" s="1341"/>
      <c r="K71" s="1332"/>
      <c r="L71" s="1332"/>
      <c r="M71" s="1342"/>
      <c r="N71" s="2320"/>
      <c r="O71" s="1343"/>
      <c r="P71" s="1351"/>
      <c r="Q71" s="1344"/>
      <c r="R71" s="299"/>
      <c r="S71" s="299"/>
    </row>
    <row r="72" spans="1:19" ht="12.75">
      <c r="A72" s="1293" t="s">
        <v>452</v>
      </c>
      <c r="B72" s="1304" t="s">
        <v>617</v>
      </c>
      <c r="C72" s="97">
        <f>Drift!P57</f>
        <v>3690.3041572664033</v>
      </c>
      <c r="D72" s="98">
        <f>SUM(Motpart!D21:L21)</f>
        <v>1011</v>
      </c>
      <c r="E72" s="98">
        <f>Drift!W57</f>
        <v>876</v>
      </c>
      <c r="F72" s="98">
        <f>Motpart!Y21</f>
        <v>558</v>
      </c>
      <c r="G72" s="149">
        <f>Drift!V57</f>
        <v>216</v>
      </c>
      <c r="H72" s="169"/>
      <c r="I72" s="1806" t="s">
        <v>1083</v>
      </c>
      <c r="J72" s="909">
        <v>312</v>
      </c>
      <c r="K72" s="1793"/>
      <c r="L72" s="1791"/>
      <c r="M72" s="1352">
        <f>SUM(M73:M75,M77:M79)</f>
        <v>7028.846153846154</v>
      </c>
      <c r="N72" s="1353"/>
      <c r="O72" s="1345">
        <f t="shared" si="3"/>
      </c>
      <c r="P72" s="1596"/>
      <c r="Q72" s="2061" t="s">
        <v>1091</v>
      </c>
      <c r="R72" s="106"/>
      <c r="S72" s="299"/>
    </row>
    <row r="73" spans="1:23" ht="12.75">
      <c r="A73" s="1288" t="s">
        <v>453</v>
      </c>
      <c r="B73" s="1305" t="s">
        <v>567</v>
      </c>
      <c r="C73" s="312">
        <f>1173+4</f>
        <v>1177</v>
      </c>
      <c r="D73" s="1277"/>
      <c r="E73" s="280">
        <v>91</v>
      </c>
      <c r="F73" s="1269"/>
      <c r="G73" s="311">
        <v>71</v>
      </c>
      <c r="H73" s="186" t="s">
        <v>673</v>
      </c>
      <c r="I73" s="961"/>
      <c r="J73" s="1785"/>
      <c r="K73" s="1788"/>
      <c r="L73" s="1788"/>
      <c r="M73" s="1348">
        <f aca="true" t="shared" si="6" ref="M73:M78">(C73-E73)*1000/$J$72</f>
        <v>3480.769230769231</v>
      </c>
      <c r="N73" s="1347"/>
      <c r="O73" s="1338">
        <f t="shared" si="3"/>
      </c>
      <c r="P73" s="1596"/>
      <c r="Q73" s="1327" t="s">
        <v>1092</v>
      </c>
      <c r="R73" s="2274"/>
      <c r="S73" s="2161"/>
      <c r="T73" s="2161"/>
      <c r="U73" s="2161"/>
      <c r="V73" s="2161"/>
      <c r="W73" s="2161"/>
    </row>
    <row r="74" spans="1:23" ht="12.75">
      <c r="A74" s="1288" t="s">
        <v>454</v>
      </c>
      <c r="B74" s="1305" t="s">
        <v>1008</v>
      </c>
      <c r="C74" s="312">
        <v>98</v>
      </c>
      <c r="D74" s="1277"/>
      <c r="E74" s="280">
        <v>17</v>
      </c>
      <c r="F74" s="1269"/>
      <c r="G74" s="311">
        <v>5</v>
      </c>
      <c r="H74" s="185" t="s">
        <v>674</v>
      </c>
      <c r="I74" s="961"/>
      <c r="J74" s="1785"/>
      <c r="K74" s="1355"/>
      <c r="L74" s="1355"/>
      <c r="M74" s="1348">
        <f t="shared" si="6"/>
        <v>259.61538461538464</v>
      </c>
      <c r="N74" s="1354"/>
      <c r="O74" s="1338">
        <f t="shared" si="3"/>
      </c>
      <c r="P74" s="1596"/>
      <c r="Q74" s="1327" t="s">
        <v>1093</v>
      </c>
      <c r="R74" s="2161"/>
      <c r="S74" s="2161"/>
      <c r="T74" s="2161"/>
      <c r="U74" s="2161"/>
      <c r="V74" s="2161"/>
      <c r="W74" s="2161"/>
    </row>
    <row r="75" spans="1:23" ht="12.75">
      <c r="A75" s="1288" t="s">
        <v>455</v>
      </c>
      <c r="B75" s="1305" t="s">
        <v>582</v>
      </c>
      <c r="C75" s="312">
        <v>44</v>
      </c>
      <c r="D75" s="1277"/>
      <c r="E75" s="280">
        <v>5</v>
      </c>
      <c r="F75" s="1269"/>
      <c r="G75" s="311">
        <v>2</v>
      </c>
      <c r="H75" s="1805"/>
      <c r="I75" s="961"/>
      <c r="J75" s="961"/>
      <c r="K75" s="1321"/>
      <c r="L75" s="1321"/>
      <c r="M75" s="1348">
        <f t="shared" si="6"/>
        <v>125</v>
      </c>
      <c r="N75" s="1354"/>
      <c r="O75" s="1338">
        <f t="shared" si="3"/>
      </c>
      <c r="P75" s="1596"/>
      <c r="Q75" s="1327" t="s">
        <v>1094</v>
      </c>
      <c r="R75" s="2161"/>
      <c r="S75" s="2161"/>
      <c r="T75" s="2161"/>
      <c r="U75" s="2161"/>
      <c r="V75" s="2161"/>
      <c r="W75" s="2161"/>
    </row>
    <row r="76" spans="1:23" ht="12.75">
      <c r="A76" s="1288" t="s">
        <v>456</v>
      </c>
      <c r="B76" s="1305" t="s">
        <v>565</v>
      </c>
      <c r="C76" s="312">
        <f>235+1</f>
        <v>236</v>
      </c>
      <c r="D76" s="1277"/>
      <c r="E76" s="280">
        <v>8</v>
      </c>
      <c r="F76" s="1269"/>
      <c r="G76" s="311">
        <v>2</v>
      </c>
      <c r="H76" s="1805" t="s">
        <v>675</v>
      </c>
      <c r="I76" s="961"/>
      <c r="J76" s="1785"/>
      <c r="K76" s="1788"/>
      <c r="L76" s="1788"/>
      <c r="M76" s="1348">
        <f t="shared" si="6"/>
        <v>730.7692307692307</v>
      </c>
      <c r="N76" s="1354"/>
      <c r="O76" s="1338">
        <f t="shared" si="3"/>
      </c>
      <c r="P76" s="1596"/>
      <c r="Q76" s="1327" t="s">
        <v>1095</v>
      </c>
      <c r="R76" s="2161"/>
      <c r="S76" s="2161"/>
      <c r="T76" s="2161"/>
      <c r="U76" s="2161"/>
      <c r="V76" s="2161"/>
      <c r="W76" s="2161"/>
    </row>
    <row r="77" spans="1:23" ht="12.75">
      <c r="A77" s="1288" t="s">
        <v>457</v>
      </c>
      <c r="B77" s="1306" t="s">
        <v>860</v>
      </c>
      <c r="C77" s="312">
        <v>50</v>
      </c>
      <c r="D77" s="1277"/>
      <c r="E77" s="280">
        <v>1</v>
      </c>
      <c r="F77" s="1269"/>
      <c r="G77" s="311">
        <v>0</v>
      </c>
      <c r="H77" s="1805" t="s">
        <v>676</v>
      </c>
      <c r="I77" s="961"/>
      <c r="J77" s="1785"/>
      <c r="K77" s="1788"/>
      <c r="L77" s="1788"/>
      <c r="M77" s="1348">
        <f t="shared" si="6"/>
        <v>157.05128205128204</v>
      </c>
      <c r="N77" s="1354"/>
      <c r="O77" s="1338">
        <f t="shared" si="3"/>
      </c>
      <c r="P77" s="1596"/>
      <c r="Q77" s="1327" t="s">
        <v>1096</v>
      </c>
      <c r="R77" s="2161"/>
      <c r="S77" s="2161"/>
      <c r="T77" s="2161"/>
      <c r="U77" s="2161"/>
      <c r="V77" s="2161"/>
      <c r="W77" s="2161"/>
    </row>
    <row r="78" spans="1:23" ht="12.75">
      <c r="A78" s="1288" t="s">
        <v>458</v>
      </c>
      <c r="B78" s="1307" t="s">
        <v>610</v>
      </c>
      <c r="C78" s="312">
        <f>337+1</f>
        <v>338</v>
      </c>
      <c r="D78" s="1277"/>
      <c r="E78" s="280">
        <v>5</v>
      </c>
      <c r="F78" s="1269"/>
      <c r="G78" s="311">
        <v>5</v>
      </c>
      <c r="H78" s="1805" t="s">
        <v>677</v>
      </c>
      <c r="I78" s="961"/>
      <c r="J78" s="1785"/>
      <c r="K78" s="1788"/>
      <c r="L78" s="1788"/>
      <c r="M78" s="1348">
        <f t="shared" si="6"/>
        <v>1067.3076923076924</v>
      </c>
      <c r="N78" s="1329"/>
      <c r="O78" s="1338">
        <f t="shared" si="3"/>
      </c>
      <c r="P78" s="1596"/>
      <c r="Q78" s="1327" t="s">
        <v>1097</v>
      </c>
      <c r="R78" s="2161"/>
      <c r="S78" s="2161"/>
      <c r="T78" s="2161"/>
      <c r="U78" s="2161"/>
      <c r="V78" s="2161"/>
      <c r="W78" s="2161"/>
    </row>
    <row r="79" spans="1:23" ht="12.75">
      <c r="A79" s="1288" t="s">
        <v>459</v>
      </c>
      <c r="B79" s="1305" t="s">
        <v>500</v>
      </c>
      <c r="C79" s="312">
        <f>653+2</f>
        <v>655</v>
      </c>
      <c r="D79" s="1277"/>
      <c r="E79" s="280">
        <f>178-2</f>
        <v>176</v>
      </c>
      <c r="F79" s="1269"/>
      <c r="G79" s="311">
        <v>131</v>
      </c>
      <c r="H79" s="186" t="s">
        <v>678</v>
      </c>
      <c r="I79" s="961"/>
      <c r="J79" s="1785"/>
      <c r="K79" s="1788"/>
      <c r="L79" s="1788"/>
      <c r="M79" s="1348">
        <f>(C79+C80-G79)*1000/$J$72</f>
        <v>1939.1025641025642</v>
      </c>
      <c r="N79" s="1347"/>
      <c r="O79" s="1338">
        <f t="shared" si="3"/>
      </c>
      <c r="P79" s="1596"/>
      <c r="Q79" s="1327" t="s">
        <v>1098</v>
      </c>
      <c r="R79" s="2161"/>
      <c r="S79" s="2161"/>
      <c r="T79" s="2161"/>
      <c r="U79" s="2161"/>
      <c r="V79" s="2161"/>
      <c r="W79" s="2161"/>
    </row>
    <row r="80" spans="1:23" ht="12.75">
      <c r="A80" s="1288" t="s">
        <v>460</v>
      </c>
      <c r="B80" s="1319" t="s">
        <v>515</v>
      </c>
      <c r="C80" s="312">
        <v>81</v>
      </c>
      <c r="D80" s="1264"/>
      <c r="E80" s="1277"/>
      <c r="F80" s="1277"/>
      <c r="G80" s="1280"/>
      <c r="H80" s="185"/>
      <c r="I80" s="1122"/>
      <c r="J80" s="1331"/>
      <c r="K80" s="1355"/>
      <c r="L80" s="1355"/>
      <c r="M80" s="1333">
        <f>((M72*J72/1000+D72-F72-(Motpart!D21+Motpart!E21+Motpart!F21+Motpart!J21)*0.06))/J72*1000+M76</f>
        <v>9164.615384615385</v>
      </c>
      <c r="N80" s="1354"/>
      <c r="O80" s="1338">
        <f t="shared" si="3"/>
      </c>
      <c r="P80" s="1596"/>
      <c r="Q80" s="1327" t="s">
        <v>1099</v>
      </c>
      <c r="R80" s="2161"/>
      <c r="S80" s="2161"/>
      <c r="T80" s="2161"/>
      <c r="U80" s="2161"/>
      <c r="V80" s="2161"/>
      <c r="W80" s="2161"/>
    </row>
    <row r="81" spans="1:23" ht="12.75">
      <c r="A81" s="1309" t="s">
        <v>641</v>
      </c>
      <c r="B81" s="1308"/>
      <c r="C81" s="1277"/>
      <c r="D81" s="1277"/>
      <c r="E81" s="1277"/>
      <c r="F81" s="1277"/>
      <c r="G81" s="1280"/>
      <c r="H81" s="171"/>
      <c r="I81" s="1122"/>
      <c r="J81" s="1331"/>
      <c r="K81" s="1355"/>
      <c r="L81" s="1355"/>
      <c r="M81" s="1348">
        <f>(Motpart!G21+Motpart!K21)*1000/J72</f>
        <v>2278.846153846154</v>
      </c>
      <c r="N81" s="1354"/>
      <c r="O81" s="1338">
        <f aca="true" t="shared" si="7" ref="O81:O101">IF(OR(M81="",N81=""),"",IF(AND(M81=0,N81=0),0,IF(N81=0,1,M81/N81-1)))</f>
      </c>
      <c r="P81" s="1596"/>
      <c r="Q81" s="1327" t="s">
        <v>1100</v>
      </c>
      <c r="R81" s="2161"/>
      <c r="S81" s="2161"/>
      <c r="T81" s="2161"/>
      <c r="U81" s="2161"/>
      <c r="V81" s="2161"/>
      <c r="W81" s="2161"/>
    </row>
    <row r="82" spans="1:23" ht="12.75">
      <c r="A82" s="1309" t="s">
        <v>642</v>
      </c>
      <c r="B82" s="1308"/>
      <c r="C82" s="1277"/>
      <c r="D82" s="1266"/>
      <c r="E82" s="1277"/>
      <c r="F82" s="1277"/>
      <c r="G82" s="1280"/>
      <c r="H82" s="169"/>
      <c r="I82" s="1122"/>
      <c r="J82" s="1331"/>
      <c r="K82" s="1355"/>
      <c r="L82" s="1355"/>
      <c r="M82" s="1348">
        <f>F72*1000/J72</f>
        <v>1788.4615384615386</v>
      </c>
      <c r="N82" s="1329"/>
      <c r="O82" s="1338">
        <f t="shared" si="7"/>
      </c>
      <c r="P82" s="1596"/>
      <c r="Q82" s="1327" t="s">
        <v>1101</v>
      </c>
      <c r="R82" s="2161"/>
      <c r="S82" s="2161"/>
      <c r="T82" s="2161"/>
      <c r="U82" s="2161"/>
      <c r="V82" s="2161"/>
      <c r="W82" s="2161"/>
    </row>
    <row r="83" spans="1:23" ht="12.75">
      <c r="A83" s="1309" t="s">
        <v>643</v>
      </c>
      <c r="B83" s="1313"/>
      <c r="C83" s="1277"/>
      <c r="D83" s="1266"/>
      <c r="E83" s="1277"/>
      <c r="F83" s="1277"/>
      <c r="G83" s="1280"/>
      <c r="H83" s="173"/>
      <c r="I83" s="1122"/>
      <c r="J83" s="1331"/>
      <c r="K83" s="1355"/>
      <c r="L83" s="1355"/>
      <c r="M83" s="1328">
        <f>Motpart!H21*1000/J72</f>
        <v>169.87179487179486</v>
      </c>
      <c r="N83" s="1329"/>
      <c r="O83" s="1338">
        <f t="shared" si="7"/>
      </c>
      <c r="P83" s="1596"/>
      <c r="Q83" s="1327" t="s">
        <v>1102</v>
      </c>
      <c r="R83" s="2161"/>
      <c r="S83" s="2161"/>
      <c r="T83" s="2161"/>
      <c r="U83" s="2161"/>
      <c r="V83" s="2161"/>
      <c r="W83" s="2161"/>
    </row>
    <row r="84" spans="1:23" ht="12.75">
      <c r="A84" s="1288" t="s">
        <v>644</v>
      </c>
      <c r="B84" s="1308"/>
      <c r="C84" s="1266"/>
      <c r="D84" s="1266"/>
      <c r="E84" s="1266"/>
      <c r="F84" s="1266"/>
      <c r="G84" s="1276"/>
      <c r="H84" s="1597"/>
      <c r="I84" s="1598"/>
      <c r="J84" s="1331"/>
      <c r="K84" s="1355"/>
      <c r="L84" s="1355"/>
      <c r="M84" s="1328">
        <f>((Motpart!D21+Motpart!E21+Motpart!F21+Motpart!J21)-(Motpart!D21+Motpart!E21+Motpart!F21+Motpart!J21)*0.06)*1000/J72</f>
        <v>735.1282051282051</v>
      </c>
      <c r="N84" s="1354"/>
      <c r="O84" s="1338">
        <f t="shared" si="7"/>
      </c>
      <c r="P84" s="1596"/>
      <c r="Q84" s="1327" t="s">
        <v>1104</v>
      </c>
      <c r="R84" s="2161"/>
      <c r="S84" s="2161"/>
      <c r="T84" s="2161"/>
      <c r="U84" s="2161"/>
      <c r="V84" s="2161"/>
      <c r="W84" s="2161"/>
    </row>
    <row r="85" spans="1:19" ht="13.5" thickBot="1">
      <c r="A85" s="1311"/>
      <c r="B85" s="1318"/>
      <c r="C85" s="1281"/>
      <c r="D85" s="1279"/>
      <c r="E85" s="1279"/>
      <c r="F85" s="1279"/>
      <c r="G85" s="1282"/>
      <c r="H85" s="172"/>
      <c r="I85" s="1341"/>
      <c r="J85" s="1341"/>
      <c r="K85" s="1332"/>
      <c r="L85" s="1355"/>
      <c r="M85" s="1333"/>
      <c r="N85" s="1334"/>
      <c r="O85" s="1343">
        <f t="shared" si="7"/>
      </c>
      <c r="P85" s="1351"/>
      <c r="Q85" s="1344"/>
      <c r="R85" s="299"/>
      <c r="S85" s="299"/>
    </row>
    <row r="86" spans="1:18" ht="12.75" customHeight="1">
      <c r="A86" s="1293" t="s">
        <v>461</v>
      </c>
      <c r="B86" s="1304" t="s">
        <v>619</v>
      </c>
      <c r="C86" s="184">
        <f>Drift!P60</f>
        <v>1002.0798552359466</v>
      </c>
      <c r="D86" s="98">
        <f>SUM(Motpart!D22:L22)</f>
        <v>240</v>
      </c>
      <c r="E86" s="183">
        <f>Drift!W60</f>
        <v>132</v>
      </c>
      <c r="F86" s="98">
        <f>Motpart!Y22</f>
        <v>27</v>
      </c>
      <c r="G86" s="150">
        <f>Drift!V60</f>
        <v>65</v>
      </c>
      <c r="H86" s="174"/>
      <c r="I86" s="1358" t="s">
        <v>611</v>
      </c>
      <c r="J86" s="1359">
        <v>5741</v>
      </c>
      <c r="K86" s="1360"/>
      <c r="L86" s="1360"/>
      <c r="M86" s="1352">
        <f>SUM(M87:M91)</f>
        <v>118.96882076293329</v>
      </c>
      <c r="N86" s="1353"/>
      <c r="O86" s="1345">
        <f t="shared" si="7"/>
      </c>
      <c r="P86" s="1596"/>
      <c r="Q86" s="1327" t="s">
        <v>1105</v>
      </c>
      <c r="R86" s="106"/>
    </row>
    <row r="87" spans="1:23" ht="12.75" customHeight="1">
      <c r="A87" s="1288" t="s">
        <v>462</v>
      </c>
      <c r="B87" s="1305" t="s">
        <v>567</v>
      </c>
      <c r="C87" s="312">
        <f>415+2</f>
        <v>417</v>
      </c>
      <c r="D87" s="1277"/>
      <c r="E87" s="280">
        <v>36</v>
      </c>
      <c r="F87" s="1269"/>
      <c r="G87" s="311">
        <v>24</v>
      </c>
      <c r="H87" s="173"/>
      <c r="I87" s="1361"/>
      <c r="J87" s="1361"/>
      <c r="K87" s="1355"/>
      <c r="L87" s="1355"/>
      <c r="M87" s="1348">
        <f>(C87-E87)*1000/$J$86</f>
        <v>66.36474481797596</v>
      </c>
      <c r="N87" s="1329"/>
      <c r="O87" s="1338">
        <f t="shared" si="7"/>
      </c>
      <c r="P87" s="1596"/>
      <c r="Q87" s="1327" t="s">
        <v>1106</v>
      </c>
      <c r="R87" s="2161"/>
      <c r="S87" s="2161"/>
      <c r="T87" s="2161"/>
      <c r="U87" s="2161"/>
      <c r="V87" s="2161"/>
      <c r="W87" s="2161"/>
    </row>
    <row r="88" spans="1:23" ht="12.75" customHeight="1">
      <c r="A88" s="1288" t="s">
        <v>463</v>
      </c>
      <c r="B88" s="1305" t="s">
        <v>1008</v>
      </c>
      <c r="C88" s="312">
        <v>24</v>
      </c>
      <c r="D88" s="1277"/>
      <c r="E88" s="280">
        <v>0</v>
      </c>
      <c r="F88" s="1269"/>
      <c r="G88" s="311">
        <v>0</v>
      </c>
      <c r="H88" s="173"/>
      <c r="I88" s="1361"/>
      <c r="J88" s="1361"/>
      <c r="K88" s="1355"/>
      <c r="L88" s="1355"/>
      <c r="M88" s="1348">
        <f>(C88-E88)*1000/$J$86</f>
        <v>4.180456366486675</v>
      </c>
      <c r="N88" s="1347"/>
      <c r="O88" s="1338">
        <f t="shared" si="7"/>
      </c>
      <c r="P88" s="1596"/>
      <c r="Q88" s="1327" t="s">
        <v>1107</v>
      </c>
      <c r="R88" s="2161"/>
      <c r="S88" s="2161"/>
      <c r="T88" s="2161"/>
      <c r="U88" s="2161"/>
      <c r="V88" s="2161"/>
      <c r="W88" s="2161"/>
    </row>
    <row r="89" spans="1:23" ht="15.75" customHeight="1">
      <c r="A89" s="1288" t="s">
        <v>464</v>
      </c>
      <c r="B89" s="1315" t="s">
        <v>860</v>
      </c>
      <c r="C89" s="312">
        <v>5</v>
      </c>
      <c r="D89" s="1277"/>
      <c r="E89" s="280">
        <v>0</v>
      </c>
      <c r="F89" s="1269"/>
      <c r="G89" s="311">
        <v>0</v>
      </c>
      <c r="H89" s="173"/>
      <c r="I89" s="1362"/>
      <c r="J89" s="1362"/>
      <c r="K89" s="1363"/>
      <c r="L89" s="1363"/>
      <c r="M89" s="1348">
        <f>(C89-E89)*1000/$J$86</f>
        <v>0.870928409684724</v>
      </c>
      <c r="N89" s="1354"/>
      <c r="O89" s="1338">
        <f t="shared" si="7"/>
      </c>
      <c r="P89" s="1596"/>
      <c r="Q89" s="1327" t="s">
        <v>1108</v>
      </c>
      <c r="R89" s="2161"/>
      <c r="S89" s="2161"/>
      <c r="T89" s="2161"/>
      <c r="U89" s="2161"/>
      <c r="V89" s="2161"/>
      <c r="W89" s="2161"/>
    </row>
    <row r="90" spans="1:23" ht="12.75" customHeight="1">
      <c r="A90" s="1288" t="s">
        <v>465</v>
      </c>
      <c r="B90" s="1307" t="s">
        <v>610</v>
      </c>
      <c r="C90" s="312">
        <v>105</v>
      </c>
      <c r="D90" s="1277"/>
      <c r="E90" s="280">
        <v>3</v>
      </c>
      <c r="F90" s="1269"/>
      <c r="G90" s="311">
        <v>1</v>
      </c>
      <c r="H90" s="173"/>
      <c r="I90" s="1331"/>
      <c r="J90" s="1331"/>
      <c r="K90" s="1355"/>
      <c r="L90" s="1355"/>
      <c r="M90" s="1348">
        <f>(C90-E90)*1000/$J$86</f>
        <v>17.766939557568367</v>
      </c>
      <c r="N90" s="1329"/>
      <c r="O90" s="1338">
        <f t="shared" si="7"/>
      </c>
      <c r="P90" s="1596"/>
      <c r="Q90" s="1327" t="s">
        <v>1109</v>
      </c>
      <c r="R90" s="2161"/>
      <c r="S90" s="2161"/>
      <c r="T90" s="2161"/>
      <c r="U90" s="2161"/>
      <c r="V90" s="2161"/>
      <c r="W90" s="2161"/>
    </row>
    <row r="91" spans="1:23" ht="12.75" customHeight="1">
      <c r="A91" s="1288" t="s">
        <v>466</v>
      </c>
      <c r="B91" s="1305" t="s">
        <v>500</v>
      </c>
      <c r="C91" s="312">
        <f>185+1</f>
        <v>186</v>
      </c>
      <c r="D91" s="1277"/>
      <c r="E91" s="280">
        <f>55+1</f>
        <v>56</v>
      </c>
      <c r="F91" s="1269"/>
      <c r="G91" s="311">
        <f>39+1</f>
        <v>40</v>
      </c>
      <c r="H91" s="173"/>
      <c r="I91" s="1331"/>
      <c r="J91" s="1331"/>
      <c r="K91" s="1355"/>
      <c r="L91" s="1355"/>
      <c r="M91" s="1348">
        <f>(C91+C92-G91)*1000/J86</f>
        <v>29.78575161121756</v>
      </c>
      <c r="N91" s="1329"/>
      <c r="O91" s="1338">
        <f t="shared" si="7"/>
      </c>
      <c r="P91" s="1596"/>
      <c r="Q91" s="1327" t="s">
        <v>1110</v>
      </c>
      <c r="R91" s="2161"/>
      <c r="S91" s="2161"/>
      <c r="T91" s="2161"/>
      <c r="U91" s="2161"/>
      <c r="V91" s="2161"/>
      <c r="W91" s="2161"/>
    </row>
    <row r="92" spans="1:23" ht="12.75" customHeight="1">
      <c r="A92" s="1288" t="s">
        <v>467</v>
      </c>
      <c r="B92" s="1319" t="s">
        <v>566</v>
      </c>
      <c r="C92" s="312">
        <v>25</v>
      </c>
      <c r="D92" s="1264"/>
      <c r="E92" s="1277"/>
      <c r="F92" s="1277"/>
      <c r="G92" s="1280"/>
      <c r="H92" s="173"/>
      <c r="I92" s="1331"/>
      <c r="J92" s="1331"/>
      <c r="K92" s="1355"/>
      <c r="L92" s="1355"/>
      <c r="M92" s="1364"/>
      <c r="N92" s="1347"/>
      <c r="O92" s="1338">
        <f t="shared" si="7"/>
      </c>
      <c r="P92" s="1596"/>
      <c r="Q92" s="1986"/>
      <c r="R92" s="2161"/>
      <c r="S92" s="2161"/>
      <c r="T92" s="2161"/>
      <c r="U92" s="2161"/>
      <c r="V92" s="2161"/>
      <c r="W92" s="2161"/>
    </row>
    <row r="93" spans="1:23" ht="12.75" customHeight="1">
      <c r="A93" s="1288"/>
      <c r="B93" s="1319"/>
      <c r="C93" s="1277"/>
      <c r="D93" s="1277"/>
      <c r="E93" s="1277"/>
      <c r="F93" s="1277"/>
      <c r="G93" s="1280"/>
      <c r="H93" s="171"/>
      <c r="I93" s="1331"/>
      <c r="J93" s="1331"/>
      <c r="K93" s="1355"/>
      <c r="L93" s="1355"/>
      <c r="M93" s="1364"/>
      <c r="N93" s="1354"/>
      <c r="O93" s="1338">
        <f t="shared" si="7"/>
      </c>
      <c r="P93" s="1596"/>
      <c r="Q93" s="1327"/>
      <c r="R93" s="2161"/>
      <c r="S93" s="2161"/>
      <c r="T93" s="2161"/>
      <c r="U93" s="2161"/>
      <c r="V93" s="2161"/>
      <c r="W93" s="2161"/>
    </row>
    <row r="94" spans="1:17" ht="12.75" customHeight="1" thickBot="1">
      <c r="A94" s="1311"/>
      <c r="B94" s="1312"/>
      <c r="C94" s="1281"/>
      <c r="D94" s="1279"/>
      <c r="E94" s="1279"/>
      <c r="F94" s="1279"/>
      <c r="G94" s="1282"/>
      <c r="H94" s="187"/>
      <c r="I94" s="1357"/>
      <c r="J94" s="1341"/>
      <c r="K94" s="1332"/>
      <c r="L94" s="1332"/>
      <c r="M94" s="1365"/>
      <c r="N94" s="1334"/>
      <c r="O94" s="1343">
        <f t="shared" si="7"/>
      </c>
      <c r="P94" s="1351"/>
      <c r="Q94" s="1344"/>
    </row>
    <row r="95" spans="1:18" ht="12.75" customHeight="1">
      <c r="A95" s="1293" t="s">
        <v>468</v>
      </c>
      <c r="B95" s="1304" t="s">
        <v>620</v>
      </c>
      <c r="C95" s="97">
        <f>Drift!P61</f>
        <v>4457.791572664035</v>
      </c>
      <c r="D95" s="1285">
        <f>SUM(Motpart!D23:L23)</f>
        <v>1614</v>
      </c>
      <c r="E95" s="183">
        <f>Drift!W61</f>
        <v>1805</v>
      </c>
      <c r="F95" s="98">
        <f>Motpart!Y23</f>
        <v>266</v>
      </c>
      <c r="G95" s="150">
        <f>Drift!V61</f>
        <v>324</v>
      </c>
      <c r="H95" s="174"/>
      <c r="I95" s="1358" t="s">
        <v>611</v>
      </c>
      <c r="J95" s="1359">
        <v>5741</v>
      </c>
      <c r="K95" s="1360"/>
      <c r="L95" s="1360"/>
      <c r="M95" s="1352">
        <f>SUM(M96:M100)</f>
        <v>394.18219822330605</v>
      </c>
      <c r="N95" s="1347"/>
      <c r="O95" s="1345">
        <f t="shared" si="7"/>
      </c>
      <c r="P95" s="1596"/>
      <c r="Q95" s="1327" t="s">
        <v>1105</v>
      </c>
      <c r="R95" s="106"/>
    </row>
    <row r="96" spans="1:23" ht="12.75" customHeight="1">
      <c r="A96" s="1288" t="s">
        <v>469</v>
      </c>
      <c r="B96" s="1305" t="s">
        <v>567</v>
      </c>
      <c r="C96" s="312">
        <f>1445+2</f>
        <v>1447</v>
      </c>
      <c r="D96" s="1277"/>
      <c r="E96" s="280">
        <v>339</v>
      </c>
      <c r="F96" s="1269"/>
      <c r="G96" s="311">
        <v>107</v>
      </c>
      <c r="H96" s="173"/>
      <c r="I96" s="1361"/>
      <c r="J96" s="1361"/>
      <c r="K96" s="1355"/>
      <c r="L96" s="1355"/>
      <c r="M96" s="1348">
        <f>(C96-E96)*1000/$J$95</f>
        <v>192.9977355861348</v>
      </c>
      <c r="N96" s="1354"/>
      <c r="O96" s="1338">
        <f t="shared" si="7"/>
      </c>
      <c r="P96" s="1596"/>
      <c r="Q96" s="1327" t="s">
        <v>1106</v>
      </c>
      <c r="R96" s="2161"/>
      <c r="S96" s="2161"/>
      <c r="T96" s="2161"/>
      <c r="U96" s="2161"/>
      <c r="V96" s="2161"/>
      <c r="W96" s="2161"/>
    </row>
    <row r="97" spans="1:23" ht="12.75" customHeight="1">
      <c r="A97" s="1288" t="s">
        <v>470</v>
      </c>
      <c r="B97" s="1305" t="s">
        <v>1008</v>
      </c>
      <c r="C97" s="312">
        <v>137</v>
      </c>
      <c r="D97" s="1277"/>
      <c r="E97" s="280">
        <v>19</v>
      </c>
      <c r="F97" s="1269"/>
      <c r="G97" s="311">
        <v>2</v>
      </c>
      <c r="H97" s="171"/>
      <c r="I97" s="1361"/>
      <c r="J97" s="1361"/>
      <c r="K97" s="1355"/>
      <c r="L97" s="1355"/>
      <c r="M97" s="1348">
        <f>(C97-E97)*1000/$J$95</f>
        <v>20.553910468559483</v>
      </c>
      <c r="N97" s="1329"/>
      <c r="O97" s="1338">
        <f t="shared" si="7"/>
      </c>
      <c r="P97" s="1596"/>
      <c r="Q97" s="1327" t="s">
        <v>1107</v>
      </c>
      <c r="R97" s="2161"/>
      <c r="S97" s="2161"/>
      <c r="T97" s="2161"/>
      <c r="U97" s="2161"/>
      <c r="V97" s="2161"/>
      <c r="W97" s="2161"/>
    </row>
    <row r="98" spans="1:23" ht="15.75" customHeight="1">
      <c r="A98" s="1288" t="s">
        <v>471</v>
      </c>
      <c r="B98" s="1306" t="s">
        <v>860</v>
      </c>
      <c r="C98" s="312">
        <v>8</v>
      </c>
      <c r="D98" s="1277"/>
      <c r="E98" s="280">
        <v>1</v>
      </c>
      <c r="F98" s="1269"/>
      <c r="G98" s="311">
        <v>1</v>
      </c>
      <c r="H98" s="169"/>
      <c r="I98" s="1362"/>
      <c r="J98" s="1362"/>
      <c r="K98" s="1363"/>
      <c r="L98" s="1363"/>
      <c r="M98" s="1348">
        <f>(C98-E98)*1000/$J$95</f>
        <v>1.2192997735586135</v>
      </c>
      <c r="N98" s="1347"/>
      <c r="O98" s="1338">
        <f t="shared" si="7"/>
      </c>
      <c r="P98" s="1596"/>
      <c r="Q98" s="1327" t="s">
        <v>1108</v>
      </c>
      <c r="R98" s="2161"/>
      <c r="S98" s="2161"/>
      <c r="T98" s="2161"/>
      <c r="U98" s="2161"/>
      <c r="V98" s="2161"/>
      <c r="W98" s="2161"/>
    </row>
    <row r="99" spans="1:23" ht="12.75" customHeight="1">
      <c r="A99" s="1288" t="s">
        <v>472</v>
      </c>
      <c r="B99" s="1307" t="s">
        <v>610</v>
      </c>
      <c r="C99" s="312">
        <v>330</v>
      </c>
      <c r="D99" s="1277"/>
      <c r="E99" s="280">
        <v>23</v>
      </c>
      <c r="F99" s="1269"/>
      <c r="G99" s="311">
        <v>15</v>
      </c>
      <c r="H99" s="173"/>
      <c r="I99" s="1331"/>
      <c r="J99" s="1331"/>
      <c r="K99" s="1355"/>
      <c r="L99" s="1355"/>
      <c r="M99" s="1348">
        <f>(C99-E99)*1000/$J$95</f>
        <v>53.475004354642046</v>
      </c>
      <c r="N99" s="1354"/>
      <c r="O99" s="1338">
        <f t="shared" si="7"/>
      </c>
      <c r="P99" s="1596"/>
      <c r="Q99" s="1327" t="s">
        <v>1109</v>
      </c>
      <c r="R99" s="2161"/>
      <c r="S99" s="2161"/>
      <c r="T99" s="2161"/>
      <c r="U99" s="2161"/>
      <c r="V99" s="2161"/>
      <c r="W99" s="2161"/>
    </row>
    <row r="100" spans="1:23" ht="12.75" customHeight="1">
      <c r="A100" s="1288" t="s">
        <v>473</v>
      </c>
      <c r="B100" s="1305" t="s">
        <v>500</v>
      </c>
      <c r="C100" s="312">
        <f>820+1</f>
        <v>821</v>
      </c>
      <c r="D100" s="1277"/>
      <c r="E100" s="280">
        <f>1090-2</f>
        <v>1088</v>
      </c>
      <c r="F100" s="1269"/>
      <c r="G100" s="311">
        <f>200-1</f>
        <v>199</v>
      </c>
      <c r="H100" s="171"/>
      <c r="I100" s="1366"/>
      <c r="J100" s="1331"/>
      <c r="K100" s="1355"/>
      <c r="L100" s="1355"/>
      <c r="M100" s="1348">
        <f>(C100+C101-G100)*1000/J95</f>
        <v>125.93624804041107</v>
      </c>
      <c r="N100" s="1329"/>
      <c r="O100" s="1338">
        <f t="shared" si="7"/>
      </c>
      <c r="P100" s="1596"/>
      <c r="Q100" s="1327" t="s">
        <v>1110</v>
      </c>
      <c r="R100" s="2161"/>
      <c r="S100" s="2161"/>
      <c r="T100" s="2161"/>
      <c r="U100" s="2161"/>
      <c r="V100" s="2161"/>
      <c r="W100" s="2161"/>
    </row>
    <row r="101" spans="1:23" ht="21.75" customHeight="1">
      <c r="A101" s="1288" t="s">
        <v>474</v>
      </c>
      <c r="B101" s="1305" t="s">
        <v>566</v>
      </c>
      <c r="C101" s="312">
        <v>101</v>
      </c>
      <c r="D101" s="1264"/>
      <c r="E101" s="1277"/>
      <c r="F101" s="1277"/>
      <c r="G101" s="1280"/>
      <c r="H101" s="171"/>
      <c r="I101" s="1331"/>
      <c r="J101" s="1331"/>
      <c r="K101" s="1355"/>
      <c r="L101" s="1355"/>
      <c r="M101" s="1348">
        <f>(((M95*J95/1000)+D95-F95+IF(OR(J95=0,J95=""),C96+C97+C98+C99+C100+C101-E96-E97-E98-E99-G100)+((M86*J86/1000)+D86-F86))+IF(OR(J86=0,J86=""),C87+C88+C89+C90+C91+C92-E87-E88-E89-E90-G91))/(J86)*1000</f>
        <v>785.0548684898101</v>
      </c>
      <c r="N101" s="1329"/>
      <c r="O101" s="1338">
        <f t="shared" si="7"/>
      </c>
      <c r="P101" s="1596"/>
      <c r="Q101" s="2089" t="s">
        <v>1111</v>
      </c>
      <c r="R101" s="2161"/>
      <c r="S101" s="2161"/>
      <c r="T101" s="2161"/>
      <c r="U101" s="2161"/>
      <c r="V101" s="2161"/>
      <c r="W101" s="2161"/>
    </row>
    <row r="102" spans="1:23" ht="12.75" customHeight="1" thickBot="1">
      <c r="A102" s="1317"/>
      <c r="B102" s="1685"/>
      <c r="C102" s="1277"/>
      <c r="D102" s="2125"/>
      <c r="E102" s="2125"/>
      <c r="F102" s="2125"/>
      <c r="G102" s="2126"/>
      <c r="H102" s="1684"/>
      <c r="I102" s="1760"/>
      <c r="J102" s="1341"/>
      <c r="K102" s="1332"/>
      <c r="L102" s="1332"/>
      <c r="M102" s="1365"/>
      <c r="N102" s="1334"/>
      <c r="O102" s="1356"/>
      <c r="P102" s="1351"/>
      <c r="Q102" s="2148"/>
      <c r="R102" s="1670"/>
      <c r="S102" s="1670"/>
      <c r="T102" s="1670"/>
      <c r="U102" s="1670"/>
      <c r="V102" s="1670"/>
      <c r="W102" s="1670"/>
    </row>
    <row r="103" spans="1:17" ht="12.75">
      <c r="A103" s="162"/>
      <c r="B103" s="300"/>
      <c r="C103" s="301"/>
      <c r="D103" s="302"/>
      <c r="E103" s="302"/>
      <c r="F103" s="302"/>
      <c r="G103" s="301"/>
      <c r="H103" s="303"/>
      <c r="I103" s="302"/>
      <c r="J103" s="302"/>
      <c r="K103" s="302"/>
      <c r="L103" s="249"/>
      <c r="M103" s="304"/>
      <c r="N103" s="304"/>
      <c r="O103" s="305"/>
      <c r="P103" s="306"/>
      <c r="Q103" s="307"/>
    </row>
  </sheetData>
  <sheetProtection/>
  <mergeCells count="16">
    <mergeCell ref="R59:W70"/>
    <mergeCell ref="R73:W84"/>
    <mergeCell ref="R87:W93"/>
    <mergeCell ref="R96:W101"/>
    <mergeCell ref="R9:W14"/>
    <mergeCell ref="R17:W22"/>
    <mergeCell ref="R25:W29"/>
    <mergeCell ref="R32:W42"/>
    <mergeCell ref="IV6:IV7"/>
    <mergeCell ref="M4:N6"/>
    <mergeCell ref="Q4:Q7"/>
    <mergeCell ref="I4:L5"/>
    <mergeCell ref="R45:W56"/>
    <mergeCell ref="D5:D7"/>
    <mergeCell ref="F5:F7"/>
    <mergeCell ref="G5:G7"/>
  </mergeCells>
  <conditionalFormatting sqref="G32 G32:G38 G45:G51 G59:G65 G73:G79 G87:G91 G96:G100">
    <cfRule type="expression" priority="59" dxfId="7" stopIfTrue="1">
      <formula>G32&gt;E32</formula>
    </cfRule>
  </conditionalFormatting>
  <conditionalFormatting sqref="G33:G38">
    <cfRule type="expression" priority="58" dxfId="7" stopIfTrue="1">
      <formula>G33&gt;E33</formula>
    </cfRule>
  </conditionalFormatting>
  <conditionalFormatting sqref="G46:G51">
    <cfRule type="expression" priority="47" dxfId="7" stopIfTrue="1">
      <formula>G46&gt;E46</formula>
    </cfRule>
  </conditionalFormatting>
  <conditionalFormatting sqref="G27">
    <cfRule type="expression" priority="22" dxfId="7" stopIfTrue="1">
      <formula>G27&gt;E27</formula>
    </cfRule>
  </conditionalFormatting>
  <conditionalFormatting sqref="G19">
    <cfRule type="expression" priority="21" dxfId="7" stopIfTrue="1">
      <formula>G19&gt;E19</formula>
    </cfRule>
  </conditionalFormatting>
  <conditionalFormatting sqref="G11">
    <cfRule type="expression" priority="20" dxfId="7" stopIfTrue="1">
      <formula>G11&gt;E11</formula>
    </cfRule>
  </conditionalFormatting>
  <dataValidations count="2">
    <dataValidation type="decimal" operator="lessThan" allowBlank="1" showInputMessage="1" showErrorMessage="1" error="Beloppen ska vara i 1000 tal kronor" sqref="C65488:C65489 G65516:K65516 L65532 C65479:C65481 C65463:C65464 E65463:F65464 E65471:F65472 C65471:C65472 E65479:F65481 E65488:F65489">
      <formula1>99999999</formula1>
    </dataValidation>
    <dataValidation type="decimal" operator="lessThan" allowBlank="1" showInputMessage="1" showErrorMessage="1" error="Beloppet ska vara i 1000 tal kronor" sqref="C11 G96:G100 E96:E100 E11 G87:G91 E87:E91 C87:C92 G73:G79 E73:E79 C73:C80 G59:G65 E59:E65 C59:C66 G45:G51 E45:E51 C45:C52 G32:G38 E32:E38 C32:C39 G27 E27 C27 C19 E21 E19 G19 G11 E13 C96:C101">
      <formula1>99999999</formula1>
    </dataValidation>
  </dataValidations>
  <printOptions/>
  <pageMargins left="0.47" right="0.47" top="0.7480314960629921" bottom="0.7480314960629921" header="0.31" footer="0.31496062992125984"/>
  <pageSetup horizontalDpi="600" verticalDpi="600" orientation="landscape" paperSize="9" scale="96" r:id="rId1"/>
  <rowBreaks count="1" manualBreakCount="1">
    <brk id="30" max="255" man="1"/>
  </rowBreaks>
  <ignoredErrors>
    <ignoredError sqref="A8:A13 A16:A21 A24:A27 A31:A102" numberStoredAsText="1"/>
    <ignoredError sqref="O15" formula="1"/>
    <ignoredError sqref="C32:C39 G32:G38 C45:C51 E45:E51 G51 G59:G65 E59:E65 C59:C66 C73:C79 E79 C87:C91 E91:G91 C96:C100 E100:G10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Wizell</dc:creator>
  <cp:keywords/>
  <dc:description/>
  <cp:lastModifiedBy>Brandt Anita NR/OEM-Ö</cp:lastModifiedBy>
  <cp:lastPrinted>2015-09-04T08:17:42Z</cp:lastPrinted>
  <dcterms:created xsi:type="dcterms:W3CDTF">2008-10-17T09:37:32Z</dcterms:created>
  <dcterms:modified xsi:type="dcterms:W3CDTF">2015-09-04T08:19:17Z</dcterms:modified>
  <cp:category/>
  <cp:version/>
  <cp:contentType/>
  <cp:contentStatus/>
</cp:coreProperties>
</file>