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\Publiceringar\2017-08-31\Filer redo för publicering OE0107\"/>
    </mc:Choice>
  </mc:AlternateContent>
  <bookViews>
    <workbookView xWindow="750" yWindow="225" windowWidth="11535" windowHeight="5070" tabRatio="806"/>
  </bookViews>
  <sheets>
    <sheet name="Kn Information" sheetId="2" r:id="rId1"/>
    <sheet name="RR" sheetId="3" r:id="rId2"/>
    <sheet name="BR" sheetId="4" r:id="rId3"/>
    <sheet name="Verks int o kostn" sheetId="5" r:id="rId4"/>
    <sheet name="Skatter, bidrag o fin poster" sheetId="6" r:id="rId5"/>
    <sheet name="Investeringar" sheetId="7" r:id="rId6"/>
    <sheet name="Drift" sheetId="8" r:id="rId7"/>
    <sheet name="Motpart" sheetId="9" r:id="rId8"/>
    <sheet name="Pedagogisk verksamhet" sheetId="10" r:id="rId9"/>
    <sheet name="Äldre o personer funktionsn" sheetId="11" r:id="rId10"/>
    <sheet name="IFO" sheetId="12" r:id="rId11"/>
    <sheet name="Felkontroll" sheetId="16" state="hidden" r:id="rId12"/>
  </sheets>
  <definedNames>
    <definedName name="_GoBack" localSheetId="4">'Skatter, bidrag o fin poster'!$C$9</definedName>
    <definedName name="_HSL1">#REF!</definedName>
    <definedName name="_HSL2">#REF!</definedName>
    <definedName name="Affärsverksamhet">Drift!$Z$104</definedName>
    <definedName name="Balanskravsutredningen">RR!$G$22</definedName>
    <definedName name="Barn_o_ungdomsvård">IFO!#REF!</definedName>
    <definedName name="Barnomsorg">Drift!$Z$47</definedName>
    <definedName name="Barnomsorgen">Drift!$Z$47</definedName>
    <definedName name="Bidrag_o_transfer.">Motpart!$N$47</definedName>
    <definedName name="Block_1">Drift!$Z$14</definedName>
    <definedName name="Block_2">Drift!$Z$26</definedName>
    <definedName name="Block_3">Drift!$Z$39</definedName>
    <definedName name="Block_5">Drift!$Z$70</definedName>
    <definedName name="Block_6">Drift!$Z$87</definedName>
    <definedName name="BR">BR!$A$88</definedName>
    <definedName name="Datum">"2013-10-15"</definedName>
    <definedName name="Datumföre">"2014-10-15"</definedName>
    <definedName name="Drift">Drift!$A$117</definedName>
    <definedName name="EKchef">'Kn Information'!$B$16</definedName>
    <definedName name="Ekcheftel">'Kn Information'!$C$16</definedName>
    <definedName name="Epost1RS">'Kn Information'!$D$14</definedName>
    <definedName name="Epost2RS">'Kn Information'!$D$15</definedName>
    <definedName name="Epostaldre">'Kn Information'!$D$31</definedName>
    <definedName name="EpostAO">'Kn Information'!$D$32</definedName>
    <definedName name="EpostEkchef">'Kn Information'!$D$16</definedName>
    <definedName name="Epostforskola">'Kn Information'!$D$22</definedName>
    <definedName name="Epostgrund">'Kn Information'!$D$23</definedName>
    <definedName name="Epostgymn">'Kn Information'!$D$24</definedName>
    <definedName name="Eposthandik">'Kn Information'!$D$33</definedName>
    <definedName name="Epostifo">'Kn Information'!$D$34</definedName>
    <definedName name="EpostPV">'Kn Information'!$D$21</definedName>
    <definedName name="epostpvchef">'Kn Information'!$D$26</definedName>
    <definedName name="epostvochef">'Kn Information'!$D$35</definedName>
    <definedName name="Epostvux">'Kn Information'!$D$25</definedName>
    <definedName name="Extraordinära_RR">RR!$G$16</definedName>
    <definedName name="Familjerätt">IFO!#REF!</definedName>
    <definedName name="Fritidshem">'Pedagogisk verksamhet'!$P$17</definedName>
    <definedName name="Funktionsnedsättning">'Äldre o personer funktionsn'!#REF!</definedName>
    <definedName name="Förskola">'Pedagogisk verksamhet'!$P$9</definedName>
    <definedName name="Förskoleklass">'Pedagogisk verksamhet'!$P$25</definedName>
    <definedName name="Grundskola">'Pedagogisk verksamhet'!$P$32</definedName>
    <definedName name="Grundsärskola">'Pedagogisk verksamhet'!$P$45</definedName>
    <definedName name="Grundvux">'Pedagogisk verksamhet'!$P$87</definedName>
    <definedName name="Gymnasieskola">'Pedagogisk verksamhet'!$P$59</definedName>
    <definedName name="Gymnasiesärskola">'Pedagogisk verksamhet'!$P$73</definedName>
    <definedName name="Gymnvux">'Pedagogisk verksamhet'!$P$96</definedName>
    <definedName name="inv19_64">1</definedName>
    <definedName name="inv7_15">'Kn Information'!$B$5</definedName>
    <definedName name="invanare">'Kn Information'!$B$4</definedName>
    <definedName name="Investeringar">Investeringar!$I$71</definedName>
    <definedName name="Invånare">'Kn Information'!$B$4</definedName>
    <definedName name="Kontaktpers1RS">'Kn Information'!$B$14</definedName>
    <definedName name="Kontaktpers2RS">'Kn Information'!$B$15</definedName>
    <definedName name="Kontaktpersaldre">'Kn Information'!$B$32</definedName>
    <definedName name="KontaktpersAO">'Kn Information'!$B$31</definedName>
    <definedName name="Kontaktpersforskola">'Kn Information'!$B$22</definedName>
    <definedName name="Kontaktpersgrund">'Kn Information'!$B$23</definedName>
    <definedName name="Kontaktpersgymn">'Kn Information'!$B$24</definedName>
    <definedName name="Kontaktpershandik">'Kn Information'!$B$33</definedName>
    <definedName name="Kontaktpersifo">'Kn Information'!$B$34</definedName>
    <definedName name="KontaktpersPV">'Kn Information'!$B$21</definedName>
    <definedName name="Kontaktpersvux">'Kn Information'!$B$25</definedName>
    <definedName name="Kontakttel1RS">'Kn Information'!$C$14</definedName>
    <definedName name="Kontakttel2RS">'Kn Information'!$C$15</definedName>
    <definedName name="Kontakttelaldre">'Kn Information'!$C$32</definedName>
    <definedName name="KontakttelAO">'Kn Information'!$C$31</definedName>
    <definedName name="Kontakttelforskola">'Kn Information'!$C$22</definedName>
    <definedName name="Kontakttelgrund">'Kn Information'!$C$23</definedName>
    <definedName name="Kontakttelgymn">'Kn Information'!$C$24</definedName>
    <definedName name="Kontakttelhandik">'Kn Information'!$C$33</definedName>
    <definedName name="Kontakttelifo">'Kn Information'!$C$34</definedName>
    <definedName name="Kontakttelpv">'Kn Information'!$C$21</definedName>
    <definedName name="Kontakttelpvchef">'Kn Information'!$C$26</definedName>
    <definedName name="Kontakttelvux">'Kn Information'!$C$25</definedName>
    <definedName name="Kontakttevochef">'Kn Information'!$C$35</definedName>
    <definedName name="Kontrollblad_1">#REF!</definedName>
    <definedName name="Kontrollblad_10">#REF!</definedName>
    <definedName name="Kontrollblad_11">#REF!</definedName>
    <definedName name="Kontrollblad_12">#REF!</definedName>
    <definedName name="Kontrollblad_13">#REF!</definedName>
    <definedName name="Kontrollblad_14">#REF!</definedName>
    <definedName name="Kontrollblad_2">#REF!</definedName>
    <definedName name="Kontrollblad_3">#REF!</definedName>
    <definedName name="Kontrollblad_4">#REF!</definedName>
    <definedName name="Kontrollblad_5">#REF!</definedName>
    <definedName name="Kontrollblad_6">#REF!</definedName>
    <definedName name="Kontrollblad_7">#REF!</definedName>
    <definedName name="Kontrollblad_8">#REF!</definedName>
    <definedName name="Kontrollblad_9">#REF!</definedName>
    <definedName name="Köp_huvudvht">Motpart!$C$47</definedName>
    <definedName name="LSS">'Äldre o personer funktionsn'!#REF!</definedName>
    <definedName name="Pvchef">'Kn Information'!$B$26</definedName>
    <definedName name="Skatter_bidrag_finpost">'Skatter, bidrag o fin poster'!$H$35</definedName>
    <definedName name="solver_cvg" localSheetId="5" hidden="1">0.0001</definedName>
    <definedName name="solver_drv" localSheetId="5" hidden="1">1</definedName>
    <definedName name="solver_est" localSheetId="5" hidden="1">1</definedName>
    <definedName name="solver_itr" localSheetId="5" hidden="1">100</definedName>
    <definedName name="solver_lin" localSheetId="5" hidden="1">2</definedName>
    <definedName name="solver_neg" localSheetId="5" hidden="1">2</definedName>
    <definedName name="solver_num" localSheetId="5" hidden="1">0</definedName>
    <definedName name="solver_nwt" localSheetId="5" hidden="1">1</definedName>
    <definedName name="solver_opt" localSheetId="5" hidden="1">Investeringar!$D$22</definedName>
    <definedName name="solver_pre" localSheetId="5" hidden="1">0.000001</definedName>
    <definedName name="solver_scl" localSheetId="5" hidden="1">2</definedName>
    <definedName name="solver_sho" localSheetId="5" hidden="1">2</definedName>
    <definedName name="solver_tim" localSheetId="5" hidden="1">100</definedName>
    <definedName name="solver_tol" localSheetId="5" hidden="1">0.05</definedName>
    <definedName name="solver_typ" localSheetId="5" hidden="1">1</definedName>
    <definedName name="solver_val" localSheetId="5" hidden="1">0</definedName>
    <definedName name="Spec_intäkter">Motpart!$Y$47</definedName>
    <definedName name="Spec_VoO">'Äldre o personer funktionsn'!$R$45</definedName>
    <definedName name="Utbildning">Drift!$Z$62</definedName>
    <definedName name="_xlnm.Print_Area" localSheetId="6">Drift!$A$1:$AE$125</definedName>
    <definedName name="_xlnm.Print_Area" localSheetId="5">Investeringar!$A$1:$Y$75</definedName>
    <definedName name="_xlnm.Print_Area" localSheetId="0">'Kn Information'!$A$1:$E$50</definedName>
    <definedName name="_xlnm.Print_Area" localSheetId="7">Motpart!$A$1:$AC$51</definedName>
    <definedName name="_xlnm.Print_Area" localSheetId="1">RR!$A$1:$K$44</definedName>
    <definedName name="_xlnm.Print_Area" localSheetId="9">'Äldre o personer funktionsn'!$A$1:$U$59</definedName>
    <definedName name="_xlnm.Print_Titles" localSheetId="6">Drift!$A:$B,Drift!$1:$10</definedName>
    <definedName name="_xlnm.Print_Titles" localSheetId="7">Motpart!$A:$B,Motpart!$1:$8</definedName>
    <definedName name="Vht_int">'Verks int o kostn'!$F$34</definedName>
    <definedName name="Vht_kostn">'Verks int o kostn'!$F$76</definedName>
    <definedName name="VOchef">'Kn Information'!$B$35</definedName>
    <definedName name="Vuxna_missb.">IFO!#REF!</definedName>
    <definedName name="Z_27C9E95B_0E2B_454F_B637_1CECC9579A10_.wvu.Cols" localSheetId="6" hidden="1">Drift!$AG:$IT</definedName>
    <definedName name="Z_27C9E95B_0E2B_454F_B637_1CECC9579A10_.wvu.Cols" localSheetId="10" hidden="1">IFO!$T:$IV</definedName>
    <definedName name="Z_27C9E95B_0E2B_454F_B637_1CECC9579A10_.wvu.Cols" localSheetId="5" hidden="1">Investeringar!$M:$IV</definedName>
    <definedName name="Z_27C9E95B_0E2B_454F_B637_1CECC9579A10_.wvu.Cols" localSheetId="0" hidden="1">'Kn Information'!$F:$IV</definedName>
    <definedName name="Z_27C9E95B_0E2B_454F_B637_1CECC9579A10_.wvu.Cols" localSheetId="7" hidden="1">Motpart!$AD:$IV</definedName>
    <definedName name="Z_27C9E95B_0E2B_454F_B637_1CECC9579A10_.wvu.Cols" localSheetId="8" hidden="1">'Pedagogisk verksamhet'!$H:$H,'Pedagogisk verksamhet'!$W:$IV</definedName>
    <definedName name="Z_27C9E95B_0E2B_454F_B637_1CECC9579A10_.wvu.Cols" localSheetId="1" hidden="1">RR!$L:$IV</definedName>
    <definedName name="Z_27C9E95B_0E2B_454F_B637_1CECC9579A10_.wvu.Cols" localSheetId="4" hidden="1">'Skatter, bidrag o fin poster'!$T:$IV</definedName>
    <definedName name="Z_27C9E95B_0E2B_454F_B637_1CECC9579A10_.wvu.Cols" localSheetId="9" hidden="1">'Äldre o personer funktionsn'!$V:$IV</definedName>
    <definedName name="Z_27C9E95B_0E2B_454F_B637_1CECC9579A10_.wvu.Rows" localSheetId="2" hidden="1">BR!$93:$65536,BR!#REF!,BR!$89:$89</definedName>
    <definedName name="Z_27C9E95B_0E2B_454F_B637_1CECC9579A10_.wvu.Rows" localSheetId="6" hidden="1">Drift!$302:$65536,Drift!$126:$301</definedName>
    <definedName name="Z_27C9E95B_0E2B_454F_B637_1CECC9579A10_.wvu.Rows" localSheetId="10" hidden="1">IFO!$39:$65536,IFO!$38:$38</definedName>
    <definedName name="Z_27C9E95B_0E2B_454F_B637_1CECC9579A10_.wvu.Rows" localSheetId="5" hidden="1">Investeringar!$86:$65536,Investeringar!$76:$85</definedName>
    <definedName name="Z_27C9E95B_0E2B_454F_B637_1CECC9579A10_.wvu.Rows" localSheetId="0" hidden="1">'Kn Information'!$51:$65536</definedName>
    <definedName name="Z_27C9E95B_0E2B_454F_B637_1CECC9579A10_.wvu.Rows" localSheetId="7" hidden="1">Motpart!$53:$65536</definedName>
    <definedName name="Z_27C9E95B_0E2B_454F_B637_1CECC9579A10_.wvu.Rows" localSheetId="8" hidden="1">'Pedagogisk verksamhet'!$104:$65536</definedName>
    <definedName name="Z_27C9E95B_0E2B_454F_B637_1CECC9579A10_.wvu.Rows" localSheetId="1" hidden="1">RR!$58:$65536,RR!$50:$50</definedName>
    <definedName name="Z_27C9E95B_0E2B_454F_B637_1CECC9579A10_.wvu.Rows" localSheetId="4" hidden="1">'Skatter, bidrag o fin poster'!$45:$65536,'Skatter, bidrag o fin poster'!$44:$44</definedName>
    <definedName name="Z_27C9E95B_0E2B_454F_B637_1CECC9579A10_.wvu.Rows" localSheetId="3" hidden="1">'Verks int o kostn'!#REF!,'Verks int o kostn'!#REF!</definedName>
    <definedName name="Z_27C9E95B_0E2B_454F_B637_1CECC9579A10_.wvu.Rows" localSheetId="9" hidden="1">'Äldre o personer funktionsn'!$60:$65536</definedName>
    <definedName name="Z_97D6DB71_3F4C_4C5F_8C5B_51E3EBF78932_.wvu.Cols" localSheetId="2" hidden="1">BR!#REF!</definedName>
    <definedName name="Z_97D6DB71_3F4C_4C5F_8C5B_51E3EBF78932_.wvu.Cols" localSheetId="6" hidden="1">Drift!#REF!</definedName>
    <definedName name="Z_97D6DB71_3F4C_4C5F_8C5B_51E3EBF78932_.wvu.Cols" localSheetId="10" hidden="1">IFO!#REF!</definedName>
    <definedName name="Z_97D6DB71_3F4C_4C5F_8C5B_51E3EBF78932_.wvu.Cols" localSheetId="5" hidden="1">Investeringar!#REF!</definedName>
    <definedName name="Z_97D6DB71_3F4C_4C5F_8C5B_51E3EBF78932_.wvu.Cols" localSheetId="0" hidden="1">'Kn Information'!#REF!</definedName>
    <definedName name="Z_97D6DB71_3F4C_4C5F_8C5B_51E3EBF78932_.wvu.Cols" localSheetId="7" hidden="1">Motpart!#REF!</definedName>
    <definedName name="Z_97D6DB71_3F4C_4C5F_8C5B_51E3EBF78932_.wvu.Cols" localSheetId="1" hidden="1">RR!#REF!</definedName>
    <definedName name="Z_97D6DB71_3F4C_4C5F_8C5B_51E3EBF78932_.wvu.Cols" localSheetId="4" hidden="1">'Skatter, bidrag o fin poster'!#REF!</definedName>
    <definedName name="Z_97D6DB71_3F4C_4C5F_8C5B_51E3EBF78932_.wvu.Cols" localSheetId="3" hidden="1">'Verks int o kostn'!#REF!</definedName>
    <definedName name="Z_97D6DB71_3F4C_4C5F_8C5B_51E3EBF78932_.wvu.Cols" localSheetId="9" hidden="1">'Äldre o personer funktionsn'!#REF!</definedName>
    <definedName name="Z_97D6DB71_3F4C_4C5F_8C5B_51E3EBF78932_.wvu.PrintTitles" localSheetId="6" hidden="1">Drift!$A:$B,Drift!$1:$10</definedName>
    <definedName name="Z_97D6DB71_3F4C_4C5F_8C5B_51E3EBF78932_.wvu.Rows" localSheetId="2" hidden="1">BR!#REF!,BR!#REF!,BR!$89:$89</definedName>
    <definedName name="Z_97D6DB71_3F4C_4C5F_8C5B_51E3EBF78932_.wvu.Rows" localSheetId="6" hidden="1">Drift!#REF!,Drift!$126:$301</definedName>
    <definedName name="Z_97D6DB71_3F4C_4C5F_8C5B_51E3EBF78932_.wvu.Rows" localSheetId="10" hidden="1">IFO!#REF!,IFO!$38:$38</definedName>
    <definedName name="Z_97D6DB71_3F4C_4C5F_8C5B_51E3EBF78932_.wvu.Rows" localSheetId="5" hidden="1">Investeringar!#REF!,Investeringar!$76:$85</definedName>
    <definedName name="Z_97D6DB71_3F4C_4C5F_8C5B_51E3EBF78932_.wvu.Rows" localSheetId="0" hidden="1">'Kn Information'!#REF!</definedName>
    <definedName name="Z_97D6DB71_3F4C_4C5F_8C5B_51E3EBF78932_.wvu.Rows" localSheetId="7" hidden="1">Motpart!#REF!</definedName>
    <definedName name="Z_97D6DB71_3F4C_4C5F_8C5B_51E3EBF78932_.wvu.Rows" localSheetId="8" hidden="1">'Pedagogisk verksamhet'!#REF!</definedName>
    <definedName name="Z_97D6DB71_3F4C_4C5F_8C5B_51E3EBF78932_.wvu.Rows" localSheetId="1" hidden="1">RR!#REF!,RR!$50:$50</definedName>
    <definedName name="Z_97D6DB71_3F4C_4C5F_8C5B_51E3EBF78932_.wvu.Rows" localSheetId="4" hidden="1">'Skatter, bidrag o fin poster'!#REF!,'Skatter, bidrag o fin poster'!$44:$44</definedName>
    <definedName name="Z_97D6DB71_3F4C_4C5F_8C5B_51E3EBF78932_.wvu.Rows" localSheetId="3" hidden="1">'Verks int o kostn'!#REF!</definedName>
    <definedName name="Z_97D6DB71_3F4C_4C5F_8C5B_51E3EBF78932_.wvu.Rows" localSheetId="9" hidden="1">'Äldre o personer funktionsn'!#REF!</definedName>
    <definedName name="Z_99FBDEB7_DD08_4F57_81F4_3C180403E153_.wvu.Cols" localSheetId="2" hidden="1">BR!#REF!</definedName>
    <definedName name="Z_99FBDEB7_DD08_4F57_81F4_3C180403E153_.wvu.Cols" localSheetId="6" hidden="1">Drift!#REF!</definedName>
    <definedName name="Z_99FBDEB7_DD08_4F57_81F4_3C180403E153_.wvu.Cols" localSheetId="10" hidden="1">IFO!#REF!</definedName>
    <definedName name="Z_99FBDEB7_DD08_4F57_81F4_3C180403E153_.wvu.Cols" localSheetId="5" hidden="1">Investeringar!#REF!</definedName>
    <definedName name="Z_99FBDEB7_DD08_4F57_81F4_3C180403E153_.wvu.Cols" localSheetId="0" hidden="1">'Kn Information'!#REF!</definedName>
    <definedName name="Z_99FBDEB7_DD08_4F57_81F4_3C180403E153_.wvu.Cols" localSheetId="7" hidden="1">Motpart!#REF!</definedName>
    <definedName name="Z_99FBDEB7_DD08_4F57_81F4_3C180403E153_.wvu.Cols" localSheetId="1" hidden="1">RR!#REF!</definedName>
    <definedName name="Z_99FBDEB7_DD08_4F57_81F4_3C180403E153_.wvu.Cols" localSheetId="4" hidden="1">'Skatter, bidrag o fin poster'!#REF!</definedName>
    <definedName name="Z_99FBDEB7_DD08_4F57_81F4_3C180403E153_.wvu.Cols" localSheetId="3" hidden="1">'Verks int o kostn'!#REF!</definedName>
    <definedName name="Z_99FBDEB7_DD08_4F57_81F4_3C180403E153_.wvu.Cols" localSheetId="9" hidden="1">'Äldre o personer funktionsn'!#REF!</definedName>
    <definedName name="Z_99FBDEB7_DD08_4F57_81F4_3C180403E153_.wvu.Rows" localSheetId="2" hidden="1">BR!#REF!,BR!#REF!,BR!$89:$89</definedName>
    <definedName name="Z_99FBDEB7_DD08_4F57_81F4_3C180403E153_.wvu.Rows" localSheetId="6" hidden="1">Drift!#REF!,Drift!$126:$301</definedName>
    <definedName name="Z_99FBDEB7_DD08_4F57_81F4_3C180403E153_.wvu.Rows" localSheetId="10" hidden="1">IFO!#REF!,IFO!$38:$38</definedName>
    <definedName name="Z_99FBDEB7_DD08_4F57_81F4_3C180403E153_.wvu.Rows" localSheetId="5" hidden="1">Investeringar!#REF!,Investeringar!$76:$85</definedName>
    <definedName name="Z_99FBDEB7_DD08_4F57_81F4_3C180403E153_.wvu.Rows" localSheetId="0" hidden="1">'Kn Information'!#REF!</definedName>
    <definedName name="Z_99FBDEB7_DD08_4F57_81F4_3C180403E153_.wvu.Rows" localSheetId="7" hidden="1">Motpart!#REF!</definedName>
    <definedName name="Z_99FBDEB7_DD08_4F57_81F4_3C180403E153_.wvu.Rows" localSheetId="8" hidden="1">'Pedagogisk verksamhet'!#REF!</definedName>
    <definedName name="Z_99FBDEB7_DD08_4F57_81F4_3C180403E153_.wvu.Rows" localSheetId="1" hidden="1">RR!#REF!,RR!$50:$50</definedName>
    <definedName name="Z_99FBDEB7_DD08_4F57_81F4_3C180403E153_.wvu.Rows" localSheetId="4" hidden="1">'Skatter, bidrag o fin poster'!#REF!,'Skatter, bidrag o fin poster'!$44:$44</definedName>
    <definedName name="Z_99FBDEB7_DD08_4F57_81F4_3C180403E153_.wvu.Rows" localSheetId="3" hidden="1">'Verks int o kostn'!#REF!</definedName>
    <definedName name="Z_99FBDEB7_DD08_4F57_81F4_3C180403E153_.wvu.Rows" localSheetId="9" hidden="1">'Äldre o personer funktionsn'!#REF!</definedName>
    <definedName name="Z_FA98FB86_76DB_4A0E_BD94_632DC6B7BC81_.wvu.Cols" localSheetId="6" hidden="1">Drift!$AG:$IT</definedName>
    <definedName name="Z_FA98FB86_76DB_4A0E_BD94_632DC6B7BC81_.wvu.Cols" localSheetId="10" hidden="1">IFO!$T:$IV</definedName>
    <definedName name="Z_FA98FB86_76DB_4A0E_BD94_632DC6B7BC81_.wvu.Cols" localSheetId="5" hidden="1">Investeringar!$M:$IV</definedName>
    <definedName name="Z_FA98FB86_76DB_4A0E_BD94_632DC6B7BC81_.wvu.Cols" localSheetId="0" hidden="1">'Kn Information'!$F:$IV</definedName>
    <definedName name="Z_FA98FB86_76DB_4A0E_BD94_632DC6B7BC81_.wvu.Cols" localSheetId="7" hidden="1">Motpart!$AD:$IV</definedName>
    <definedName name="Z_FA98FB86_76DB_4A0E_BD94_632DC6B7BC81_.wvu.Cols" localSheetId="8" hidden="1">'Pedagogisk verksamhet'!$H:$H,'Pedagogisk verksamhet'!$W:$IV</definedName>
    <definedName name="Z_FA98FB86_76DB_4A0E_BD94_632DC6B7BC81_.wvu.Cols" localSheetId="1" hidden="1">RR!$L:$IV</definedName>
    <definedName name="Z_FA98FB86_76DB_4A0E_BD94_632DC6B7BC81_.wvu.Cols" localSheetId="4" hidden="1">'Skatter, bidrag o fin poster'!$T:$IV</definedName>
    <definedName name="Z_FA98FB86_76DB_4A0E_BD94_632DC6B7BC81_.wvu.Cols" localSheetId="9" hidden="1">'Äldre o personer funktionsn'!$V:$IV</definedName>
    <definedName name="Z_FA98FB86_76DB_4A0E_BD94_632DC6B7BC81_.wvu.Rows" localSheetId="2" hidden="1">BR!$93:$65536,BR!#REF!,BR!$89:$89</definedName>
    <definedName name="Z_FA98FB86_76DB_4A0E_BD94_632DC6B7BC81_.wvu.Rows" localSheetId="6" hidden="1">Drift!$302:$65536,Drift!$126:$301</definedName>
    <definedName name="Z_FA98FB86_76DB_4A0E_BD94_632DC6B7BC81_.wvu.Rows" localSheetId="10" hidden="1">IFO!$39:$65536,IFO!$38:$38</definedName>
    <definedName name="Z_FA98FB86_76DB_4A0E_BD94_632DC6B7BC81_.wvu.Rows" localSheetId="5" hidden="1">Investeringar!$86:$65536,Investeringar!$76:$85</definedName>
    <definedName name="Z_FA98FB86_76DB_4A0E_BD94_632DC6B7BC81_.wvu.Rows" localSheetId="0" hidden="1">'Kn Information'!$51:$65536</definedName>
    <definedName name="Z_FA98FB86_76DB_4A0E_BD94_632DC6B7BC81_.wvu.Rows" localSheetId="7" hidden="1">Motpart!$53:$65536</definedName>
    <definedName name="Z_FA98FB86_76DB_4A0E_BD94_632DC6B7BC81_.wvu.Rows" localSheetId="8" hidden="1">'Pedagogisk verksamhet'!$104:$65536</definedName>
    <definedName name="Z_FA98FB86_76DB_4A0E_BD94_632DC6B7BC81_.wvu.Rows" localSheetId="1" hidden="1">RR!$58:$65536,RR!$50:$50</definedName>
    <definedName name="Z_FA98FB86_76DB_4A0E_BD94_632DC6B7BC81_.wvu.Rows" localSheetId="4" hidden="1">'Skatter, bidrag o fin poster'!$45:$65536,'Skatter, bidrag o fin poster'!$44:$44</definedName>
    <definedName name="Z_FA98FB86_76DB_4A0E_BD94_632DC6B7BC81_.wvu.Rows" localSheetId="3" hidden="1">'Verks int o kostn'!#REF!</definedName>
    <definedName name="Z_FA98FB86_76DB_4A0E_BD94_632DC6B7BC81_.wvu.Rows" localSheetId="9" hidden="1">'Äldre o personer funktionsn'!$60:$65536</definedName>
    <definedName name="År">2016</definedName>
    <definedName name="Äldre">'Äldre o personer funktionsn'!#REF!</definedName>
    <definedName name="Övr._o_ek.bistånd">IFO!#REF!</definedName>
  </definedNames>
  <calcPr calcId="162913"/>
  <customWorkbookViews>
    <customWorkbookView name="SCB - Personlig vy" guid="{27C9E95B-0E2B-454F-B637-1CECC9579A10}" mergeInterval="0" personalView="1" maximized="1" windowWidth="1916" windowHeight="881" tabRatio="806" activeSheetId="4"/>
    <customWorkbookView name="scbingj - Personlig vy" guid="{99FBDEB7-DD08-4F57-81F4-3C180403E153}" mergeInterval="0" personalView="1" maximized="1" xWindow="1" yWindow="1" windowWidth="1916" windowHeight="839" tabRatio="806" activeSheetId="10"/>
    <customWorkbookView name="scbelie - Personlig vy" guid="{97D6DB71-3F4C-4C5F-8C5B-51E3EBF78932}" mergeInterval="0" personalView="1" maximized="1" xWindow="1" yWindow="1" windowWidth="1676" windowHeight="829" tabRatio="806" activeSheetId="11"/>
    <customWorkbookView name="Håkan Wilén - Personlig vy" guid="{FA98FB86-76DB-4A0E-BD94-632DC6B7BC81}" mergeInterval="0" personalView="1" maximized="1" xWindow="1" yWindow="1" windowWidth="1680" windowHeight="829" tabRatio="806" activeSheetId="3"/>
  </customWorkbookViews>
</workbook>
</file>

<file path=xl/calcChain.xml><?xml version="1.0" encoding="utf-8"?>
<calcChain xmlns="http://schemas.openxmlformats.org/spreadsheetml/2006/main">
  <c r="D16" i="11" l="1"/>
  <c r="D14" i="11"/>
  <c r="D13" i="11"/>
  <c r="C66" i="10" l="1"/>
  <c r="C65" i="10"/>
  <c r="C64" i="10"/>
  <c r="C62" i="10"/>
  <c r="C61" i="10"/>
  <c r="C60" i="10"/>
  <c r="C59" i="10"/>
  <c r="C34" i="10"/>
  <c r="C38" i="10"/>
  <c r="C37" i="10"/>
  <c r="C32" i="10"/>
  <c r="I96" i="10"/>
  <c r="I87" i="10"/>
  <c r="I73" i="10"/>
  <c r="I59" i="10"/>
  <c r="I45" i="10"/>
  <c r="I32" i="10"/>
  <c r="I25" i="10"/>
  <c r="I17" i="10"/>
  <c r="I9" i="10"/>
  <c r="M35" i="11" l="1"/>
  <c r="M34" i="11"/>
  <c r="M27" i="11"/>
  <c r="M24" i="11"/>
  <c r="M23" i="11"/>
  <c r="M21" i="11"/>
  <c r="M17" i="11"/>
  <c r="M16" i="11"/>
  <c r="M15" i="11"/>
  <c r="M14" i="11"/>
  <c r="M12" i="11"/>
  <c r="I34" i="12"/>
  <c r="I32" i="12"/>
  <c r="I31" i="12"/>
  <c r="I30" i="12"/>
  <c r="I29" i="12"/>
  <c r="I24" i="12"/>
  <c r="I22" i="12"/>
  <c r="I21" i="12"/>
  <c r="I16" i="12"/>
  <c r="I14" i="12"/>
  <c r="I12" i="12"/>
  <c r="M33" i="12"/>
  <c r="L36" i="11"/>
  <c r="L35" i="11"/>
  <c r="L34" i="11"/>
  <c r="L33" i="11"/>
  <c r="L32" i="11"/>
  <c r="L31" i="11"/>
  <c r="L28" i="11"/>
  <c r="L27" i="11"/>
  <c r="L26" i="11"/>
  <c r="L25" i="11"/>
  <c r="L24" i="11"/>
  <c r="L23" i="11"/>
  <c r="L22" i="11"/>
  <c r="L21" i="11"/>
  <c r="L18" i="11"/>
  <c r="L17" i="11"/>
  <c r="L16" i="11"/>
  <c r="L15" i="11"/>
  <c r="L14" i="11"/>
  <c r="L13" i="11"/>
  <c r="L12" i="11"/>
  <c r="D80" i="4" l="1"/>
  <c r="S1" i="9" l="1"/>
  <c r="D35" i="5"/>
  <c r="AC41" i="9" l="1"/>
  <c r="E56" i="4" l="1"/>
  <c r="E33" i="4"/>
  <c r="E21" i="12" l="1"/>
  <c r="E29" i="12"/>
  <c r="E30" i="12"/>
  <c r="E32" i="12"/>
  <c r="D32" i="12"/>
  <c r="D30" i="12"/>
  <c r="D29" i="12"/>
  <c r="D21" i="12"/>
  <c r="E12" i="12"/>
  <c r="D12" i="12"/>
  <c r="E35" i="12"/>
  <c r="D35" i="12"/>
  <c r="E27" i="12"/>
  <c r="D27" i="12"/>
  <c r="E26" i="12"/>
  <c r="D26" i="12"/>
  <c r="E19" i="12"/>
  <c r="D19" i="12"/>
  <c r="E18" i="12"/>
  <c r="D18" i="12"/>
  <c r="D31" i="11"/>
  <c r="D21" i="11"/>
  <c r="D12" i="11"/>
  <c r="R6" i="11"/>
  <c r="K26" i="11"/>
  <c r="M26" i="11" s="1"/>
  <c r="O26" i="11" s="1"/>
  <c r="K25" i="11"/>
  <c r="D37" i="11"/>
  <c r="D29" i="11"/>
  <c r="D19" i="11"/>
  <c r="O7" i="11"/>
  <c r="M8" i="11"/>
  <c r="N8" i="11"/>
  <c r="E12" i="11"/>
  <c r="C49" i="11" s="1"/>
  <c r="F12" i="11"/>
  <c r="G12" i="11"/>
  <c r="H12" i="11"/>
  <c r="I12" i="11"/>
  <c r="J12" i="11"/>
  <c r="K13" i="11"/>
  <c r="K14" i="11"/>
  <c r="O14" i="11" s="1"/>
  <c r="K15" i="11"/>
  <c r="O15" i="11" s="1"/>
  <c r="K16" i="11"/>
  <c r="O16" i="11" s="1"/>
  <c r="K17" i="11"/>
  <c r="O17" i="11" s="1"/>
  <c r="K18" i="11"/>
  <c r="C19" i="11"/>
  <c r="E19" i="11"/>
  <c r="F19" i="11"/>
  <c r="G19" i="11"/>
  <c r="H19" i="11"/>
  <c r="I19" i="11"/>
  <c r="J19" i="11"/>
  <c r="E21" i="11"/>
  <c r="F21" i="11"/>
  <c r="G21" i="11"/>
  <c r="H21" i="11"/>
  <c r="I21" i="11"/>
  <c r="J21" i="11"/>
  <c r="K22" i="11"/>
  <c r="M22" i="11" s="1"/>
  <c r="O22" i="11" s="1"/>
  <c r="K23" i="11"/>
  <c r="O23" i="11"/>
  <c r="K24" i="11"/>
  <c r="O24" i="11"/>
  <c r="K27" i="11"/>
  <c r="O27" i="11"/>
  <c r="K28" i="11"/>
  <c r="C29" i="11"/>
  <c r="E29" i="11"/>
  <c r="F29" i="11"/>
  <c r="G29" i="11"/>
  <c r="H29" i="11"/>
  <c r="I29" i="11"/>
  <c r="J29" i="11"/>
  <c r="E31" i="11"/>
  <c r="C57" i="11" s="1"/>
  <c r="F31" i="11"/>
  <c r="G31" i="11"/>
  <c r="H31" i="11"/>
  <c r="I31" i="11"/>
  <c r="J31" i="11"/>
  <c r="K32" i="11"/>
  <c r="K33" i="11"/>
  <c r="K34" i="11"/>
  <c r="O34" i="11" s="1"/>
  <c r="K35" i="11"/>
  <c r="O35" i="11"/>
  <c r="K36" i="11"/>
  <c r="C37" i="11"/>
  <c r="E37" i="11"/>
  <c r="F37" i="11"/>
  <c r="G37" i="11"/>
  <c r="H37" i="11"/>
  <c r="I37" i="11"/>
  <c r="J37" i="11"/>
  <c r="D98" i="7"/>
  <c r="C98" i="7"/>
  <c r="C82" i="7"/>
  <c r="H15" i="7"/>
  <c r="G15" i="7"/>
  <c r="D25" i="5"/>
  <c r="D31" i="4"/>
  <c r="D26" i="4"/>
  <c r="D33" i="4" s="1"/>
  <c r="M33" i="4" s="1"/>
  <c r="O83" i="8"/>
  <c r="AA109" i="8"/>
  <c r="AC109" i="8" s="1"/>
  <c r="AA89" i="8"/>
  <c r="AC89" i="8" s="1"/>
  <c r="AA88" i="8"/>
  <c r="AC88" i="8" s="1"/>
  <c r="AA84" i="8"/>
  <c r="AA83" i="8"/>
  <c r="AC83" i="8" s="1"/>
  <c r="AA82" i="8"/>
  <c r="AA81" i="8"/>
  <c r="AC81" i="8" s="1"/>
  <c r="AA80" i="8"/>
  <c r="AA79" i="8"/>
  <c r="AC79" i="8" s="1"/>
  <c r="AA77" i="8"/>
  <c r="AA76" i="8"/>
  <c r="AA75" i="8"/>
  <c r="AA74" i="8"/>
  <c r="AC74" i="8" s="1"/>
  <c r="AA73" i="8"/>
  <c r="AA67" i="8"/>
  <c r="AA51" i="8"/>
  <c r="AA42" i="8"/>
  <c r="AC42" i="8" s="1"/>
  <c r="AA37" i="8"/>
  <c r="AC37" i="8" s="1"/>
  <c r="AA36" i="8"/>
  <c r="AC36" i="8" s="1"/>
  <c r="AA30" i="8"/>
  <c r="AA17" i="8"/>
  <c r="AC17" i="8" s="1"/>
  <c r="N79" i="4"/>
  <c r="N78" i="4"/>
  <c r="N77" i="4"/>
  <c r="N76" i="4"/>
  <c r="N75" i="4"/>
  <c r="M69" i="4"/>
  <c r="N66" i="4"/>
  <c r="N56" i="4"/>
  <c r="N49" i="4"/>
  <c r="M48" i="4"/>
  <c r="M46" i="4"/>
  <c r="N19" i="4"/>
  <c r="N17" i="4"/>
  <c r="N12" i="4"/>
  <c r="M19" i="4"/>
  <c r="A1" i="3"/>
  <c r="J16" i="3"/>
  <c r="J13" i="3"/>
  <c r="J9" i="3"/>
  <c r="J8" i="3"/>
  <c r="J7" i="3"/>
  <c r="I16" i="3"/>
  <c r="I13" i="3"/>
  <c r="I9" i="3"/>
  <c r="I8" i="3"/>
  <c r="I7" i="3"/>
  <c r="D10" i="3"/>
  <c r="J10" i="3" s="1"/>
  <c r="C10" i="3"/>
  <c r="I10" i="3" s="1"/>
  <c r="A14" i="2"/>
  <c r="A1" i="11"/>
  <c r="A1" i="10"/>
  <c r="C1" i="9"/>
  <c r="R1" i="8"/>
  <c r="C1" i="8"/>
  <c r="A1" i="7"/>
  <c r="A1" i="6"/>
  <c r="A1" i="5"/>
  <c r="A1" i="4"/>
  <c r="A1" i="12"/>
  <c r="A37" i="16"/>
  <c r="M40" i="10"/>
  <c r="M79" i="10"/>
  <c r="M51" i="10"/>
  <c r="M100" i="10"/>
  <c r="M97" i="10"/>
  <c r="M98" i="10"/>
  <c r="M99" i="10"/>
  <c r="M96" i="10"/>
  <c r="M91" i="10"/>
  <c r="M88" i="10"/>
  <c r="M89" i="10"/>
  <c r="M90" i="10"/>
  <c r="M87" i="10"/>
  <c r="M84" i="10"/>
  <c r="M83" i="10"/>
  <c r="M81" i="10"/>
  <c r="M74" i="10"/>
  <c r="M75" i="10"/>
  <c r="M76" i="10"/>
  <c r="M77" i="10"/>
  <c r="M78" i="10"/>
  <c r="M73" i="10"/>
  <c r="M56" i="10"/>
  <c r="M55" i="10"/>
  <c r="M53" i="10"/>
  <c r="M48" i="10"/>
  <c r="M49" i="10"/>
  <c r="M50" i="10"/>
  <c r="M46" i="10"/>
  <c r="M47" i="10"/>
  <c r="M45" i="10"/>
  <c r="M30" i="10"/>
  <c r="M28" i="10"/>
  <c r="M27" i="10"/>
  <c r="M19" i="10"/>
  <c r="M14" i="10"/>
  <c r="M12" i="10"/>
  <c r="M11" i="10"/>
  <c r="M42" i="10"/>
  <c r="M38" i="10"/>
  <c r="M33" i="10"/>
  <c r="M34" i="10"/>
  <c r="M35" i="10"/>
  <c r="M36" i="10"/>
  <c r="M37" i="10"/>
  <c r="M32" i="10"/>
  <c r="X119" i="8"/>
  <c r="A26" i="16" s="1"/>
  <c r="J72" i="5"/>
  <c r="J83" i="4"/>
  <c r="J21" i="4"/>
  <c r="M70" i="10"/>
  <c r="M69" i="10"/>
  <c r="M67" i="10"/>
  <c r="M65" i="10"/>
  <c r="M60" i="10"/>
  <c r="M61" i="10"/>
  <c r="M62" i="10"/>
  <c r="M63" i="10"/>
  <c r="M64" i="10"/>
  <c r="M59" i="10"/>
  <c r="I11" i="7"/>
  <c r="I10" i="7"/>
  <c r="I9" i="7"/>
  <c r="I7" i="7"/>
  <c r="J29" i="7"/>
  <c r="A3" i="16"/>
  <c r="A14" i="16"/>
  <c r="A22" i="16"/>
  <c r="A24" i="16"/>
  <c r="A35" i="16"/>
  <c r="A36" i="16"/>
  <c r="J1" i="12"/>
  <c r="M6" i="12"/>
  <c r="K7" i="12"/>
  <c r="I8" i="12"/>
  <c r="J8" i="12"/>
  <c r="F12" i="12"/>
  <c r="G12" i="12"/>
  <c r="G13" i="12"/>
  <c r="H13" i="12" s="1"/>
  <c r="H14" i="12"/>
  <c r="K14" i="12"/>
  <c r="H15" i="12"/>
  <c r="I15" i="12" s="1"/>
  <c r="K15" i="12" s="1"/>
  <c r="H16" i="12"/>
  <c r="K16" i="12"/>
  <c r="H17" i="12"/>
  <c r="I17" i="12" s="1"/>
  <c r="K17" i="12"/>
  <c r="C18" i="12"/>
  <c r="F18" i="12"/>
  <c r="G18" i="12"/>
  <c r="C19" i="12"/>
  <c r="F19" i="12"/>
  <c r="G19" i="12"/>
  <c r="F21" i="12"/>
  <c r="G21" i="12"/>
  <c r="G22" i="12"/>
  <c r="H22" i="12" s="1"/>
  <c r="K22" i="12"/>
  <c r="H23" i="12"/>
  <c r="I23" i="12" s="1"/>
  <c r="K23" i="12"/>
  <c r="H24" i="12"/>
  <c r="K24" i="12"/>
  <c r="H25" i="12"/>
  <c r="I25" i="12" s="1"/>
  <c r="K25" i="12"/>
  <c r="C26" i="12"/>
  <c r="F26" i="12"/>
  <c r="G26" i="12"/>
  <c r="C27" i="12"/>
  <c r="F27" i="12"/>
  <c r="F29" i="12"/>
  <c r="F30" i="12"/>
  <c r="F32" i="12"/>
  <c r="G32" i="12"/>
  <c r="H33" i="12"/>
  <c r="I33" i="12" s="1"/>
  <c r="K33" i="12" s="1"/>
  <c r="H34" i="12"/>
  <c r="K34" i="12" s="1"/>
  <c r="C35" i="12"/>
  <c r="F35" i="12"/>
  <c r="G35" i="12"/>
  <c r="P1" i="11"/>
  <c r="A55" i="16"/>
  <c r="A56" i="16"/>
  <c r="G41" i="11"/>
  <c r="G42" i="11"/>
  <c r="E49" i="11"/>
  <c r="F49" i="11"/>
  <c r="G49" i="11"/>
  <c r="H49" i="11"/>
  <c r="I49" i="11"/>
  <c r="J49" i="11"/>
  <c r="K49" i="11"/>
  <c r="L49" i="11"/>
  <c r="M49" i="11"/>
  <c r="C50" i="11"/>
  <c r="C51" i="11"/>
  <c r="C52" i="11"/>
  <c r="E53" i="11"/>
  <c r="F53" i="11"/>
  <c r="G53" i="11"/>
  <c r="H53" i="11"/>
  <c r="I53" i="11"/>
  <c r="J53" i="11"/>
  <c r="K53" i="11"/>
  <c r="L53" i="11"/>
  <c r="M53" i="11"/>
  <c r="C54" i="11"/>
  <c r="C55" i="11"/>
  <c r="C56" i="11"/>
  <c r="E57" i="11"/>
  <c r="F57" i="11"/>
  <c r="G57" i="11"/>
  <c r="H57" i="11"/>
  <c r="I57" i="11"/>
  <c r="J57" i="11"/>
  <c r="K57" i="11"/>
  <c r="L57" i="11"/>
  <c r="M57" i="11"/>
  <c r="C58" i="11"/>
  <c r="J1" i="10"/>
  <c r="D8" i="10"/>
  <c r="F8" i="10"/>
  <c r="M13" i="10" s="1"/>
  <c r="G8" i="10"/>
  <c r="C10" i="10"/>
  <c r="E12" i="10"/>
  <c r="D16" i="10"/>
  <c r="M22" i="10" s="1"/>
  <c r="F16" i="10"/>
  <c r="M21" i="10" s="1"/>
  <c r="G16" i="10"/>
  <c r="C18" i="10"/>
  <c r="E20" i="10"/>
  <c r="D24" i="10"/>
  <c r="F24" i="10"/>
  <c r="M29" i="10" s="1"/>
  <c r="G24" i="10"/>
  <c r="C26" i="10"/>
  <c r="D31" i="10"/>
  <c r="F31" i="10"/>
  <c r="M41" i="10" s="1"/>
  <c r="G31" i="10"/>
  <c r="D44" i="10"/>
  <c r="F44" i="10"/>
  <c r="M54" i="10" s="1"/>
  <c r="G44" i="10"/>
  <c r="A38" i="16"/>
  <c r="D58" i="10"/>
  <c r="F58" i="10"/>
  <c r="M68" i="10" s="1"/>
  <c r="G58" i="10"/>
  <c r="D72" i="10"/>
  <c r="F72" i="10"/>
  <c r="M82" i="10" s="1"/>
  <c r="G72" i="10"/>
  <c r="D86" i="10"/>
  <c r="F86" i="10"/>
  <c r="G86" i="10"/>
  <c r="D95" i="10"/>
  <c r="F95" i="10"/>
  <c r="G95" i="10"/>
  <c r="K1" i="9"/>
  <c r="AA1" i="9"/>
  <c r="C13" i="9"/>
  <c r="M13" i="9" s="1"/>
  <c r="N13" i="9"/>
  <c r="X13" i="9" s="1"/>
  <c r="C14" i="9"/>
  <c r="M14" i="9" s="1"/>
  <c r="N14" i="9"/>
  <c r="X14" i="9" s="1"/>
  <c r="C15" i="9"/>
  <c r="M15" i="9"/>
  <c r="N15" i="9"/>
  <c r="X15" i="9" s="1"/>
  <c r="C16" i="9"/>
  <c r="M16" i="9" s="1"/>
  <c r="N16" i="9"/>
  <c r="X16" i="9" s="1"/>
  <c r="C17" i="9"/>
  <c r="M17" i="9" s="1"/>
  <c r="N17" i="9"/>
  <c r="X17" i="9" s="1"/>
  <c r="C18" i="9"/>
  <c r="M18" i="9" s="1"/>
  <c r="N18" i="9"/>
  <c r="X18" i="9" s="1"/>
  <c r="C19" i="9"/>
  <c r="M19" i="9" s="1"/>
  <c r="N19" i="9"/>
  <c r="X19" i="9" s="1"/>
  <c r="C20" i="9"/>
  <c r="M20" i="9" s="1"/>
  <c r="N20" i="9"/>
  <c r="X20" i="9" s="1"/>
  <c r="C21" i="9"/>
  <c r="M21" i="9" s="1"/>
  <c r="N21" i="9"/>
  <c r="X21" i="9" s="1"/>
  <c r="C22" i="9"/>
  <c r="M22" i="9" s="1"/>
  <c r="N22" i="9"/>
  <c r="X22" i="9" s="1"/>
  <c r="C23" i="9"/>
  <c r="M23" i="9" s="1"/>
  <c r="N23" i="9"/>
  <c r="X23" i="9" s="1"/>
  <c r="C24" i="9"/>
  <c r="M24" i="9" s="1"/>
  <c r="N24" i="9"/>
  <c r="X24" i="9" s="1"/>
  <c r="C25" i="9"/>
  <c r="M25" i="9" s="1"/>
  <c r="N25" i="9"/>
  <c r="X25" i="9" s="1"/>
  <c r="C26" i="9"/>
  <c r="M26" i="9" s="1"/>
  <c r="N26" i="9"/>
  <c r="X26" i="9" s="1"/>
  <c r="C27" i="9"/>
  <c r="M27" i="9" s="1"/>
  <c r="N27" i="9"/>
  <c r="X27" i="9" s="1"/>
  <c r="C28" i="9"/>
  <c r="M28" i="9" s="1"/>
  <c r="N28" i="9"/>
  <c r="X28" i="9" s="1"/>
  <c r="C29" i="9"/>
  <c r="M29" i="9" s="1"/>
  <c r="N29" i="9"/>
  <c r="X29" i="9" s="1"/>
  <c r="C30" i="9"/>
  <c r="M30" i="9" s="1"/>
  <c r="N30" i="9"/>
  <c r="X30" i="9" s="1"/>
  <c r="C31" i="9"/>
  <c r="M31" i="9" s="1"/>
  <c r="N31" i="9"/>
  <c r="X31" i="9" s="1"/>
  <c r="M32" i="9"/>
  <c r="X32" i="9"/>
  <c r="C33" i="9"/>
  <c r="N33" i="9"/>
  <c r="X33" i="9" s="1"/>
  <c r="M34" i="9"/>
  <c r="X34" i="9"/>
  <c r="C35" i="9"/>
  <c r="M35" i="9" s="1"/>
  <c r="N35" i="9"/>
  <c r="X35" i="9" s="1"/>
  <c r="C36" i="9"/>
  <c r="M36" i="9" s="1"/>
  <c r="N36" i="9"/>
  <c r="X36" i="9" s="1"/>
  <c r="C37" i="9"/>
  <c r="M37" i="9" s="1"/>
  <c r="N37" i="9"/>
  <c r="X37" i="9" s="1"/>
  <c r="C39" i="9"/>
  <c r="M39" i="9" s="1"/>
  <c r="N39" i="9"/>
  <c r="X39" i="9" s="1"/>
  <c r="D40" i="9"/>
  <c r="E40" i="9"/>
  <c r="F40" i="9"/>
  <c r="G40" i="9"/>
  <c r="H40" i="9"/>
  <c r="I40" i="9"/>
  <c r="J40" i="9"/>
  <c r="K40" i="9"/>
  <c r="L40" i="9"/>
  <c r="O40" i="9"/>
  <c r="P40" i="9"/>
  <c r="Q40" i="9"/>
  <c r="R40" i="9"/>
  <c r="S40" i="9"/>
  <c r="T40" i="9"/>
  <c r="U40" i="9"/>
  <c r="V40" i="9"/>
  <c r="W40" i="9"/>
  <c r="Y40" i="9"/>
  <c r="Z40" i="9"/>
  <c r="AA40" i="9"/>
  <c r="AB40" i="9"/>
  <c r="AC40" i="9"/>
  <c r="Y41" i="9"/>
  <c r="A30" i="16"/>
  <c r="Z41" i="9"/>
  <c r="A31" i="16"/>
  <c r="AA41" i="9"/>
  <c r="A32" i="16"/>
  <c r="AB41" i="9"/>
  <c r="A33" i="16"/>
  <c r="A34" i="16"/>
  <c r="A28" i="16"/>
  <c r="W13" i="8"/>
  <c r="W14" i="8"/>
  <c r="W15" i="8"/>
  <c r="W16" i="8"/>
  <c r="C17" i="8"/>
  <c r="D17" i="8"/>
  <c r="E17" i="8"/>
  <c r="F17" i="8"/>
  <c r="C9" i="9" s="1"/>
  <c r="M9" i="9" s="1"/>
  <c r="G17" i="8"/>
  <c r="H17" i="8"/>
  <c r="N9" i="9" s="1"/>
  <c r="I17" i="8"/>
  <c r="J17" i="8"/>
  <c r="L17" i="8"/>
  <c r="M17" i="8"/>
  <c r="N17" i="8"/>
  <c r="R17" i="8"/>
  <c r="S17" i="8"/>
  <c r="T17" i="8"/>
  <c r="V17" i="8"/>
  <c r="W19" i="8"/>
  <c r="W20" i="8"/>
  <c r="W21" i="8"/>
  <c r="W22" i="8"/>
  <c r="W23" i="8"/>
  <c r="W24" i="8"/>
  <c r="W25" i="8"/>
  <c r="W26" i="8"/>
  <c r="W27" i="8"/>
  <c r="W28" i="8"/>
  <c r="W29" i="8"/>
  <c r="C30" i="8"/>
  <c r="D30" i="8"/>
  <c r="E30" i="8"/>
  <c r="F30" i="8"/>
  <c r="C10" i="9" s="1"/>
  <c r="M10" i="9" s="1"/>
  <c r="G30" i="8"/>
  <c r="H30" i="8"/>
  <c r="N10" i="9" s="1"/>
  <c r="X10" i="9" s="1"/>
  <c r="I30" i="8"/>
  <c r="J30" i="8"/>
  <c r="L30" i="8"/>
  <c r="M30" i="8"/>
  <c r="N30" i="8"/>
  <c r="R30" i="8"/>
  <c r="S30" i="8"/>
  <c r="T30" i="8"/>
  <c r="V30" i="8"/>
  <c r="W33" i="8"/>
  <c r="W34" i="8"/>
  <c r="W35" i="8"/>
  <c r="W36" i="8"/>
  <c r="C37" i="8"/>
  <c r="D37" i="8"/>
  <c r="E37" i="8"/>
  <c r="F37" i="8"/>
  <c r="C11" i="9" s="1"/>
  <c r="G37" i="8"/>
  <c r="H37" i="8"/>
  <c r="N11" i="9" s="1"/>
  <c r="X11" i="9" s="1"/>
  <c r="I37" i="8"/>
  <c r="J37" i="8"/>
  <c r="L37" i="8"/>
  <c r="M37" i="8"/>
  <c r="N37" i="8"/>
  <c r="R37" i="8"/>
  <c r="S37" i="8"/>
  <c r="T37" i="8"/>
  <c r="V37" i="8"/>
  <c r="W39" i="8"/>
  <c r="W40" i="8"/>
  <c r="W41" i="8"/>
  <c r="C42" i="8"/>
  <c r="D42" i="8"/>
  <c r="E42" i="8"/>
  <c r="F42" i="8"/>
  <c r="C12" i="9" s="1"/>
  <c r="M12" i="9" s="1"/>
  <c r="G42" i="8"/>
  <c r="H42" i="8"/>
  <c r="I42" i="8"/>
  <c r="J42" i="8"/>
  <c r="L42" i="8"/>
  <c r="M42" i="8"/>
  <c r="N42" i="8"/>
  <c r="R42" i="8"/>
  <c r="S42" i="8"/>
  <c r="T42" i="8"/>
  <c r="V42" i="8"/>
  <c r="V43" i="8" s="1"/>
  <c r="W46" i="8"/>
  <c r="W47" i="8"/>
  <c r="W48" i="8"/>
  <c r="W49" i="8"/>
  <c r="W50" i="8"/>
  <c r="C51" i="8"/>
  <c r="D51" i="8"/>
  <c r="E51" i="8"/>
  <c r="F51" i="8"/>
  <c r="AE51" i="8" s="1"/>
  <c r="G51" i="8"/>
  <c r="H51" i="8"/>
  <c r="I51" i="8"/>
  <c r="J51" i="8"/>
  <c r="L51" i="8"/>
  <c r="M51" i="8"/>
  <c r="N51" i="8"/>
  <c r="R51" i="8"/>
  <c r="AE49" i="8" s="1"/>
  <c r="S51" i="8"/>
  <c r="T51" i="8"/>
  <c r="V51" i="8"/>
  <c r="W53" i="8"/>
  <c r="W54" i="8"/>
  <c r="W55" i="8"/>
  <c r="W56" i="8"/>
  <c r="W57" i="8"/>
  <c r="C58" i="8"/>
  <c r="C67" i="8" s="1"/>
  <c r="D58" i="8"/>
  <c r="E58" i="8"/>
  <c r="E67" i="8" s="1"/>
  <c r="F58" i="8"/>
  <c r="F67" i="8" s="1"/>
  <c r="F68" i="8" s="1"/>
  <c r="G58" i="8"/>
  <c r="G67" i="8" s="1"/>
  <c r="G68" i="8" s="1"/>
  <c r="H58" i="8"/>
  <c r="H67" i="8" s="1"/>
  <c r="H68" i="8" s="1"/>
  <c r="I58" i="8"/>
  <c r="I67" i="8" s="1"/>
  <c r="J58" i="8"/>
  <c r="J67" i="8" s="1"/>
  <c r="J68" i="8" s="1"/>
  <c r="L58" i="8"/>
  <c r="L67" i="8" s="1"/>
  <c r="L68" i="8" s="1"/>
  <c r="M58" i="8"/>
  <c r="M67" i="8" s="1"/>
  <c r="M68" i="8" s="1"/>
  <c r="N58" i="8"/>
  <c r="N67" i="8" s="1"/>
  <c r="R58" i="8"/>
  <c r="R67" i="8" s="1"/>
  <c r="S58" i="8"/>
  <c r="S67" i="8" s="1"/>
  <c r="S68" i="8" s="1"/>
  <c r="T58" i="8"/>
  <c r="T67" i="8" s="1"/>
  <c r="V58" i="8"/>
  <c r="V67" i="8" s="1"/>
  <c r="V68" i="8" s="1"/>
  <c r="W60" i="8"/>
  <c r="W61" i="8"/>
  <c r="W63" i="8"/>
  <c r="W64" i="8"/>
  <c r="W65" i="8"/>
  <c r="W66" i="8"/>
  <c r="D67" i="8"/>
  <c r="D68" i="8" s="1"/>
  <c r="W70" i="8"/>
  <c r="W71" i="8"/>
  <c r="W73" i="8"/>
  <c r="W74" i="8"/>
  <c r="W75" i="8"/>
  <c r="W76" i="8"/>
  <c r="C77" i="8"/>
  <c r="D77" i="8"/>
  <c r="E77" i="8"/>
  <c r="F77" i="8"/>
  <c r="AE78" i="8" s="1"/>
  <c r="G77" i="8"/>
  <c r="H77" i="8"/>
  <c r="I77" i="8"/>
  <c r="J77" i="8"/>
  <c r="L77" i="8"/>
  <c r="M77" i="8"/>
  <c r="N77" i="8"/>
  <c r="R77" i="8"/>
  <c r="S77" i="8"/>
  <c r="T77" i="8"/>
  <c r="V77" i="8"/>
  <c r="W79" i="8"/>
  <c r="W80" i="8"/>
  <c r="W81" i="8"/>
  <c r="W82" i="8"/>
  <c r="C83" i="8"/>
  <c r="D83" i="8"/>
  <c r="E83" i="8"/>
  <c r="F83" i="8"/>
  <c r="G83" i="8"/>
  <c r="H83" i="8"/>
  <c r="I83" i="8"/>
  <c r="J83" i="8"/>
  <c r="L83" i="8"/>
  <c r="M83" i="8"/>
  <c r="N83" i="8"/>
  <c r="R83" i="8"/>
  <c r="S83" i="8"/>
  <c r="T83" i="8"/>
  <c r="V83" i="8"/>
  <c r="W84" i="8"/>
  <c r="W87" i="8"/>
  <c r="W88" i="8"/>
  <c r="C89" i="8"/>
  <c r="D89" i="8"/>
  <c r="E89" i="8"/>
  <c r="F89" i="8"/>
  <c r="G89" i="8"/>
  <c r="H89" i="8"/>
  <c r="I89" i="8"/>
  <c r="J89" i="8"/>
  <c r="L89" i="8"/>
  <c r="M89" i="8"/>
  <c r="N89" i="8"/>
  <c r="R89" i="8"/>
  <c r="S89" i="8"/>
  <c r="T89" i="8"/>
  <c r="V89" i="8"/>
  <c r="W93" i="8"/>
  <c r="W94" i="8"/>
  <c r="W95" i="8"/>
  <c r="W96" i="8"/>
  <c r="C97" i="8"/>
  <c r="D97" i="8"/>
  <c r="E97" i="8"/>
  <c r="F97" i="8"/>
  <c r="G97" i="8"/>
  <c r="H97" i="8"/>
  <c r="I97" i="8"/>
  <c r="J97" i="8"/>
  <c r="L97" i="8"/>
  <c r="M97" i="8"/>
  <c r="N97" i="8"/>
  <c r="R97" i="8"/>
  <c r="S97" i="8"/>
  <c r="T97" i="8"/>
  <c r="V97" i="8"/>
  <c r="W99" i="8"/>
  <c r="W100" i="8"/>
  <c r="W101" i="8"/>
  <c r="C102" i="8"/>
  <c r="D102" i="8"/>
  <c r="E102" i="8"/>
  <c r="F102" i="8"/>
  <c r="G102" i="8"/>
  <c r="H102" i="8"/>
  <c r="I102" i="8"/>
  <c r="J102" i="8"/>
  <c r="L102" i="8"/>
  <c r="M102" i="8"/>
  <c r="N102" i="8"/>
  <c r="R102" i="8"/>
  <c r="S102" i="8"/>
  <c r="T102" i="8"/>
  <c r="V102" i="8"/>
  <c r="W104" i="8"/>
  <c r="W105" i="8"/>
  <c r="W106" i="8"/>
  <c r="W107" i="8"/>
  <c r="C108" i="8"/>
  <c r="D108" i="8"/>
  <c r="E108" i="8"/>
  <c r="F108" i="8"/>
  <c r="G108" i="8"/>
  <c r="H108" i="8"/>
  <c r="I108" i="8"/>
  <c r="J108" i="8"/>
  <c r="L108" i="8"/>
  <c r="M108" i="8"/>
  <c r="N108" i="8"/>
  <c r="R108" i="8"/>
  <c r="S108" i="8"/>
  <c r="T108" i="8"/>
  <c r="V108" i="8"/>
  <c r="P111" i="8"/>
  <c r="W111" i="8"/>
  <c r="P112" i="8"/>
  <c r="I117" i="8" s="1"/>
  <c r="M114" i="8"/>
  <c r="A1" i="16"/>
  <c r="W122" i="8"/>
  <c r="P125" i="8"/>
  <c r="H1" i="7"/>
  <c r="C15" i="7"/>
  <c r="C16" i="7" s="1"/>
  <c r="D15" i="7"/>
  <c r="D16" i="7" s="1"/>
  <c r="A16" i="16" s="1"/>
  <c r="F15" i="7"/>
  <c r="F16" i="7" s="1"/>
  <c r="A19" i="16" s="1"/>
  <c r="J25" i="7"/>
  <c r="J26" i="7"/>
  <c r="J27" i="7"/>
  <c r="J28" i="7"/>
  <c r="J30" i="7"/>
  <c r="J31" i="7"/>
  <c r="J32" i="7"/>
  <c r="C33" i="7"/>
  <c r="D33" i="7"/>
  <c r="E33" i="7"/>
  <c r="F33" i="7"/>
  <c r="J34" i="7"/>
  <c r="J35" i="7"/>
  <c r="J37" i="7"/>
  <c r="J38" i="7"/>
  <c r="J39" i="7"/>
  <c r="C40" i="7"/>
  <c r="C41" i="7" s="1"/>
  <c r="D40" i="7"/>
  <c r="D41" i="7" s="1"/>
  <c r="E40" i="7"/>
  <c r="E41" i="7" s="1"/>
  <c r="F40" i="7"/>
  <c r="F41" i="7" s="1"/>
  <c r="J42" i="7"/>
  <c r="J43" i="7"/>
  <c r="J44" i="7"/>
  <c r="J45" i="7"/>
  <c r="J46" i="7"/>
  <c r="C47" i="7"/>
  <c r="D47" i="7"/>
  <c r="E47" i="7"/>
  <c r="F47" i="7"/>
  <c r="F49" i="7" s="1"/>
  <c r="J48" i="7"/>
  <c r="J66" i="7"/>
  <c r="J50" i="7"/>
  <c r="J51" i="7"/>
  <c r="J52" i="7"/>
  <c r="J53" i="7"/>
  <c r="C54" i="7"/>
  <c r="D54" i="7"/>
  <c r="E54" i="7"/>
  <c r="F54" i="7"/>
  <c r="J55" i="7"/>
  <c r="J56" i="7"/>
  <c r="J57" i="7"/>
  <c r="C58" i="7"/>
  <c r="D58" i="7"/>
  <c r="E58" i="7"/>
  <c r="F58" i="7"/>
  <c r="F64" i="7" s="1"/>
  <c r="J59" i="7"/>
  <c r="J60" i="7"/>
  <c r="J61" i="7"/>
  <c r="J62" i="7"/>
  <c r="C63" i="7"/>
  <c r="C64" i="7"/>
  <c r="D63" i="7"/>
  <c r="E63" i="7"/>
  <c r="F63" i="7"/>
  <c r="J65" i="7"/>
  <c r="C9" i="6"/>
  <c r="A13" i="16"/>
  <c r="D14" i="6"/>
  <c r="C11" i="3"/>
  <c r="I46" i="3" s="1"/>
  <c r="K16" i="6"/>
  <c r="N16" i="6"/>
  <c r="D28" i="6"/>
  <c r="K30" i="6"/>
  <c r="D39" i="6"/>
  <c r="C12" i="3" s="1"/>
  <c r="D12" i="3" s="1"/>
  <c r="J1" i="5"/>
  <c r="N8" i="5"/>
  <c r="D12" i="5"/>
  <c r="N12" i="5" s="1"/>
  <c r="N13" i="5"/>
  <c r="D16" i="5"/>
  <c r="N16" i="5" s="1"/>
  <c r="A6" i="16"/>
  <c r="A7" i="16"/>
  <c r="N21" i="5"/>
  <c r="A8" i="16"/>
  <c r="J26" i="5"/>
  <c r="J27" i="5"/>
  <c r="D29" i="5"/>
  <c r="N29" i="5" s="1"/>
  <c r="D34" i="5"/>
  <c r="A11" i="16"/>
  <c r="D44" i="5"/>
  <c r="A9" i="16"/>
  <c r="N45" i="5"/>
  <c r="C46" i="5"/>
  <c r="N47" i="5"/>
  <c r="N48" i="5"/>
  <c r="C51" i="5"/>
  <c r="D52" i="5"/>
  <c r="D57" i="5"/>
  <c r="N57" i="5" s="1"/>
  <c r="N59" i="5"/>
  <c r="N66" i="5"/>
  <c r="D70" i="5"/>
  <c r="D75" i="5"/>
  <c r="F1" i="4"/>
  <c r="D12" i="4"/>
  <c r="M12" i="4" s="1"/>
  <c r="J14" i="4"/>
  <c r="J16" i="4"/>
  <c r="D17" i="4"/>
  <c r="M17" i="4" s="1"/>
  <c r="E18" i="4"/>
  <c r="E34" i="4" s="1"/>
  <c r="J23" i="4"/>
  <c r="J28" i="4"/>
  <c r="N33" i="4"/>
  <c r="D49" i="4"/>
  <c r="M49" i="4" s="1"/>
  <c r="D56" i="4"/>
  <c r="A5" i="16"/>
  <c r="D66" i="4"/>
  <c r="M66" i="4" s="1"/>
  <c r="E67" i="4"/>
  <c r="M75" i="4"/>
  <c r="M76" i="4"/>
  <c r="M77" i="4"/>
  <c r="M78" i="4"/>
  <c r="A4" i="16"/>
  <c r="M79" i="4"/>
  <c r="E80" i="4"/>
  <c r="N80" i="4" s="1"/>
  <c r="G1" i="3"/>
  <c r="I44" i="3"/>
  <c r="J44" i="3"/>
  <c r="I48" i="3"/>
  <c r="E49" i="7"/>
  <c r="A20" i="16"/>
  <c r="A60" i="16"/>
  <c r="A58" i="16"/>
  <c r="A54" i="16"/>
  <c r="A61" i="16"/>
  <c r="A59" i="16"/>
  <c r="A21" i="16"/>
  <c r="A39" i="16"/>
  <c r="A12" i="16"/>
  <c r="N70" i="5"/>
  <c r="A18" i="16"/>
  <c r="A10" i="16"/>
  <c r="E15" i="7"/>
  <c r="E16" i="7" s="1"/>
  <c r="D67" i="4"/>
  <c r="P14" i="8"/>
  <c r="P23" i="8"/>
  <c r="P25" i="8"/>
  <c r="P35" i="8"/>
  <c r="P48" i="8"/>
  <c r="P54" i="8"/>
  <c r="C31" i="10" s="1"/>
  <c r="P61" i="8"/>
  <c r="C95" i="10" s="1"/>
  <c r="P65" i="8"/>
  <c r="P74" i="8"/>
  <c r="P76" i="8"/>
  <c r="P84" i="8"/>
  <c r="C32" i="12" s="1"/>
  <c r="P100" i="8"/>
  <c r="P16" i="8"/>
  <c r="P20" i="8"/>
  <c r="P27" i="8"/>
  <c r="P29" i="8"/>
  <c r="P41" i="8"/>
  <c r="P50" i="8"/>
  <c r="C16" i="10" s="1"/>
  <c r="P56" i="8"/>
  <c r="C58" i="10" s="1"/>
  <c r="P64" i="8"/>
  <c r="P81" i="8"/>
  <c r="C29" i="12" s="1"/>
  <c r="P95" i="8"/>
  <c r="P106" i="8"/>
  <c r="P15" i="8"/>
  <c r="P22" i="8"/>
  <c r="P24" i="8"/>
  <c r="P34" i="8"/>
  <c r="P36" i="8"/>
  <c r="P47" i="8"/>
  <c r="C8" i="10" s="1"/>
  <c r="P55" i="8"/>
  <c r="C44" i="10" s="1"/>
  <c r="P60" i="8"/>
  <c r="C86" i="10" s="1"/>
  <c r="P66" i="8"/>
  <c r="P75" i="8"/>
  <c r="P80" i="8"/>
  <c r="Z80" i="8" s="1"/>
  <c r="P101" i="8"/>
  <c r="P105" i="8"/>
  <c r="P21" i="8"/>
  <c r="P26" i="8"/>
  <c r="P28" i="8"/>
  <c r="P40" i="8"/>
  <c r="P49" i="8"/>
  <c r="P57" i="8"/>
  <c r="C72" i="10" s="1"/>
  <c r="P63" i="8"/>
  <c r="P71" i="8"/>
  <c r="P79" i="8"/>
  <c r="C12" i="12" s="1"/>
  <c r="P82" i="8"/>
  <c r="Z82" i="8" s="1"/>
  <c r="P94" i="8"/>
  <c r="P96" i="8"/>
  <c r="P107" i="8"/>
  <c r="P88" i="8"/>
  <c r="Z88" i="8" s="1"/>
  <c r="P70" i="8"/>
  <c r="P93" i="8"/>
  <c r="O97" i="8"/>
  <c r="P46" i="8"/>
  <c r="O51" i="8"/>
  <c r="P19" i="8"/>
  <c r="O30" i="8"/>
  <c r="AC80" i="8"/>
  <c r="P13" i="8"/>
  <c r="O17" i="8"/>
  <c r="P39" i="8"/>
  <c r="O42" i="8"/>
  <c r="AC84" i="8"/>
  <c r="O58" i="8"/>
  <c r="O67" i="8" s="1"/>
  <c r="P53" i="8"/>
  <c r="P104" i="8"/>
  <c r="O108" i="8"/>
  <c r="P33" i="8"/>
  <c r="O37" i="8"/>
  <c r="P87" i="8"/>
  <c r="O89" i="8"/>
  <c r="P99" i="8"/>
  <c r="O102" i="8"/>
  <c r="P73" i="8"/>
  <c r="O77" i="8"/>
  <c r="O85" i="8" s="1"/>
  <c r="A23" i="16"/>
  <c r="AC82" i="8"/>
  <c r="AC73" i="8"/>
  <c r="AE74" i="8"/>
  <c r="AC75" i="8"/>
  <c r="M33" i="9"/>
  <c r="AC51" i="8"/>
  <c r="AC77" i="8"/>
  <c r="AC30" i="8"/>
  <c r="I11" i="3"/>
  <c r="E31" i="12"/>
  <c r="C53" i="11"/>
  <c r="I12" i="3"/>
  <c r="M33" i="11" l="1"/>
  <c r="O33" i="11" s="1"/>
  <c r="M32" i="11"/>
  <c r="O32" i="11" s="1"/>
  <c r="M13" i="11"/>
  <c r="O13" i="11" s="1"/>
  <c r="H18" i="12"/>
  <c r="I18" i="12" s="1"/>
  <c r="K18" i="12" s="1"/>
  <c r="I13" i="12"/>
  <c r="K13" i="12" s="1"/>
  <c r="Z76" i="8"/>
  <c r="AE52" i="8"/>
  <c r="P37" i="8"/>
  <c r="P43" i="8" s="1"/>
  <c r="R68" i="8"/>
  <c r="O68" i="8"/>
  <c r="P17" i="8"/>
  <c r="AE86" i="8"/>
  <c r="AE31" i="8"/>
  <c r="AE72" i="8"/>
  <c r="I109" i="8"/>
  <c r="E109" i="8"/>
  <c r="L85" i="8"/>
  <c r="AE30" i="8"/>
  <c r="P30" i="8"/>
  <c r="M85" i="8"/>
  <c r="M90" i="8" s="1"/>
  <c r="H85" i="8"/>
  <c r="AE80" i="8" s="1"/>
  <c r="AE83" i="8"/>
  <c r="AE84" i="8"/>
  <c r="G27" i="12"/>
  <c r="M20" i="10"/>
  <c r="M58" i="10"/>
  <c r="M66" i="10" s="1"/>
  <c r="M44" i="10"/>
  <c r="M52" i="10" s="1"/>
  <c r="M72" i="10"/>
  <c r="M80" i="10" s="1"/>
  <c r="M95" i="10"/>
  <c r="G31" i="12"/>
  <c r="AA90" i="8"/>
  <c r="AC90" i="8" s="1"/>
  <c r="E68" i="8"/>
  <c r="E90" i="8" s="1"/>
  <c r="E110" i="8" s="1"/>
  <c r="E113" i="8" s="1"/>
  <c r="P42" i="8"/>
  <c r="R109" i="8"/>
  <c r="J109" i="8"/>
  <c r="F109" i="8"/>
  <c r="AE110" i="8" s="1"/>
  <c r="E44" i="10"/>
  <c r="E95" i="10"/>
  <c r="E31" i="10"/>
  <c r="E8" i="10"/>
  <c r="T43" i="8"/>
  <c r="M43" i="8"/>
  <c r="D43" i="8"/>
  <c r="W42" i="8"/>
  <c r="R43" i="8"/>
  <c r="J43" i="8"/>
  <c r="W17" i="8"/>
  <c r="W89" i="8"/>
  <c r="V85" i="8"/>
  <c r="V90" i="8" s="1"/>
  <c r="E85" i="8"/>
  <c r="AC78" i="8"/>
  <c r="E86" i="10"/>
  <c r="E72" i="10"/>
  <c r="E24" i="10"/>
  <c r="E16" i="10"/>
  <c r="N43" i="8"/>
  <c r="I43" i="8"/>
  <c r="E43" i="8"/>
  <c r="I45" i="3"/>
  <c r="I40" i="3"/>
  <c r="C15" i="3"/>
  <c r="D11" i="3"/>
  <c r="J41" i="3" s="1"/>
  <c r="D74" i="5"/>
  <c r="N44" i="5"/>
  <c r="C17" i="7"/>
  <c r="A15" i="16"/>
  <c r="M80" i="4"/>
  <c r="D18" i="4"/>
  <c r="D34" i="4" s="1"/>
  <c r="J82" i="4"/>
  <c r="D76" i="5"/>
  <c r="A2" i="16" s="1"/>
  <c r="M109" i="8"/>
  <c r="D109" i="8"/>
  <c r="D31" i="12"/>
  <c r="T109" i="8"/>
  <c r="H109" i="8"/>
  <c r="N38" i="9" s="1"/>
  <c r="X38" i="9" s="1"/>
  <c r="AE67" i="8"/>
  <c r="C21" i="12"/>
  <c r="P102" i="8"/>
  <c r="V109" i="8"/>
  <c r="N109" i="8"/>
  <c r="D85" i="8"/>
  <c r="O43" i="8"/>
  <c r="Z81" i="8"/>
  <c r="G85" i="8"/>
  <c r="C85" i="8"/>
  <c r="J85" i="8"/>
  <c r="C24" i="10"/>
  <c r="M24" i="10" s="1"/>
  <c r="P58" i="8"/>
  <c r="P67" i="8" s="1"/>
  <c r="M11" i="9"/>
  <c r="P77" i="8"/>
  <c r="F43" i="8"/>
  <c r="F31" i="12"/>
  <c r="D17" i="7"/>
  <c r="AE77" i="8"/>
  <c r="F85" i="8"/>
  <c r="AE79" i="8" s="1"/>
  <c r="D33" i="5"/>
  <c r="N25" i="5"/>
  <c r="AE109" i="8"/>
  <c r="N12" i="9"/>
  <c r="X12" i="9" s="1"/>
  <c r="H43" i="8"/>
  <c r="F17" i="7"/>
  <c r="H32" i="12"/>
  <c r="K32" i="12" s="1"/>
  <c r="D49" i="7"/>
  <c r="E58" i="10"/>
  <c r="W58" i="8"/>
  <c r="N68" i="8"/>
  <c r="AE48" i="8"/>
  <c r="I68" i="8"/>
  <c r="X9" i="9"/>
  <c r="N40" i="9"/>
  <c r="AE68" i="8"/>
  <c r="AC67" i="8"/>
  <c r="A57" i="16"/>
  <c r="O109" i="8"/>
  <c r="P97" i="8"/>
  <c r="C9" i="10"/>
  <c r="M15" i="10" s="1"/>
  <c r="E64" i="7"/>
  <c r="E66" i="7" s="1"/>
  <c r="D64" i="7"/>
  <c r="C49" i="7"/>
  <c r="C66" i="7" s="1"/>
  <c r="I47" i="3" s="1"/>
  <c r="S109" i="8"/>
  <c r="L109" i="8"/>
  <c r="G109" i="8"/>
  <c r="C109" i="8"/>
  <c r="W97" i="8"/>
  <c r="R85" i="8"/>
  <c r="N85" i="8"/>
  <c r="I85" i="8"/>
  <c r="W77" i="8"/>
  <c r="T68" i="8"/>
  <c r="W30" i="8"/>
  <c r="M86" i="10"/>
  <c r="C30" i="12"/>
  <c r="P108" i="8"/>
  <c r="Z79" i="8"/>
  <c r="I41" i="3"/>
  <c r="W102" i="8"/>
  <c r="T85" i="8"/>
  <c r="M31" i="10"/>
  <c r="M39" i="10" s="1"/>
  <c r="P89" i="8"/>
  <c r="Z89" i="8" s="1"/>
  <c r="Z36" i="8"/>
  <c r="Z84" i="8"/>
  <c r="W108" i="8"/>
  <c r="W83" i="8"/>
  <c r="S85" i="8"/>
  <c r="S43" i="8"/>
  <c r="L43" i="8"/>
  <c r="L90" i="8" s="1"/>
  <c r="G43" i="8"/>
  <c r="C43" i="8"/>
  <c r="W37" i="8"/>
  <c r="H26" i="12"/>
  <c r="O90" i="8"/>
  <c r="C25" i="10"/>
  <c r="M16" i="10"/>
  <c r="C17" i="10"/>
  <c r="M17" i="10" s="1"/>
  <c r="E17" i="7"/>
  <c r="A17" i="16"/>
  <c r="J12" i="3"/>
  <c r="J11" i="3"/>
  <c r="H29" i="12"/>
  <c r="K29" i="12" s="1"/>
  <c r="H12" i="12"/>
  <c r="K12" i="12" s="1"/>
  <c r="M8" i="10"/>
  <c r="C68" i="8"/>
  <c r="A53" i="16"/>
  <c r="P51" i="8"/>
  <c r="I90" i="8"/>
  <c r="J90" i="8"/>
  <c r="J110" i="8" s="1"/>
  <c r="J113" i="8" s="1"/>
  <c r="C12" i="11"/>
  <c r="Z73" i="8"/>
  <c r="C31" i="11"/>
  <c r="Z75" i="8"/>
  <c r="F66" i="7"/>
  <c r="P83" i="8"/>
  <c r="C21" i="11"/>
  <c r="Z74" i="8"/>
  <c r="M70" i="4"/>
  <c r="M56" i="4"/>
  <c r="W51" i="8"/>
  <c r="I26" i="12" l="1"/>
  <c r="K26" i="12" s="1"/>
  <c r="C38" i="9"/>
  <c r="M38" i="9" s="1"/>
  <c r="D90" i="8"/>
  <c r="D110" i="8" s="1"/>
  <c r="D113" i="8" s="1"/>
  <c r="H21" i="12"/>
  <c r="K21" i="12" s="1"/>
  <c r="I110" i="8"/>
  <c r="I113" i="8" s="1"/>
  <c r="G90" i="8"/>
  <c r="R90" i="8"/>
  <c r="R110" i="8" s="1"/>
  <c r="R113" i="8" s="1"/>
  <c r="C90" i="8"/>
  <c r="C110" i="8" s="1"/>
  <c r="C113" i="8" s="1"/>
  <c r="M110" i="8"/>
  <c r="M113" i="8" s="1"/>
  <c r="M40" i="9"/>
  <c r="A27" i="16" s="1"/>
  <c r="G110" i="8"/>
  <c r="G113" i="8" s="1"/>
  <c r="H90" i="8"/>
  <c r="H110" i="8" s="1"/>
  <c r="H113" i="8" s="1"/>
  <c r="M101" i="10"/>
  <c r="AE85" i="8"/>
  <c r="A49" i="16"/>
  <c r="Z30" i="8"/>
  <c r="N90" i="8"/>
  <c r="N110" i="8" s="1"/>
  <c r="N113" i="8" s="1"/>
  <c r="I119" i="8" s="1"/>
  <c r="W43" i="8"/>
  <c r="T90" i="8"/>
  <c r="T110" i="8" s="1"/>
  <c r="T113" i="8" s="1"/>
  <c r="W67" i="8"/>
  <c r="M18" i="10"/>
  <c r="Z42" i="8"/>
  <c r="W68" i="8"/>
  <c r="W90" i="8" s="1"/>
  <c r="W110" i="8" s="1"/>
  <c r="Z37" i="8"/>
  <c r="O110" i="8"/>
  <c r="O113" i="8" s="1"/>
  <c r="M9" i="10"/>
  <c r="M10" i="10"/>
  <c r="M23" i="10"/>
  <c r="M25" i="10"/>
  <c r="M26" i="10"/>
  <c r="C40" i="9"/>
  <c r="Z17" i="8"/>
  <c r="D66" i="7"/>
  <c r="D15" i="3"/>
  <c r="I15" i="3"/>
  <c r="I42" i="3"/>
  <c r="C19" i="3"/>
  <c r="J40" i="3"/>
  <c r="P109" i="8"/>
  <c r="W85" i="8"/>
  <c r="W109" i="8"/>
  <c r="X40" i="9"/>
  <c r="A29" i="16" s="1"/>
  <c r="F90" i="8"/>
  <c r="F110" i="8" s="1"/>
  <c r="F113" i="8" s="1"/>
  <c r="L110" i="8"/>
  <c r="L113" i="8" s="1"/>
  <c r="S90" i="8"/>
  <c r="S110" i="8" s="1"/>
  <c r="S113" i="8" s="1"/>
  <c r="A47" i="16" s="1"/>
  <c r="V110" i="8"/>
  <c r="AE91" i="8"/>
  <c r="A46" i="16"/>
  <c r="A44" i="16"/>
  <c r="A52" i="16"/>
  <c r="H30" i="12"/>
  <c r="K30" i="12" s="1"/>
  <c r="C31" i="12"/>
  <c r="Z77" i="8"/>
  <c r="P116" i="8"/>
  <c r="Z83" i="8"/>
  <c r="P85" i="8"/>
  <c r="K12" i="11"/>
  <c r="I120" i="8"/>
  <c r="V112" i="8" s="1"/>
  <c r="K21" i="11"/>
  <c r="K31" i="11"/>
  <c r="AE92" i="8"/>
  <c r="AE93" i="8" s="1"/>
  <c r="Z51" i="8"/>
  <c r="P68" i="8"/>
  <c r="J42" i="3"/>
  <c r="D19" i="3"/>
  <c r="J15" i="3"/>
  <c r="M31" i="11" l="1"/>
  <c r="O31" i="11" s="1"/>
  <c r="A45" i="16"/>
  <c r="P117" i="8"/>
  <c r="AE90" i="8"/>
  <c r="Z67" i="8"/>
  <c r="A48" i="16"/>
  <c r="A41" i="16"/>
  <c r="D40" i="4"/>
  <c r="C22" i="3"/>
  <c r="I19" i="3"/>
  <c r="I43" i="3"/>
  <c r="A43" i="16"/>
  <c r="Z109" i="8"/>
  <c r="P90" i="8"/>
  <c r="Z90" i="8" s="1"/>
  <c r="H31" i="12"/>
  <c r="K31" i="12" s="1"/>
  <c r="A42" i="16"/>
  <c r="P110" i="8"/>
  <c r="W112" i="8"/>
  <c r="W113" i="8" s="1"/>
  <c r="V113" i="8"/>
  <c r="W116" i="8" s="1"/>
  <c r="A40" i="16"/>
  <c r="E40" i="4"/>
  <c r="J43" i="3"/>
  <c r="J19" i="3"/>
  <c r="C28" i="3" l="1"/>
  <c r="C31" i="3" s="1"/>
  <c r="I22" i="3"/>
  <c r="D42" i="4"/>
  <c r="W121" i="8"/>
  <c r="A25" i="16" s="1"/>
  <c r="E42" i="4"/>
  <c r="P124" i="8"/>
  <c r="P301" i="8" s="1"/>
  <c r="P113" i="8"/>
  <c r="A50" i="16" l="1"/>
  <c r="M42" i="4"/>
  <c r="D68" i="4"/>
  <c r="M72" i="4"/>
  <c r="M71" i="4"/>
  <c r="C35" i="3"/>
  <c r="I35" i="3" s="1"/>
  <c r="I31" i="3"/>
  <c r="N71" i="4"/>
  <c r="N72" i="4"/>
  <c r="A51" i="16"/>
  <c r="N42" i="4"/>
  <c r="E68" i="4"/>
</calcChain>
</file>

<file path=xl/sharedStrings.xml><?xml version="1.0" encoding="utf-8"?>
<sst xmlns="http://schemas.openxmlformats.org/spreadsheetml/2006/main" count="1654" uniqueCount="1282">
  <si>
    <t>försäkringsavgifter</t>
  </si>
  <si>
    <t>självrisker</t>
  </si>
  <si>
    <t>kundförluster, förl. på kortfr.fordr., ö. riskk.</t>
  </si>
  <si>
    <t>infriad borgen</t>
  </si>
  <si>
    <t>i kommunens koncernföretag</t>
  </si>
  <si>
    <t>hos kommunens koncernföretag</t>
  </si>
  <si>
    <t>fordringar hos staten</t>
  </si>
  <si>
    <t xml:space="preserve">Kortfristiga skulder till koncernföretag </t>
  </si>
  <si>
    <t>Lev.skulder till kommunens koncernf.</t>
  </si>
  <si>
    <t>135</t>
  </si>
  <si>
    <t>Förvaltningsavgifter</t>
  </si>
  <si>
    <t>Ränta på pensionsavsättning och löneskatt</t>
  </si>
  <si>
    <t>139</t>
  </si>
  <si>
    <t>13 (ej 139)</t>
  </si>
  <si>
    <t>10-13 (ej 139)</t>
  </si>
  <si>
    <t>FINANSIELLA INTÄKTER ENL RR</t>
  </si>
  <si>
    <t>FINANSIELLA KOSTNADER ENL RR</t>
  </si>
  <si>
    <t xml:space="preserve">Obligationer, förlagsbevis m.m. samt certifikat </t>
  </si>
  <si>
    <t>Personalens källskatt</t>
  </si>
  <si>
    <t>298</t>
  </si>
  <si>
    <t>Förutbetalda skatteintäkter</t>
  </si>
  <si>
    <t>Verksamhetsblock/-områden</t>
  </si>
  <si>
    <t>EGENTLIG VERKSAMHET</t>
  </si>
  <si>
    <t>Politisk verksamhet, totalt</t>
  </si>
  <si>
    <t>Parker</t>
  </si>
  <si>
    <t>Räddningstjänst</t>
  </si>
  <si>
    <t>Övrig utbildning</t>
  </si>
  <si>
    <t>Utbildning, totalt</t>
  </si>
  <si>
    <t>SUMMA EGENTLIG VERKSAMHET</t>
  </si>
  <si>
    <t>Hamnverksamhet</t>
  </si>
  <si>
    <t>Kommersiell verksamhet</t>
  </si>
  <si>
    <t>Bostadsverksamhet</t>
  </si>
  <si>
    <t>Näringsliv och bostäder, totalt</t>
  </si>
  <si>
    <t>Sjötrafik</t>
  </si>
  <si>
    <t>Kommunikationer, totalt</t>
  </si>
  <si>
    <t>Fjärrvärmeförsörjning</t>
  </si>
  <si>
    <t>Vattenförsörjning och avloppshantering</t>
  </si>
  <si>
    <t>Avfallshantering</t>
  </si>
  <si>
    <t>SUMMA AFFÄRSVERKSAMHET</t>
  </si>
  <si>
    <t>Gemensamma lokaler</t>
  </si>
  <si>
    <t>Gemensamma verksamheter</t>
  </si>
  <si>
    <t>TOTALSUMMA</t>
  </si>
  <si>
    <t>Personalkostnader</t>
  </si>
  <si>
    <t xml:space="preserve">Externa varor, tjänster och bidrag  </t>
  </si>
  <si>
    <t>Lokal- och anläggningskostnader</t>
  </si>
  <si>
    <t>Externa intäkter</t>
  </si>
  <si>
    <t>Kostnad</t>
  </si>
  <si>
    <t>BRUTTO-</t>
  </si>
  <si>
    <t>KOSTNAD</t>
  </si>
  <si>
    <t>kostnad</t>
  </si>
  <si>
    <t>[45]</t>
  </si>
  <si>
    <t>[601]</t>
  </si>
  <si>
    <t>[341]</t>
  </si>
  <si>
    <t>Block 1. POLITISK VERKSAMHET</t>
  </si>
  <si>
    <t>Nämnd- och styrelseverksamhet</t>
  </si>
  <si>
    <t>Stöd till politiska partier</t>
  </si>
  <si>
    <t>Revision</t>
  </si>
  <si>
    <t xml:space="preserve">Övrig politisk verksamhet </t>
  </si>
  <si>
    <t>POLITISK VERKSAMHET, TOTALT</t>
  </si>
  <si>
    <t>Block 2. INFRASTRUKTUR, SKYDD mm</t>
  </si>
  <si>
    <t>Fysisk o.teknisk planering, bostadsförbättr.</t>
  </si>
  <si>
    <t>Näringslivsfrämjande åtgärder</t>
  </si>
  <si>
    <t>Konsument- och energirådgivning</t>
  </si>
  <si>
    <t>Turistverksamhet</t>
  </si>
  <si>
    <t>Beskrivning av nyckeltalen</t>
  </si>
  <si>
    <t>Miljö- och hälsoskydd, myndighetsutövning</t>
  </si>
  <si>
    <t>Miljö- hälsa och hållbar utveckling</t>
  </si>
  <si>
    <t>Alkoholtillstånd m.m.</t>
  </si>
  <si>
    <t xml:space="preserve">Totalförsvar och samhällsskydd  </t>
  </si>
  <si>
    <t>INFRASTRUKTUR, SKYDD mm TOTALT</t>
  </si>
  <si>
    <t>Block 3.  KULTUR OCH FRITID</t>
  </si>
  <si>
    <t>Kulturverksamhet</t>
  </si>
  <si>
    <t>Stöd till studieorganisationer</t>
  </si>
  <si>
    <t>Allmän kulturverksamhet, övrigt</t>
  </si>
  <si>
    <t>Bibliotek</t>
  </si>
  <si>
    <t>Musikskola / kulturskola</t>
  </si>
  <si>
    <t>Kulturverksamhet totalt</t>
  </si>
  <si>
    <t>Fritidsverksamhet</t>
  </si>
  <si>
    <t>Allmän fritidsverksamhet</t>
  </si>
  <si>
    <t>Idrotts- och fritidsanläggningar</t>
  </si>
  <si>
    <t>Fritidsgårdar</t>
  </si>
  <si>
    <t>Fritidsverksamhet, totalt</t>
  </si>
  <si>
    <t xml:space="preserve"> KULTUR OCH FRITID, TOTALT</t>
  </si>
  <si>
    <t>Block 4. PEDAGOGISK VERKSAMHET</t>
  </si>
  <si>
    <t>Öppen förskola</t>
  </si>
  <si>
    <t>Förskola</t>
  </si>
  <si>
    <t>Pedagogisk omsorg</t>
  </si>
  <si>
    <t>Öppen fritidsverksamhet</t>
  </si>
  <si>
    <t>Fritidshem</t>
  </si>
  <si>
    <t>Skolväsendet för barn- o ungdom</t>
  </si>
  <si>
    <t>Gymnasieskola</t>
  </si>
  <si>
    <t xml:space="preserve">Gymnasiesärskola </t>
  </si>
  <si>
    <t>Skolväsendet för barn o ungdom totalt</t>
  </si>
  <si>
    <t>Kommunal vuxenutbildning</t>
  </si>
  <si>
    <t>Högskoleutbildning m.m.</t>
  </si>
  <si>
    <t>Verksamhetens kostnad enligt RR</t>
  </si>
  <si>
    <t>Verksamhetens intäkter enl. RR</t>
  </si>
  <si>
    <t>Verksamhetens kostnader enl. RR</t>
  </si>
  <si>
    <t>Verksamhetens intäkter enl.RR</t>
  </si>
  <si>
    <t xml:space="preserve">Svenska för invandrare </t>
  </si>
  <si>
    <t>Uppdragsutbildning</t>
  </si>
  <si>
    <t>Utbildning inkl. förskoleklass</t>
  </si>
  <si>
    <t>PEDAGOGISK VERKSAMH., TOTALT</t>
  </si>
  <si>
    <t>Block 5. VÅRD O OMSORG</t>
  </si>
  <si>
    <t>Primärvård</t>
  </si>
  <si>
    <t>Hälso- och sjukvård, övrigt exkl. hemsjukvård</t>
  </si>
  <si>
    <t xml:space="preserve">Vård, omsorg: äldre och personer med funktionsnedsättning </t>
  </si>
  <si>
    <t>Färdtjänst/riksfärdtjänst</t>
  </si>
  <si>
    <t>Öppen verksamhet</t>
  </si>
  <si>
    <t>VoO: äldre, personer m.funktionsneds., tot.</t>
  </si>
  <si>
    <t xml:space="preserve">Individ- och familjeomsorg               </t>
  </si>
  <si>
    <t>Barn och ungdomsvård</t>
  </si>
  <si>
    <t>Ekonomiskt bistånd</t>
  </si>
  <si>
    <t xml:space="preserve">Individ- och familjeomsorg, totalt </t>
  </si>
  <si>
    <t>Familjerätt och familjerådgivning</t>
  </si>
  <si>
    <t>VÅRD OCH OMSORG, TOTALT</t>
  </si>
  <si>
    <t>Block 6. SÄRSKILT RIKTADE INSATSER</t>
  </si>
  <si>
    <r>
      <t>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</si>
  <si>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t xml:space="preserve"> </t>
  </si>
  <si>
    <t>Flyktingmottagande</t>
  </si>
  <si>
    <t xml:space="preserve">Arbetsmarknadsåtgärder </t>
  </si>
  <si>
    <t>SÄRSKILT RIKTADE INSATSER,TOTALT</t>
  </si>
  <si>
    <t>AFFÄRSVERKSAMHET</t>
  </si>
  <si>
    <t>Näringsliv och bostäder</t>
  </si>
  <si>
    <t>Arbetsområden och lokaler</t>
  </si>
  <si>
    <t>Kommunikationer</t>
  </si>
  <si>
    <t>Flygtrafik</t>
  </si>
  <si>
    <t>Energi, vatten och avfall</t>
  </si>
  <si>
    <t>Elförsörjning + gasförsörjning</t>
  </si>
  <si>
    <t>Energi, vatten och avfall, totalt</t>
  </si>
  <si>
    <t>SUMMA DRIFTVERKSAMHET</t>
  </si>
  <si>
    <t>Nettokostnad gemensamma verksamheter</t>
  </si>
  <si>
    <t>Kommuner</t>
  </si>
  <si>
    <t>[4631]</t>
  </si>
  <si>
    <t>[4632]</t>
  </si>
  <si>
    <t>[4633]</t>
  </si>
  <si>
    <t>[4634]</t>
  </si>
  <si>
    <t>[4638]</t>
  </si>
  <si>
    <t>[4635]</t>
  </si>
  <si>
    <t>[4636]</t>
  </si>
  <si>
    <t>[4637]</t>
  </si>
  <si>
    <t>[3611]</t>
  </si>
  <si>
    <t>[3612]</t>
  </si>
  <si>
    <t>[358]</t>
  </si>
  <si>
    <t xml:space="preserve">Fritidsverksamhet, totalt  </t>
  </si>
  <si>
    <t xml:space="preserve">Gymnasieskola </t>
  </si>
  <si>
    <t xml:space="preserve">Gymnasiesärskola  </t>
  </si>
  <si>
    <t>Särvux</t>
  </si>
  <si>
    <t xml:space="preserve">Förändring pensionsavs inkl.särsk.lönesk på p.avs </t>
  </si>
  <si>
    <t xml:space="preserve"> därav  inst. vård för vuxna med missbruksprob.</t>
  </si>
  <si>
    <t>Övrig Ifo + fam.rätt (rad 571+ 575+585)</t>
  </si>
  <si>
    <t>Arbetsmarknadsåtgärder</t>
  </si>
  <si>
    <t>Summa affärsverksamhet</t>
  </si>
  <si>
    <t>Gemensam verksamhet (inkl. lokaler)</t>
  </si>
  <si>
    <t>Brutto-</t>
  </si>
  <si>
    <t>Nyckeltal</t>
  </si>
  <si>
    <t>kronor/inv.,</t>
  </si>
  <si>
    <t xml:space="preserve">Interna kostnader </t>
  </si>
  <si>
    <t xml:space="preserve">Fördelning av gemensamma verksamheter </t>
  </si>
  <si>
    <t>Interna intäkter</t>
  </si>
  <si>
    <t>Balanskravsresultat</t>
  </si>
  <si>
    <t>Årets resultat enligt resultaträkningen</t>
  </si>
  <si>
    <t>Avgår; samtliga realisationsvinster</t>
  </si>
  <si>
    <t>Tillägg; realisationsvinster enl. undantagsmöjlighet</t>
  </si>
  <si>
    <t>Tillägg; realisationsförluster enl. undantagsmöjlighet</t>
  </si>
  <si>
    <t>Tillägg; orealiserade förluster i värdepapper</t>
  </si>
  <si>
    <t>intäkt</t>
  </si>
  <si>
    <t>Infrastruktur, skydd mm totalt</t>
  </si>
  <si>
    <t>Utlandet</t>
  </si>
  <si>
    <t>-/+ Nedskrivningar/återföring av nedskrivning</t>
  </si>
  <si>
    <t>Verksamhetens -kostnader resp. -intäkter</t>
  </si>
  <si>
    <t>Anhörigbidrag</t>
  </si>
  <si>
    <t>Vårdnadsbidrag barnomsorg</t>
  </si>
  <si>
    <t>Sjuklön</t>
  </si>
  <si>
    <t>Vatten och avlopp</t>
  </si>
  <si>
    <t>Öppen förskola och öppen fritidsverksamhet</t>
  </si>
  <si>
    <t>Summa vård och omsorg om äldre</t>
  </si>
  <si>
    <t>Daglig verksamhet enligt LSS</t>
  </si>
  <si>
    <t>Övriga insatser enligt LSS</t>
  </si>
  <si>
    <t>Öppna insatser, individuellt behovsprövad öppen vård</t>
  </si>
  <si>
    <t>Öppna insatser, bistånd som avser boende</t>
  </si>
  <si>
    <t>Öppna insatser, övriga</t>
  </si>
  <si>
    <r>
      <t xml:space="preserve">Konto </t>
    </r>
    <r>
      <rPr>
        <b/>
        <sz val="8"/>
        <rFont val="Helvetica"/>
        <family val="2"/>
      </rPr>
      <t>[354]</t>
    </r>
    <r>
      <rPr>
        <sz val="8"/>
        <rFont val="Helvetica"/>
        <family val="2"/>
      </rPr>
      <t xml:space="preserve"> kommunens ersättning </t>
    </r>
    <r>
      <rPr>
        <b/>
        <sz val="8"/>
        <rFont val="Helvetica"/>
        <family val="2"/>
      </rPr>
      <t>från</t>
    </r>
    <r>
      <rPr>
        <sz val="8"/>
        <rFont val="Helvetica"/>
        <family val="2"/>
      </rPr>
      <t xml:space="preserve"> Försäkringskassan för personlig assistent enligt SFB, tkr</t>
    </r>
  </si>
  <si>
    <r>
      <t xml:space="preserve">Konto </t>
    </r>
    <r>
      <rPr>
        <b/>
        <sz val="8"/>
        <rFont val="Helvetica"/>
        <family val="2"/>
      </rPr>
      <t>[4538]</t>
    </r>
    <r>
      <rPr>
        <sz val="8"/>
        <rFont val="Helvetica"/>
        <family val="2"/>
      </rPr>
      <t xml:space="preserve"> kommunens ersättning</t>
    </r>
    <r>
      <rPr>
        <b/>
        <sz val="8"/>
        <rFont val="Helvetica"/>
        <family val="2"/>
      </rPr>
      <t xml:space="preserve"> till</t>
    </r>
    <r>
      <rPr>
        <sz val="8"/>
        <rFont val="Helvetica"/>
        <family val="2"/>
      </rPr>
      <t xml:space="preserve"> Försäkringskassan för personlig assistent enligt  SFB, tkr</t>
    </r>
  </si>
  <si>
    <t>Familjehemsvård för barn och unga</t>
  </si>
  <si>
    <t>Summa barn- och ungdomsvård</t>
  </si>
  <si>
    <t>Övriga insatser till vuxna</t>
  </si>
  <si>
    <t>Familjerätt</t>
  </si>
  <si>
    <t>Familjerådgivning</t>
  </si>
  <si>
    <t>Summa individ- och familjeomsorg</t>
  </si>
  <si>
    <t>jämförs med RR</t>
  </si>
  <si>
    <t>Därav</t>
  </si>
  <si>
    <t>inventarier</t>
  </si>
  <si>
    <t>tekn.anläggn.</t>
  </si>
  <si>
    <t>[402]</t>
  </si>
  <si>
    <t>[403]</t>
  </si>
  <si>
    <t>Näringsl.främj.åtg, turistv.o konsum.-ener.rådg</t>
  </si>
  <si>
    <t>17 [ej 178]</t>
  </si>
  <si>
    <t>Miljö- och hälsoskydd och alkoholtillstånd</t>
  </si>
  <si>
    <t>Totalförsvar och samhällsskydd</t>
  </si>
  <si>
    <t>Infrastruktur, skydd m.m. totalt</t>
  </si>
  <si>
    <t>Kultur och fritid, totalt</t>
  </si>
  <si>
    <r>
      <t>Utbildning</t>
    </r>
    <r>
      <rPr>
        <sz val="7"/>
        <rFont val="Helvetica"/>
        <family val="2"/>
      </rPr>
      <t xml:space="preserve">                                            </t>
    </r>
  </si>
  <si>
    <t>Gymnasieskola inkl gymnasiesärskola</t>
  </si>
  <si>
    <t>Pedagogisk verksamhet, totalt</t>
  </si>
  <si>
    <r>
      <t xml:space="preserve">Vård och omsorg </t>
    </r>
    <r>
      <rPr>
        <sz val="7"/>
        <rFont val="Helvetica"/>
        <family val="2"/>
      </rPr>
      <t xml:space="preserve">                                    
Primärvård</t>
    </r>
  </si>
  <si>
    <t>Individ o familjeomsorg totalt, familjerätt</t>
  </si>
  <si>
    <t xml:space="preserve">Vård och omsorg, totalt                                    </t>
  </si>
  <si>
    <t>Särskilt riktade insatser, totalt</t>
  </si>
  <si>
    <r>
      <t xml:space="preserve">AFFÄRSVERKSAMHET                            
</t>
    </r>
    <r>
      <rPr>
        <b/>
        <sz val="7"/>
        <rFont val="Helvetica"/>
        <family val="2"/>
      </rPr>
      <t xml:space="preserve">Näringsliv och bostäder                   </t>
    </r>
    <r>
      <rPr>
        <sz val="7"/>
        <rFont val="Helvetica"/>
        <family val="2"/>
      </rPr>
      <t>Arbetsområden och lokaler</t>
    </r>
  </si>
  <si>
    <r>
      <t>Kommunikationer</t>
    </r>
    <r>
      <rPr>
        <sz val="7"/>
        <rFont val="Helvetica"/>
        <family val="2"/>
      </rPr>
      <t xml:space="preserve">                                                         Flygtrafik</t>
    </r>
  </si>
  <si>
    <r>
      <t>Energi, vatten och avfall</t>
    </r>
    <r>
      <rPr>
        <sz val="7"/>
        <rFont val="Helvetica"/>
        <family val="2"/>
      </rPr>
      <t xml:space="preserve">                                        
El- och gasförsörjning</t>
    </r>
  </si>
  <si>
    <t>Energi, vatten och avfall,totalt</t>
  </si>
  <si>
    <t>Ange kommunens kostnad för rådgivning och annat personligt stöd enl 9 § punkt 1 LSS, tkr</t>
  </si>
  <si>
    <t>Öronmärkt belopp för framtida pensionsutbetalningar</t>
  </si>
  <si>
    <t>Övriga tilläggsupplysningar</t>
  </si>
  <si>
    <t>EU-bidrag (driftbidrag)</t>
  </si>
  <si>
    <t>Löner</t>
  </si>
  <si>
    <t>Boende enl. LSS för vuxna</t>
  </si>
  <si>
    <t>Utjämningssystemen o. generella statliga bidrag samt fastighetsavg.</t>
  </si>
  <si>
    <t xml:space="preserve">Summa öppna insatser vuxna </t>
  </si>
  <si>
    <t>HVB-vård för barn och unga</t>
  </si>
  <si>
    <t>Vård för vuxna med missbruksproblem</t>
  </si>
  <si>
    <r>
      <t xml:space="preserve">Övriga </t>
    </r>
    <r>
      <rPr>
        <b/>
        <sz val="7"/>
        <rFont val="Helvetica"/>
        <family val="2"/>
      </rPr>
      <t/>
    </r>
  </si>
  <si>
    <t>Rad  nr</t>
  </si>
  <si>
    <t>Summa vård för vuxna med missbruksproblem</t>
  </si>
  <si>
    <t xml:space="preserve"> därav  HVB-vård för barn och unga</t>
  </si>
  <si>
    <t xml:space="preserve">Summa öppna insatser för barn och unga </t>
  </si>
  <si>
    <t>178</t>
  </si>
  <si>
    <t>Kalkylerad PO + Kalkylerad kapitalkostn.</t>
  </si>
  <si>
    <t>Interna kostnader</t>
  </si>
  <si>
    <t>Soc.avg o pens.utbet./kostn. (56(ej 5635), 57 (ej572)</t>
  </si>
  <si>
    <t>Förändr.pens.avs.[572] o.särsk.lönesk.pens.avs.[5635]</t>
  </si>
  <si>
    <t>Jämförelsestörande kostnader</t>
  </si>
  <si>
    <t>Jämförelsestörande intäkter</t>
  </si>
  <si>
    <t>100</t>
  </si>
  <si>
    <t>110</t>
  </si>
  <si>
    <t>120</t>
  </si>
  <si>
    <t>130</t>
  </si>
  <si>
    <t>190</t>
  </si>
  <si>
    <t>215</t>
  </si>
  <si>
    <t>220</t>
  </si>
  <si>
    <t>230</t>
  </si>
  <si>
    <t>249</t>
  </si>
  <si>
    <t>250</t>
  </si>
  <si>
    <t>261</t>
  </si>
  <si>
    <t>263</t>
  </si>
  <si>
    <t>267</t>
  </si>
  <si>
    <t>270</t>
  </si>
  <si>
    <t>275</t>
  </si>
  <si>
    <t>290</t>
  </si>
  <si>
    <t>310</t>
  </si>
  <si>
    <t>315</t>
  </si>
  <si>
    <t>320</t>
  </si>
  <si>
    <t>330</t>
  </si>
  <si>
    <t>339</t>
  </si>
  <si>
    <t>300</t>
  </si>
  <si>
    <t>340</t>
  </si>
  <si>
    <t>350</t>
  </si>
  <si>
    <t>359</t>
  </si>
  <si>
    <t>390</t>
  </si>
  <si>
    <t>400</t>
  </si>
  <si>
    <t>407</t>
  </si>
  <si>
    <t>412</t>
  </si>
  <si>
    <t>415</t>
  </si>
  <si>
    <t>425</t>
  </si>
  <si>
    <t>430</t>
  </si>
  <si>
    <t>443</t>
  </si>
  <si>
    <t>450</t>
  </si>
  <si>
    <t>453</t>
  </si>
  <si>
    <t>469</t>
  </si>
  <si>
    <t>474</t>
  </si>
  <si>
    <t>475</t>
  </si>
  <si>
    <t>476</t>
  </si>
  <si>
    <t>478</t>
  </si>
  <si>
    <t>480</t>
  </si>
  <si>
    <t>490</t>
  </si>
  <si>
    <t>500</t>
  </si>
  <si>
    <t>505</t>
  </si>
  <si>
    <t>513</t>
  </si>
  <si>
    <t>530</t>
  </si>
  <si>
    <t>600</t>
  </si>
  <si>
    <t>610</t>
  </si>
  <si>
    <t>690</t>
  </si>
  <si>
    <t>790</t>
  </si>
  <si>
    <t>800</t>
  </si>
  <si>
    <t>805</t>
  </si>
  <si>
    <t>810</t>
  </si>
  <si>
    <t>815</t>
  </si>
  <si>
    <t>820</t>
  </si>
  <si>
    <t>830</t>
  </si>
  <si>
    <t>832</t>
  </si>
  <si>
    <t>834</t>
  </si>
  <si>
    <t>840</t>
  </si>
  <si>
    <t>855</t>
  </si>
  <si>
    <t>860</t>
  </si>
  <si>
    <t>865</t>
  </si>
  <si>
    <t>870</t>
  </si>
  <si>
    <t>880</t>
  </si>
  <si>
    <t>890</t>
  </si>
  <si>
    <t>900</t>
  </si>
  <si>
    <t>910</t>
  </si>
  <si>
    <t>920</t>
  </si>
  <si>
    <t>950</t>
  </si>
  <si>
    <t>010</t>
  </si>
  <si>
    <t>020</t>
  </si>
  <si>
    <t>025</t>
  </si>
  <si>
    <t>030</t>
  </si>
  <si>
    <t>040</t>
  </si>
  <si>
    <t>050</t>
  </si>
  <si>
    <t>060</t>
  </si>
  <si>
    <t>070</t>
  </si>
  <si>
    <t>080</t>
  </si>
  <si>
    <t>115</t>
  </si>
  <si>
    <t>015</t>
  </si>
  <si>
    <t>021</t>
  </si>
  <si>
    <t>023</t>
  </si>
  <si>
    <t>036</t>
  </si>
  <si>
    <t>037</t>
  </si>
  <si>
    <t>033</t>
  </si>
  <si>
    <t>032</t>
  </si>
  <si>
    <t>031</t>
  </si>
  <si>
    <t>034</t>
  </si>
  <si>
    <t>035</t>
  </si>
  <si>
    <t>039</t>
  </si>
  <si>
    <t>045</t>
  </si>
  <si>
    <t>046</t>
  </si>
  <si>
    <t>051</t>
  </si>
  <si>
    <t>055</t>
  </si>
  <si>
    <t>053</t>
  </si>
  <si>
    <t>054</t>
  </si>
  <si>
    <t>056</t>
  </si>
  <si>
    <t>058</t>
  </si>
  <si>
    <t>065</t>
  </si>
  <si>
    <t>069</t>
  </si>
  <si>
    <t>999</t>
  </si>
  <si>
    <t>052</t>
  </si>
  <si>
    <t>066</t>
  </si>
  <si>
    <t>073</t>
  </si>
  <si>
    <t>074</t>
  </si>
  <si>
    <t>075</t>
  </si>
  <si>
    <t>076</t>
  </si>
  <si>
    <t>071</t>
  </si>
  <si>
    <t>077</t>
  </si>
  <si>
    <t>078</t>
  </si>
  <si>
    <t>079</t>
  </si>
  <si>
    <t>081</t>
  </si>
  <si>
    <t>082</t>
  </si>
  <si>
    <t>083</t>
  </si>
  <si>
    <t>084</t>
  </si>
  <si>
    <t>085</t>
  </si>
  <si>
    <t>089</t>
  </si>
  <si>
    <t>090</t>
  </si>
  <si>
    <t>086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</si>
  <si>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</si>
  <si>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</si>
  <si>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</si>
  <si>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</si>
  <si>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</si>
  <si>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</si>
  <si>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</si>
  <si>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</si>
  <si>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</si>
  <si>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107</t>
  </si>
  <si>
    <t>108</t>
  </si>
  <si>
    <t>109</t>
  </si>
  <si>
    <t>121</t>
  </si>
  <si>
    <t>122</t>
  </si>
  <si>
    <t>140</t>
  </si>
  <si>
    <t>150</t>
  </si>
  <si>
    <t>160</t>
  </si>
  <si>
    <t>088</t>
  </si>
  <si>
    <t>101</t>
  </si>
  <si>
    <t>239</t>
  </si>
  <si>
    <t>269</t>
  </si>
  <si>
    <t>459</t>
  </si>
  <si>
    <t>479</t>
  </si>
  <si>
    <t>580</t>
  </si>
  <si>
    <t>590</t>
  </si>
  <si>
    <t>- Avskrivningar</t>
  </si>
  <si>
    <t>+/- Omklassificeringar</t>
  </si>
  <si>
    <t>+/- Övriga förändringar</t>
  </si>
  <si>
    <t>990</t>
  </si>
  <si>
    <t>991</t>
  </si>
  <si>
    <t>992</t>
  </si>
  <si>
    <t>993</t>
  </si>
  <si>
    <t>994</t>
  </si>
  <si>
    <t>995</t>
  </si>
  <si>
    <t>Eget kapital, avsättningar och skulder</t>
  </si>
  <si>
    <t>Verksamhetens intäkter</t>
  </si>
  <si>
    <t>Verksamhetens kostnader</t>
  </si>
  <si>
    <t>Kommunal regi</t>
  </si>
  <si>
    <t>Därav pedagogisk verksamhet och omsorg (kostnad för personal)</t>
  </si>
  <si>
    <t>Förskola, personalkostnad andel av total kostnad kommunal regi.</t>
  </si>
  <si>
    <t>Övr periodiseringar</t>
  </si>
  <si>
    <t>381, 382, 384</t>
  </si>
  <si>
    <t>735, 738, 739</t>
  </si>
  <si>
    <t>Övriga insatser i ordinärt boende</t>
  </si>
  <si>
    <t>Återföring av nedskrivning av finansiella tillgångar</t>
  </si>
  <si>
    <t>IB Anläggningstillgångar</t>
  </si>
  <si>
    <t>UB Anläggningstillgångar</t>
  </si>
  <si>
    <t>Insatser till personer med funktionsnedsättning (ej LSS/SFB)</t>
  </si>
  <si>
    <t>Insatser enligt LSS/SFB</t>
  </si>
  <si>
    <t>Fritidshem, personalkostnad andel av total kostnad kommunal regi.</t>
  </si>
  <si>
    <t>Förskoleklass, personalkostnad andel av total kostnad kommunal regi.</t>
  </si>
  <si>
    <t>Grundskola</t>
  </si>
  <si>
    <t>Grundläggande vuxenutbildning</t>
  </si>
  <si>
    <t>Gymnasial vuxen- och påbyggnadsutbildning</t>
  </si>
  <si>
    <t>251</t>
  </si>
  <si>
    <t>255</t>
  </si>
  <si>
    <t>257</t>
  </si>
  <si>
    <t>351</t>
  </si>
  <si>
    <t>355</t>
  </si>
  <si>
    <t>357</t>
  </si>
  <si>
    <t>35</t>
  </si>
  <si>
    <t>401</t>
  </si>
  <si>
    <t>402</t>
  </si>
  <si>
    <t>404</t>
  </si>
  <si>
    <t>405</t>
  </si>
  <si>
    <t>406</t>
  </si>
  <si>
    <t>408</t>
  </si>
  <si>
    <t>4081</t>
  </si>
  <si>
    <t>431</t>
  </si>
  <si>
    <t>Övriga ansvarsförbindelser (inklusive borgens- o förlustansvar för egnahem o småhus)</t>
  </si>
  <si>
    <t>Pensionsförpliktelser som inte har upptagits bland skulder el. avsättningar inklusive löneskatt på pensionsförpliktelse</t>
  </si>
  <si>
    <t>435</t>
  </si>
  <si>
    <t>439</t>
  </si>
  <si>
    <t>07</t>
  </si>
  <si>
    <t>40</t>
  </si>
  <si>
    <t>43</t>
  </si>
  <si>
    <t>432</t>
  </si>
  <si>
    <t>434</t>
  </si>
  <si>
    <t>436</t>
  </si>
  <si>
    <t>437</t>
  </si>
  <si>
    <t>438</t>
  </si>
  <si>
    <t>4381</t>
  </si>
  <si>
    <t>50</t>
  </si>
  <si>
    <t>501</t>
  </si>
  <si>
    <t>502</t>
  </si>
  <si>
    <t>504</t>
  </si>
  <si>
    <t>506</t>
  </si>
  <si>
    <t>507</t>
  </si>
  <si>
    <t>508</t>
  </si>
  <si>
    <t>5081</t>
  </si>
  <si>
    <t>53</t>
  </si>
  <si>
    <t>531</t>
  </si>
  <si>
    <t>532</t>
  </si>
  <si>
    <t>534</t>
  </si>
  <si>
    <t>535</t>
  </si>
  <si>
    <t>536</t>
  </si>
  <si>
    <t>537</t>
  </si>
  <si>
    <t>538</t>
  </si>
  <si>
    <t>5381</t>
  </si>
  <si>
    <t>70</t>
  </si>
  <si>
    <t>701</t>
  </si>
  <si>
    <t>702</t>
  </si>
  <si>
    <t>706</t>
  </si>
  <si>
    <t>707</t>
  </si>
  <si>
    <t>708</t>
  </si>
  <si>
    <t>7081</t>
  </si>
  <si>
    <t>72</t>
  </si>
  <si>
    <t>721</t>
  </si>
  <si>
    <t>722</t>
  </si>
  <si>
    <t>726</t>
  </si>
  <si>
    <t>727</t>
  </si>
  <si>
    <t>728</t>
  </si>
  <si>
    <t>7281</t>
  </si>
  <si>
    <t>520</t>
  </si>
  <si>
    <t>510</t>
  </si>
  <si>
    <t>Hälso- o sjukvård, primärvård  (rad 500+505)</t>
  </si>
  <si>
    <t>Övrig utbildning (rad 475+476+478)</t>
  </si>
  <si>
    <t xml:space="preserve">Institutionsvård vuxna </t>
  </si>
  <si>
    <t>569</t>
  </si>
  <si>
    <t>559</t>
  </si>
  <si>
    <t>575</t>
  </si>
  <si>
    <t>571</t>
  </si>
  <si>
    <t xml:space="preserve">Korttidsboende </t>
  </si>
  <si>
    <t>Hemtjänst i ordinärt  boende</t>
  </si>
  <si>
    <t>Dagverksamhet,  ordinärt boende</t>
  </si>
  <si>
    <t>Hemtjänst i ordinärt boende</t>
  </si>
  <si>
    <t>Boendestöd i ordinärt boende</t>
  </si>
  <si>
    <t>585</t>
  </si>
  <si>
    <t>103</t>
  </si>
  <si>
    <t>Summering</t>
  </si>
  <si>
    <t>Försäljning av exploateringsfastigheter, tomträtter</t>
  </si>
  <si>
    <t>Div. förluster, övr.riskk. [735,737,738,739]</t>
  </si>
  <si>
    <r>
      <t>Insatser enligt LSS/SFB</t>
    </r>
    <r>
      <rPr>
        <b/>
        <vertAlign val="superscript"/>
        <sz val="7"/>
        <rFont val="Helvetica"/>
        <family val="2"/>
      </rPr>
      <t>1</t>
    </r>
  </si>
  <si>
    <t xml:space="preserve">Insatser till personer med funktionneds. </t>
  </si>
  <si>
    <t>BIDRAG TILL STATLIG INFRASTRUKTUR</t>
  </si>
  <si>
    <t xml:space="preserve">Sammanlagt beslutat bidrag till statlig infrastruktur </t>
  </si>
  <si>
    <t>Övriga periodiseringar</t>
  </si>
  <si>
    <t>901</t>
  </si>
  <si>
    <t>Övrigt</t>
  </si>
  <si>
    <t>Verksamhet/skolform</t>
  </si>
  <si>
    <t/>
  </si>
  <si>
    <t>Landsting</t>
  </si>
  <si>
    <t>0799</t>
  </si>
  <si>
    <t>07991</t>
  </si>
  <si>
    <t>Därav avgifter för verksamhet i enskild regi</t>
  </si>
  <si>
    <t>Nyckeltal kr/inv</t>
  </si>
  <si>
    <t>Däravposter till kommunernas tillgångar</t>
  </si>
  <si>
    <t>Däravposter till kommunernas skulder</t>
  </si>
  <si>
    <t>Externa lokalhyror</t>
  </si>
  <si>
    <t>Interna köp och övriga interna kostnader</t>
  </si>
  <si>
    <t>Fördelad gemensam verksamhet</t>
  </si>
  <si>
    <t>Externa bostadshyror o lokalhyror</t>
  </si>
  <si>
    <t>Övriga externa intäkter</t>
  </si>
  <si>
    <t>Bruttokostnad  ./. Interna intäkter och försäljning till andra kommuner och landsting</t>
  </si>
  <si>
    <t>Nyckeltal, kronor / invånare</t>
  </si>
  <si>
    <t>Föreningar stiftelser</t>
  </si>
  <si>
    <t>Privata företag</t>
  </si>
  <si>
    <t>Staten och statl. myndigheter</t>
  </si>
  <si>
    <t>Förs.av versamh. till landsting</t>
  </si>
  <si>
    <t>[351,352]</t>
  </si>
  <si>
    <t>Driftbidrag fr. staten, statl. mynd. AF</t>
  </si>
  <si>
    <t>Driftbidrag från EU</t>
  </si>
  <si>
    <t>Markhyror och bidrag</t>
  </si>
  <si>
    <t>BRUTTO-KOSTNAD</t>
  </si>
  <si>
    <t>BRUTTO-INTÄKT</t>
  </si>
  <si>
    <t>Rad- nr</t>
  </si>
  <si>
    <t>440</t>
  </si>
  <si>
    <t>Förskoleklass</t>
  </si>
  <si>
    <t xml:space="preserve"> Förskoleklass</t>
  </si>
  <si>
    <t>Därav debiterat i kolumn M</t>
  </si>
  <si>
    <t>Särskilt boende/annat boende</t>
  </si>
  <si>
    <t>Realiserade valutakursvinster</t>
  </si>
  <si>
    <t>-Reaförlust</t>
  </si>
  <si>
    <t>986</t>
  </si>
  <si>
    <t>987</t>
  </si>
  <si>
    <t>988</t>
  </si>
  <si>
    <t>989</t>
  </si>
  <si>
    <t>470</t>
  </si>
  <si>
    <t>472</t>
  </si>
  <si>
    <t>Upplupna skatteintäkter</t>
  </si>
  <si>
    <t>Vård och omsorg om äldre</t>
  </si>
  <si>
    <t xml:space="preserve">Vård för vuxna med missbruksproblem </t>
  </si>
  <si>
    <t xml:space="preserve">Barn- och ungdomsvård </t>
  </si>
  <si>
    <t xml:space="preserve">Familjerätt och familjerådgivning </t>
  </si>
  <si>
    <t>+ Reavinst</t>
  </si>
  <si>
    <t>Kommunägda företag</t>
  </si>
  <si>
    <t>[4531]</t>
  </si>
  <si>
    <t>[4532]</t>
  </si>
  <si>
    <t>[4533]</t>
  </si>
  <si>
    <t>[4534]</t>
  </si>
  <si>
    <t>[4535]</t>
  </si>
  <si>
    <t>[4536]</t>
  </si>
  <si>
    <t>[451, 452]</t>
  </si>
  <si>
    <t>Familjehemsvård för vuxna</t>
  </si>
  <si>
    <t>Därav försäljn. av verksamhet till andra kommuner</t>
  </si>
  <si>
    <t xml:space="preserve"> Avgifter</t>
  </si>
  <si>
    <t>Mark, byggn. och tekn. Anläggningar [11]</t>
  </si>
  <si>
    <t>Maskiner och inventarier [12]</t>
  </si>
  <si>
    <t>Finansiella anläggnings-tillg.                 [13 ej 139]</t>
  </si>
  <si>
    <t>Kalkylerad personal-omkostnad</t>
  </si>
  <si>
    <t>Kalkylerade kapital-kostnader</t>
  </si>
  <si>
    <t>540</t>
  </si>
  <si>
    <t>519</t>
  </si>
  <si>
    <t>Insatser till personer med funktionsnedsättning totalt (inkl LSS)</t>
  </si>
  <si>
    <t>Från driftredovis-ningen</t>
  </si>
  <si>
    <t xml:space="preserve"> Undervisning</t>
  </si>
  <si>
    <t>Skolskjuts, reseersättning o inackordering</t>
  </si>
  <si>
    <t xml:space="preserve"> Fördelad gemensam verksamhet</t>
  </si>
  <si>
    <t>Undervisning</t>
  </si>
  <si>
    <t>Nyckeltal kostnad kr per barn/elev eller andel av verksamhet</t>
  </si>
  <si>
    <t>Förändring i %</t>
  </si>
  <si>
    <t>Nämnare nyckeltal</t>
  </si>
  <si>
    <t>Differens mot drift-  redovisningen</t>
  </si>
  <si>
    <t>inv 65-w år</t>
  </si>
  <si>
    <t>inv 0-64 år</t>
  </si>
  <si>
    <t>inv 0-22 år</t>
  </si>
  <si>
    <t>Vård och omsorg om äldre (från motpart)</t>
  </si>
  <si>
    <t>inv 21-64 år</t>
  </si>
  <si>
    <t>Summa familjerätt och familjerådgivning</t>
  </si>
  <si>
    <t>inv 0-20 år</t>
  </si>
  <si>
    <t>invånare</t>
  </si>
  <si>
    <t>inv 0-17 år</t>
  </si>
  <si>
    <t>inv 18-69 år</t>
  </si>
  <si>
    <t>Därav undervisning (kostnad för personal)</t>
  </si>
  <si>
    <t>Finansiella nyckeltal</t>
  </si>
  <si>
    <t>Likvida medel i % av externa driftkostnader</t>
  </si>
  <si>
    <t>Försäljn.av anl.tillg. i % av skatteintäkter, generella statsbidrag o utj.</t>
  </si>
  <si>
    <t>Andel investeringar som finansieras med försäljn. av anl.tillg.</t>
  </si>
  <si>
    <t>Måltider</t>
  </si>
  <si>
    <t>http://www.scb.se/rskommuner</t>
  </si>
  <si>
    <t>Invånare:</t>
  </si>
  <si>
    <t>Inv. 7-15 år:</t>
  </si>
  <si>
    <t>Kommun:</t>
  </si>
  <si>
    <t>KommunID:</t>
  </si>
  <si>
    <t>Förskola, avgiftsfinansierringsgrad %</t>
  </si>
  <si>
    <t>F</t>
  </si>
  <si>
    <t>H</t>
  </si>
  <si>
    <t>I</t>
  </si>
  <si>
    <t>Fritidshem, avgiftsfinansieringsgrad</t>
  </si>
  <si>
    <t>Soliditet, % enligt balansräkningen</t>
  </si>
  <si>
    <t>Soliditet, % inkl. pensionsåtaganden före 1998</t>
  </si>
  <si>
    <t>Långfristiga skulder exkl. utlåning till kommunägda bolag</t>
  </si>
  <si>
    <t>Verksamhetens nettokostnader / Skatteintäkter, generella statsbidrag och utj.</t>
  </si>
  <si>
    <t>Finansnetto / Skatteintäkter, generella statsbidrag och utjämning</t>
  </si>
  <si>
    <t>Förutbet. kostnader o uppl. Intäkter, exkl.uppl skatteint.</t>
  </si>
  <si>
    <t>Resultat före extraordinära poster / Skatteintäkter, generella statsbidrag och utj.</t>
  </si>
  <si>
    <t>Verksamhetens självfinansieringsgrad</t>
  </si>
  <si>
    <t>Förs. expl.fastigheter, tomträtter [37]</t>
  </si>
  <si>
    <t>Interna lokal-kostnader</t>
  </si>
  <si>
    <t>Utlämnade lån till koncernföretag  (rad 088)</t>
  </si>
  <si>
    <t>572, 5635</t>
  </si>
  <si>
    <t>56 [ej 5635]</t>
  </si>
  <si>
    <t xml:space="preserve">Därav från gemensamma verksamheter  </t>
  </si>
  <si>
    <t xml:space="preserve">Boende enligt LSS för barn och unga </t>
  </si>
  <si>
    <t>Förskola, fritidshem och annan pedagogisk verksamhet</t>
  </si>
  <si>
    <t>Därav lokalkostnader</t>
  </si>
  <si>
    <t>Lokalkostnader</t>
  </si>
  <si>
    <t>Invånarantal 19 - 64</t>
  </si>
  <si>
    <t>Förskola, totalt</t>
  </si>
  <si>
    <t>Fritidshem, totalt</t>
  </si>
  <si>
    <t>Förskoleklass, totalt</t>
  </si>
  <si>
    <t>Grundskola, totalt</t>
  </si>
  <si>
    <t>Gymnasieskola, totalt</t>
  </si>
  <si>
    <t>Gymnasiesärskola, totalt</t>
  </si>
  <si>
    <t>Specificering av vissa intäkter (i kol.övr. externa intäkter)</t>
  </si>
  <si>
    <t>Grundläggande vuxenutbildning, totalt</t>
  </si>
  <si>
    <t>Gymnasial vuxen- och påbyggnadsutbildning, totalt</t>
  </si>
  <si>
    <t>1321</t>
  </si>
  <si>
    <t>Rad nr</t>
  </si>
  <si>
    <t>5731</t>
  </si>
  <si>
    <t>5732</t>
  </si>
  <si>
    <t>07911</t>
  </si>
  <si>
    <t>07912</t>
  </si>
  <si>
    <t>07951</t>
  </si>
  <si>
    <t>2599</t>
  </si>
  <si>
    <t>25991</t>
  </si>
  <si>
    <t>253</t>
  </si>
  <si>
    <t>3521</t>
  </si>
  <si>
    <t>3522</t>
  </si>
  <si>
    <t>4091</t>
  </si>
  <si>
    <t>4092</t>
  </si>
  <si>
    <t>4094</t>
  </si>
  <si>
    <t>4391</t>
  </si>
  <si>
    <t>4392</t>
  </si>
  <si>
    <t>4393</t>
  </si>
  <si>
    <t>4394</t>
  </si>
  <si>
    <t>3524</t>
  </si>
  <si>
    <t>2524</t>
  </si>
  <si>
    <t>0724</t>
  </si>
  <si>
    <t>5091</t>
  </si>
  <si>
    <t>5092</t>
  </si>
  <si>
    <t>5093</t>
  </si>
  <si>
    <t>5094</t>
  </si>
  <si>
    <t>5391</t>
  </si>
  <si>
    <t>5392</t>
  </si>
  <si>
    <t>5393</t>
  </si>
  <si>
    <t>5394</t>
  </si>
  <si>
    <t>inv 23-w år</t>
  </si>
  <si>
    <t>Beteckning</t>
  </si>
  <si>
    <t>Grundsärskola, totalt</t>
  </si>
  <si>
    <t>87</t>
  </si>
  <si>
    <t>25911</t>
  </si>
  <si>
    <t>25912</t>
  </si>
  <si>
    <t>25951</t>
  </si>
  <si>
    <t>88</t>
  </si>
  <si>
    <t>35911</t>
  </si>
  <si>
    <t>35912</t>
  </si>
  <si>
    <t>35951</t>
  </si>
  <si>
    <t>89</t>
  </si>
  <si>
    <t>80</t>
  </si>
  <si>
    <t>40911</t>
  </si>
  <si>
    <t>40912</t>
  </si>
  <si>
    <t>40931</t>
  </si>
  <si>
    <t>90</t>
  </si>
  <si>
    <t>81</t>
  </si>
  <si>
    <t>43911</t>
  </si>
  <si>
    <t>43912</t>
  </si>
  <si>
    <t>43921</t>
  </si>
  <si>
    <t>43931</t>
  </si>
  <si>
    <t>91</t>
  </si>
  <si>
    <t>82</t>
  </si>
  <si>
    <t>50911</t>
  </si>
  <si>
    <t>50912</t>
  </si>
  <si>
    <t>50921</t>
  </si>
  <si>
    <t>50931</t>
  </si>
  <si>
    <t>92</t>
  </si>
  <si>
    <t>83</t>
  </si>
  <si>
    <t>53911</t>
  </si>
  <si>
    <t>53912</t>
  </si>
  <si>
    <t>53921</t>
  </si>
  <si>
    <t>53931</t>
  </si>
  <si>
    <t>inv 23-64 år</t>
  </si>
  <si>
    <t>Grundsärskola</t>
  </si>
  <si>
    <r>
      <t>Summa 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</si>
  <si>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r>
      <t xml:space="preserve">Insatser enligt LSS/SFB </t>
    </r>
    <r>
      <rPr>
        <b/>
        <sz val="7"/>
        <rFont val="Calibri"/>
        <family val="2"/>
      </rPr>
      <t>¹</t>
    </r>
    <r>
      <rPr>
        <b/>
        <vertAlign val="superscript"/>
        <sz val="7"/>
        <rFont val="Calibri"/>
        <family val="2"/>
      </rPr>
      <t>,2</t>
    </r>
    <r>
      <rPr>
        <b/>
        <sz val="7"/>
        <rFont val="Calibri"/>
        <family val="2"/>
      </rPr>
      <t>)</t>
    </r>
  </si>
  <si>
    <r>
      <t>Personlig assistans enl. LSS/SFB</t>
    </r>
    <r>
      <rPr>
        <vertAlign val="superscript"/>
        <sz val="7"/>
        <rFont val="Helvetica"/>
        <family val="2"/>
      </rPr>
      <t>1</t>
    </r>
  </si>
  <si>
    <r>
      <t>Summa insatser enligt LSS/SFB</t>
    </r>
    <r>
      <rPr>
        <b/>
        <vertAlign val="superscript"/>
        <sz val="7"/>
        <rFont val="Helvetica"/>
        <family val="2"/>
      </rPr>
      <t>1</t>
    </r>
  </si>
  <si>
    <t>2) Kostnaderna och intäkterna för LSS bruttoredovisas liksom övriga verksamheter</t>
  </si>
  <si>
    <t>Skattekostnader/bokslutsdispositioner</t>
  </si>
  <si>
    <t>1) De bestämmelser om personlig assistans som tidigare fanns i LASS är fr.o.m. år 2011 inordnade i Socialförsäkringsbalken (SFB, 51 kap.).</t>
  </si>
  <si>
    <r>
      <t>Omsättningstillgångar</t>
    </r>
    <r>
      <rPr>
        <sz val="7"/>
        <rFont val="Helvetica"/>
        <family val="2"/>
      </rPr>
      <t xml:space="preserve">                                       </t>
    </r>
  </si>
  <si>
    <t>C</t>
  </si>
  <si>
    <t>E</t>
  </si>
  <si>
    <t>G</t>
  </si>
  <si>
    <t>VKV</t>
  </si>
  <si>
    <t>VKVK</t>
  </si>
  <si>
    <t>D</t>
  </si>
  <si>
    <t>Rad-</t>
  </si>
  <si>
    <t>Text</t>
  </si>
  <si>
    <t>Kommunen</t>
  </si>
  <si>
    <t>nr</t>
  </si>
  <si>
    <t>Avskrivningar</t>
  </si>
  <si>
    <t>Verksamhetens nettokostnader</t>
  </si>
  <si>
    <t>Skatteintäkter</t>
  </si>
  <si>
    <t>Finansiella intäkter</t>
  </si>
  <si>
    <t>Finansiella kostnader</t>
  </si>
  <si>
    <t>Resultat före extraordinära poster</t>
  </si>
  <si>
    <t>Extraordinära intäkter</t>
  </si>
  <si>
    <t>Extraordinära kostnader</t>
  </si>
  <si>
    <t>Årets resultat</t>
  </si>
  <si>
    <t>Rad</t>
  </si>
  <si>
    <t>Anläggningstillgångar</t>
  </si>
  <si>
    <t>Immateriella anläggningstillgångar</t>
  </si>
  <si>
    <t>Mark, byggn. och tekn. anläggningar</t>
  </si>
  <si>
    <t>Maskiner och inventarier</t>
  </si>
  <si>
    <t>Summa materiella anläggningstillg.</t>
  </si>
  <si>
    <t>Aktier och andelar, bostadsrätter</t>
  </si>
  <si>
    <t>Långfristiga fordringar</t>
  </si>
  <si>
    <t>Summa finansiella anläggningstillg.</t>
  </si>
  <si>
    <t>Summering av verksamhetens intäkter</t>
  </si>
  <si>
    <t>Summering av verksamhetens kostnader</t>
  </si>
  <si>
    <t>SUMMA ANLÄGGNINGSTILLGÅNGAR</t>
  </si>
  <si>
    <t>15</t>
  </si>
  <si>
    <t>Kundfordringar</t>
  </si>
  <si>
    <t>16</t>
  </si>
  <si>
    <t>Diverse kortfristiga fordringar</t>
  </si>
  <si>
    <t>165</t>
  </si>
  <si>
    <t>182</t>
  </si>
  <si>
    <t>Aktier och andelar</t>
  </si>
  <si>
    <t>183</t>
  </si>
  <si>
    <t>Värdereglering av kortfristiga placeringar</t>
  </si>
  <si>
    <t>Obligationer, förlagsbevis m.m.</t>
  </si>
  <si>
    <t>184</t>
  </si>
  <si>
    <t>Certifikat</t>
  </si>
  <si>
    <t>189</t>
  </si>
  <si>
    <t>Kassa och bank (likvida medel)</t>
  </si>
  <si>
    <t>14-19</t>
  </si>
  <si>
    <t>SUMMA OMSÄTTNINGSTILLG.</t>
  </si>
  <si>
    <t>10-19</t>
  </si>
  <si>
    <t>SUMMA TILLGÅNGAR</t>
  </si>
  <si>
    <t>Eget kapital, ingående värde</t>
  </si>
  <si>
    <t>221</t>
  </si>
  <si>
    <t>222</t>
  </si>
  <si>
    <t>225</t>
  </si>
  <si>
    <t>228</t>
  </si>
  <si>
    <t>Andra avsättningar</t>
  </si>
  <si>
    <t>2281</t>
  </si>
  <si>
    <t>SUMMA AVSÄTTNINGAR</t>
  </si>
  <si>
    <t>Lån i banker och kreditinstitut</t>
  </si>
  <si>
    <t>Lån i utländsk valuta</t>
  </si>
  <si>
    <t>Långfristiga skulder till koncernföretag</t>
  </si>
  <si>
    <t>Checkkredit, övr.långfristiga skulder</t>
  </si>
  <si>
    <t>237</t>
  </si>
  <si>
    <t>Långfristig leasingskuld</t>
  </si>
  <si>
    <t>Långfristiga skulder, totalt</t>
  </si>
  <si>
    <t>24</t>
  </si>
  <si>
    <t>Kortfristiga skulder till kreditinstitut och kunder</t>
  </si>
  <si>
    <t>25</t>
  </si>
  <si>
    <t>Leverantörsskulder</t>
  </si>
  <si>
    <t>Skulder till staten</t>
  </si>
  <si>
    <t>292</t>
  </si>
  <si>
    <t>Upplupna semesterlöner</t>
  </si>
  <si>
    <t>2933</t>
  </si>
  <si>
    <t>296</t>
  </si>
  <si>
    <t>Not 1</t>
  </si>
  <si>
    <t>Not 2</t>
  </si>
  <si>
    <t>Övriga kortfristiga skulder</t>
  </si>
  <si>
    <t>24-29</t>
  </si>
  <si>
    <t>Kortfristiga skulder, totalt</t>
  </si>
  <si>
    <t>23-29</t>
  </si>
  <si>
    <t>SUMMA SKULDER</t>
  </si>
  <si>
    <t>20,22-29</t>
  </si>
  <si>
    <t>SKULDER, AVSÄTT.O EGET KAPITAL</t>
  </si>
  <si>
    <t>Borgen o andra förpliktelser gentemot kommunala bostadsföretag</t>
  </si>
  <si>
    <t>Borgen o andra förplikt. gentemot övriga bostadsföretag/föreningar</t>
  </si>
  <si>
    <t>Borgen o andra förpliktelser gentemot övriga kommunala företag</t>
  </si>
  <si>
    <t>SUMMA ANSVARSFÖRBINDELSER</t>
  </si>
  <si>
    <t>Förrättnings- och granskningsavgifter</t>
  </si>
  <si>
    <t>Taxor och avgifter, övrigt</t>
  </si>
  <si>
    <t>Taxor och avgifter</t>
  </si>
  <si>
    <t>Bostads- och lokalhyror</t>
  </si>
  <si>
    <t>Markhyror och arrenden mm.</t>
  </si>
  <si>
    <t>343-349</t>
  </si>
  <si>
    <t>Hyror och arrenden</t>
  </si>
  <si>
    <t>Bidrag</t>
  </si>
  <si>
    <t>Bidrag till enskilda</t>
  </si>
  <si>
    <t>Bostadssociala bidrag</t>
  </si>
  <si>
    <t>Löner mm.</t>
  </si>
  <si>
    <t>Personal</t>
  </si>
  <si>
    <t>Livsmedel</t>
  </si>
  <si>
    <t>Kontorsmaterial</t>
  </si>
  <si>
    <t>Material, övrigt</t>
  </si>
  <si>
    <t>Material</t>
  </si>
  <si>
    <t>Tillfälligt inhyrd personal</t>
  </si>
  <si>
    <t>Hyra / leasing av anläggningstillgångar</t>
  </si>
  <si>
    <t>Tele-, It-kommunikation o. postbefordran</t>
  </si>
  <si>
    <t>Transporter</t>
  </si>
  <si>
    <t>Lokalhyror</t>
  </si>
  <si>
    <t>Markhyror</t>
  </si>
  <si>
    <t>Tjänster, övrigt</t>
  </si>
  <si>
    <t>Tjänster, inkl köp av verksamhet</t>
  </si>
  <si>
    <t>Allmän kommunalskatt</t>
  </si>
  <si>
    <t>Inkomstutjämningsavgift</t>
  </si>
  <si>
    <t>Regleringsavgift</t>
  </si>
  <si>
    <t>Kostnadsutjämningsavgift</t>
  </si>
  <si>
    <t>Avgift till LSS-utjämningen</t>
  </si>
  <si>
    <t>Avgifter i utjämningssystemen</t>
  </si>
  <si>
    <t>Inkomstutjämningsbidrag</t>
  </si>
  <si>
    <t>Strukturbidrag</t>
  </si>
  <si>
    <t>Införandebidrag</t>
  </si>
  <si>
    <t>Regleringsbidrag</t>
  </si>
  <si>
    <t>Kostnadsutjämningsbidrag</t>
  </si>
  <si>
    <t>Bidrag för LSS-utjämning</t>
  </si>
  <si>
    <t>Bidrag från utjämningssystemen och generella statliga bidrag</t>
  </si>
  <si>
    <t>Utdelning på aktier och andelar</t>
  </si>
  <si>
    <t>Ränteintäkter</t>
  </si>
  <si>
    <t>Ränteintäkter på kundfordringar</t>
  </si>
  <si>
    <t>855, 857</t>
  </si>
  <si>
    <t>Räntekostn. för lev.skulder o bankkostnader</t>
  </si>
  <si>
    <t>X</t>
  </si>
  <si>
    <t>Z</t>
  </si>
  <si>
    <t>ZF</t>
  </si>
  <si>
    <t>ZM</t>
  </si>
  <si>
    <t>Y</t>
  </si>
  <si>
    <t>YJ</t>
  </si>
  <si>
    <t>Koncernen</t>
  </si>
  <si>
    <t xml:space="preserve">Orealiserade valutakursvinster  </t>
  </si>
  <si>
    <t>Nedskrivning av finansiella tillgångar</t>
  </si>
  <si>
    <t>avgifter</t>
  </si>
  <si>
    <t>Tillgångar</t>
  </si>
  <si>
    <t>Förråd, lager, exploateringsfastigh.</t>
  </si>
  <si>
    <t>1351</t>
  </si>
  <si>
    <t>1661</t>
  </si>
  <si>
    <t>246</t>
  </si>
  <si>
    <t>Årets resultat / Skatteintäkter, generella statsbidrag och utj.</t>
  </si>
  <si>
    <t>Investeringar i % av skatteintäkter, generella statsbidrag och utj.</t>
  </si>
  <si>
    <t>Avgifter till utjämningssytemen</t>
  </si>
  <si>
    <t>Grundskola inkl förskoleklass och grundsärskola</t>
  </si>
  <si>
    <t xml:space="preserve">Bidrag från utjämningssystemen och generella </t>
  </si>
  <si>
    <t>statliga bidrag</t>
  </si>
  <si>
    <t xml:space="preserve"> 849 ej 8498</t>
  </si>
  <si>
    <t xml:space="preserve">Realiserade valutakursförluster </t>
  </si>
  <si>
    <t>Orealiserade valutakursförluster</t>
  </si>
  <si>
    <t>Övr. finans. intäkter</t>
  </si>
  <si>
    <t>Övr. finans. kostn.</t>
  </si>
  <si>
    <t>Förlust vid avyttring av materiella anl.</t>
  </si>
  <si>
    <t xml:space="preserve">Verksamhetens intäkter </t>
  </si>
  <si>
    <t xml:space="preserve">Verksamhetens kostnader </t>
  </si>
  <si>
    <t>Däravposter till verksamhetens kostnader</t>
  </si>
  <si>
    <t>Förändring</t>
  </si>
  <si>
    <t>procent</t>
  </si>
  <si>
    <t>Borgensförbindelser och övriga ansvarsförbindelser</t>
  </si>
  <si>
    <t xml:space="preserve">Förskola, fritidshem o annan ped.verksamhet totalt </t>
  </si>
  <si>
    <t>Förskola, fritidshem o annan pedagogisk verksamhet, totalt</t>
  </si>
  <si>
    <t>Därav interna intäkter</t>
  </si>
  <si>
    <t xml:space="preserve">Korttidsboende / Korttidsvård </t>
  </si>
  <si>
    <t>Elevhälsa</t>
  </si>
  <si>
    <t>563 [ej 5635]</t>
  </si>
  <si>
    <t>Köp av verksamhet som andel av verksamhetens kostnad 2013 procent</t>
  </si>
  <si>
    <t>BAS 13</t>
  </si>
  <si>
    <t>del av 15</t>
  </si>
  <si>
    <t>del av 25</t>
  </si>
  <si>
    <t>30, 369</t>
  </si>
  <si>
    <t>Övriga hyror och arrenden</t>
  </si>
  <si>
    <t>Driftbidrag, motpart kommuner o landsting</t>
  </si>
  <si>
    <t>Däravposter till verksamhetens intäkter</t>
  </si>
  <si>
    <t>Försäljning av verksamhet, motpart landsting</t>
  </si>
  <si>
    <t>Försäljning av verksamhet, motpart kommun</t>
  </si>
  <si>
    <t>Avgår: återföring av orealiserade förluster i värdepapper</t>
  </si>
  <si>
    <t>Årets resultat efter balanskravsjusteringar</t>
  </si>
  <si>
    <t>Bidrag till statlig infrastruktur</t>
  </si>
  <si>
    <t>4541</t>
  </si>
  <si>
    <t>Kostnadsföring bidrag till statlig infrastruktur</t>
  </si>
  <si>
    <t>Upplösning aktiverat bidr. till stat. infrastruktur</t>
  </si>
  <si>
    <t>Förändring av avsättning</t>
  </si>
  <si>
    <t>Försäljningsintäker,  övriga ersättningar och intäkter</t>
  </si>
  <si>
    <t>Erhållna ersättningar för personlig assistent (FK)</t>
  </si>
  <si>
    <t>Särsk. löneskatt, exkl. särsk.lönesk.pens.avs.</t>
  </si>
  <si>
    <t>Försäljn. av verksamheter och tjänster</t>
  </si>
  <si>
    <t>Bidrag till föreningar, komm.förb., företag m.fl.</t>
  </si>
  <si>
    <t>Lämnade bidrag</t>
  </si>
  <si>
    <t>Pensionsförsäkringspremier</t>
  </si>
  <si>
    <t>Pensionsutbetalningar avseende pensioner</t>
  </si>
  <si>
    <t>Husbyggnads-, anläggnings- o reparationsentrenader</t>
  </si>
  <si>
    <t>Köp av huvudverksamhet</t>
  </si>
  <si>
    <t>Reparation och underhåll</t>
  </si>
  <si>
    <t>Avsättning för särskild löneskatt på pensioner</t>
  </si>
  <si>
    <t>Avsättn. för återställ. av avfallsdeponier</t>
  </si>
  <si>
    <t>Upplupen pensionskostnad avgiftsbestämd ålderspension</t>
  </si>
  <si>
    <t>761</t>
  </si>
  <si>
    <t>Kommunal fastighetsavgift</t>
  </si>
  <si>
    <t>Förbrukningsinventarier</t>
  </si>
  <si>
    <t>Förlust vid avyttring av finansiella anläggningstillg.</t>
  </si>
  <si>
    <t>Räntekostnader</t>
  </si>
  <si>
    <t>Aktier, andelar och bostadsrätter [132, 137]</t>
  </si>
  <si>
    <t xml:space="preserve">Köp av huvud-verksamhet </t>
  </si>
  <si>
    <t>[30, 34 ej 341, 35-36</t>
  </si>
  <si>
    <t>Lämnade bidrag  [45]</t>
  </si>
  <si>
    <t>Bas 05</t>
  </si>
  <si>
    <t>Mortpart 85</t>
  </si>
  <si>
    <t>Extern motpart, interv.5-7</t>
  </si>
  <si>
    <t>Motpart 87</t>
  </si>
  <si>
    <t>Motpart 82</t>
  </si>
  <si>
    <t>Motpart 84</t>
  </si>
  <si>
    <t>Motpart 81</t>
  </si>
  <si>
    <t>Motpart 86</t>
  </si>
  <si>
    <t>Motpart 83</t>
  </si>
  <si>
    <t>Extern motpart interv. 9</t>
  </si>
  <si>
    <t>[361]                      Motpart 82</t>
  </si>
  <si>
    <t>[361]                       Motpart 84</t>
  </si>
  <si>
    <t>[351]                       Motpart 81</t>
  </si>
  <si>
    <t xml:space="preserve">därav </t>
  </si>
  <si>
    <t>238</t>
  </si>
  <si>
    <t>Skuld för kostnadsersättningar och investeringsbidrag</t>
  </si>
  <si>
    <t>232, 239</t>
  </si>
  <si>
    <t>Uppl.särsk.lönesk.avgiftsbest.ålderspens.</t>
  </si>
  <si>
    <t>Upplupna sociala avgifter</t>
  </si>
  <si>
    <t>Bränsle, energi och vatten, Drivmedel</t>
  </si>
  <si>
    <t>62, 691</t>
  </si>
  <si>
    <t>8597, 8598</t>
  </si>
  <si>
    <t>361, 363, 365</t>
  </si>
  <si>
    <t>Kostnadsersättningar</t>
  </si>
  <si>
    <t>Övriga främmande tjänster</t>
  </si>
  <si>
    <t>781, 782,784</t>
  </si>
  <si>
    <t>6192, 692, 696, 73, 76</t>
  </si>
  <si>
    <t>Fastighets-, fordons- o trängselskatt, Försäkringspremier o riskkostnader, div.kostnad.</t>
  </si>
  <si>
    <t>Bidrag motpart staten och statliga myndigh.</t>
  </si>
  <si>
    <t>Pensionsutbetalningar intjänade fr.o.m.98</t>
  </si>
  <si>
    <t>Pensutbetalningar intjänade före 98</t>
  </si>
  <si>
    <t>Pens.utbet. särsk. avtalspens., visstidspens.</t>
  </si>
  <si>
    <t>(Reavinst vid) Försäljning av finans. anläggningstillg.</t>
  </si>
  <si>
    <t>859 ej [8597, 8598]</t>
  </si>
  <si>
    <t>Generella bidrag från staten  m.m.</t>
  </si>
  <si>
    <t>[46]</t>
  </si>
  <si>
    <t>Köp av huvudverksamhet [46]</t>
  </si>
  <si>
    <t>617, 618</t>
  </si>
  <si>
    <t>63, 695</t>
  </si>
  <si>
    <t>50, 51, 53, 54, 55x2, 5598</t>
  </si>
  <si>
    <t>[50-51, 53, 54, 55x2, 5598]</t>
  </si>
  <si>
    <t>[55x1, 5597, 60,"ej 601", 61"ej 617,618", 63, 66, 68, 69"ej 691", 70-72, 731-734, 74, 75, 76, 787</t>
  </si>
  <si>
    <t>Kostn.avs. ersättning för pers. assistenter</t>
  </si>
  <si>
    <t>361, 363</t>
  </si>
  <si>
    <t>Försälj.av verksamh. och tjänster, motpart kommun</t>
  </si>
  <si>
    <t>Försälj.av verksamh. och tjänster,motpart landsting</t>
  </si>
  <si>
    <t>Försälj.av verksamh. och tjänster, motpart övr. mm.</t>
  </si>
  <si>
    <t>361 ,363</t>
  </si>
  <si>
    <t>Förs. av verksamh. till annan komm.</t>
  </si>
  <si>
    <t>361</t>
  </si>
  <si>
    <t>Därav köp av huvudverksamhet</t>
  </si>
  <si>
    <t>Motpartsredovisning av köp av huvudverksamhet [46]</t>
  </si>
  <si>
    <t>341</t>
  </si>
  <si>
    <t>651</t>
  </si>
  <si>
    <t>317</t>
  </si>
  <si>
    <t>327</t>
  </si>
  <si>
    <t>087</t>
  </si>
  <si>
    <t>062</t>
  </si>
  <si>
    <t>063</t>
  </si>
  <si>
    <t>064</t>
  </si>
  <si>
    <t>Not 1: 26-27 (ej 271), 289, 29 (ej 292, 293, 296, 298)</t>
  </si>
  <si>
    <t>Driftbidr., motpart staten o statl.myndigheter, exkl.AF</t>
  </si>
  <si>
    <t>Driftbidrag, motpart arbetsförmedlingen</t>
  </si>
  <si>
    <t>del av 453</t>
  </si>
  <si>
    <t xml:space="preserve">6192, 692, 696 </t>
  </si>
  <si>
    <r>
      <rPr>
        <b/>
        <sz val="7"/>
        <rFont val="Helvetica"/>
        <family val="2"/>
      </rPr>
      <t>Not 2</t>
    </r>
    <r>
      <rPr>
        <sz val="7"/>
        <rFont val="Helvetica"/>
        <family val="2"/>
      </rPr>
      <t>: 55x1, 5597, 61 ej [617, 618, 6192], 699, 70 ej 701, 71-72</t>
    </r>
  </si>
  <si>
    <t>808, 809</t>
  </si>
  <si>
    <t>Mellankommunal kostn.utj., Övriga skatter</t>
  </si>
  <si>
    <t>- Försäljningspris / avyttring</t>
  </si>
  <si>
    <t>[40"ej 401", 41, 43, 617, 618, 62, 64-65, 691]</t>
  </si>
  <si>
    <t>Landsting/Regioner</t>
  </si>
  <si>
    <t>Enskilda personer, hushåll</t>
  </si>
  <si>
    <t>Kommunalförbund och SKL</t>
  </si>
  <si>
    <t>Staten, statl. Myndigheter (inkl.FK)</t>
  </si>
  <si>
    <t>[342, 351 [ej mot-part 81], 354, 356, 357, 359]</t>
  </si>
  <si>
    <t>Därav försäljning av verksamhet till kommuner och landsting</t>
  </si>
  <si>
    <t xml:space="preserve"> [30, 34 ej 341, 35-36] </t>
  </si>
  <si>
    <t>Externa bostadshyror och lokalhyror</t>
  </si>
  <si>
    <t>361 motp.82, 84</t>
  </si>
  <si>
    <t>Försäljning av verksamhet till andra kommuner och landsting</t>
  </si>
  <si>
    <t>BAS 13:            [361] motpart 82, 84</t>
  </si>
  <si>
    <t>BAS 13:</t>
  </si>
  <si>
    <t>Därav                                köp av verksamhet</t>
  </si>
  <si>
    <t>inkomster</t>
  </si>
  <si>
    <t>[4537, 4538, 788]</t>
  </si>
  <si>
    <t>[342,353,354, 356, 357, 359]</t>
  </si>
  <si>
    <t>Avsättningar för pensioner och liknande förpliktelser</t>
  </si>
  <si>
    <t>Avsättningar för särskild avtalspens, visstidspens.o liknande</t>
  </si>
  <si>
    <t>fastighets-,fordons- och trängselskatt</t>
  </si>
  <si>
    <t>Reaförluster o div. period. [78 "ej 787,"]</t>
  </si>
  <si>
    <t>138</t>
  </si>
  <si>
    <t>Grundfondskapital</t>
  </si>
  <si>
    <t>133, 134</t>
  </si>
  <si>
    <t>132, 137</t>
  </si>
  <si>
    <t>104</t>
  </si>
  <si>
    <t>31 [ej 311, 312]</t>
  </si>
  <si>
    <t>[31]</t>
  </si>
  <si>
    <t>Buss, bil och spårbundna persontransporter</t>
  </si>
  <si>
    <t>Väg- och järnvägsnät, parkering</t>
  </si>
  <si>
    <t>Justeringar i Eget kapital</t>
  </si>
  <si>
    <t xml:space="preserve">Lärverktyg </t>
  </si>
  <si>
    <t>Varor m.m.</t>
  </si>
  <si>
    <t>Försälj. av anl.tillg.,  [38]</t>
  </si>
  <si>
    <t>Kommun-                  nyckel</t>
  </si>
  <si>
    <t>SCB-             nyckel</t>
  </si>
  <si>
    <t xml:space="preserve">             Fördelning i kolumnen kommunnyckel </t>
  </si>
  <si>
    <t xml:space="preserve">             Fördelning i kolumnen SCB-nyckel</t>
  </si>
  <si>
    <t>Drift!$X$120</t>
  </si>
  <si>
    <t>'Verks int o kostn'!$D$76</t>
  </si>
  <si>
    <t>RR!$E$7</t>
  </si>
  <si>
    <t>BR!$F$78</t>
  </si>
  <si>
    <t>BR!$F$60</t>
  </si>
  <si>
    <t>'Verks int o kostn'!$E$20</t>
  </si>
  <si>
    <t>'Verks int o kostn'!$E$21</t>
  </si>
  <si>
    <t>'Verks int o kostn'!$J$23</t>
  </si>
  <si>
    <t>'Verks int o kostn'!$J$45</t>
  </si>
  <si>
    <t>'Verks int o kostn'!$J$41</t>
  </si>
  <si>
    <t>'Skatter, bidrag o fin poster'!$E$11</t>
  </si>
  <si>
    <t>'Skatter, bidrag o fin poster'!$P$23</t>
  </si>
  <si>
    <t>Investeringar!$C$16</t>
  </si>
  <si>
    <t>Investeringar!$D$16</t>
  </si>
  <si>
    <t>Investeringar!$E$16</t>
  </si>
  <si>
    <t>Investeringar!$I$67</t>
  </si>
  <si>
    <t>Investeringar!$F$16</t>
  </si>
  <si>
    <t>Drift!$AD$113</t>
  </si>
  <si>
    <t>Drift!$AD$116</t>
  </si>
  <si>
    <t>Drift!$N$114</t>
  </si>
  <si>
    <t>Drift!$P$125</t>
  </si>
  <si>
    <t>Drift!$Q$122</t>
  </si>
  <si>
    <t>Drift!$W$123</t>
  </si>
  <si>
    <t>Drift!$X$119</t>
  </si>
  <si>
    <t>Motpart!$M$40</t>
  </si>
  <si>
    <t>Motpart!$U$42</t>
  </si>
  <si>
    <t>Motpart!$X$40</t>
  </si>
  <si>
    <t>Motpart!$Y$42</t>
  </si>
  <si>
    <t>Motpart!$Z$42</t>
  </si>
  <si>
    <t>Motpart!$AA$42</t>
  </si>
  <si>
    <t>Motpart!$AB$42</t>
  </si>
  <si>
    <t>Motpart!$AC$42</t>
  </si>
  <si>
    <t>Motpart!$AD$10</t>
  </si>
  <si>
    <t>Motpart!$AD$38</t>
  </si>
  <si>
    <t>'Pedagogisk verksamhet'!$P$43</t>
  </si>
  <si>
    <t>'Pedagogisk verksamhet'!$P$53</t>
  </si>
  <si>
    <t>Kontrollblad!$F$7</t>
  </si>
  <si>
    <t>'Pedagogisk verksamhet'!$P$67</t>
  </si>
  <si>
    <t>Kontrollblad!$F$18</t>
  </si>
  <si>
    <t>Kontrollblad!$F$26</t>
  </si>
  <si>
    <t>Kontrollblad!$F$43</t>
  </si>
  <si>
    <t>Kontrollblad!$F$51</t>
  </si>
  <si>
    <t>Kontrollblad!$F$60</t>
  </si>
  <si>
    <t>Kontrollblad!$F$68</t>
  </si>
  <si>
    <t>Kontrollblad!$F$76</t>
  </si>
  <si>
    <t>Kontrollblad!$F$89</t>
  </si>
  <si>
    <t>Kontrollblad!$F$102</t>
  </si>
  <si>
    <t>Kontrollblad!$F$110</t>
  </si>
  <si>
    <t>Kontrollblad!$F$118</t>
  </si>
  <si>
    <t>Kontrollblad!$F$128</t>
  </si>
  <si>
    <t>Kontrollblad!$F$141</t>
  </si>
  <si>
    <t>'Äldre o personer funktionsn'!$N$20</t>
  </si>
  <si>
    <t>'Äldre o personer funktionsn'!$N$29</t>
  </si>
  <si>
    <t>'Äldre o personer funktionsn'!$N$37</t>
  </si>
  <si>
    <t>'Äldre o personer funktionsn'!$D$59</t>
  </si>
  <si>
    <t>IFO!$J$30</t>
  </si>
  <si>
    <t>IFO!$J$20</t>
  </si>
  <si>
    <t>IFO!$J$28</t>
  </si>
  <si>
    <t>IFO!$J$36</t>
  </si>
  <si>
    <t>20</t>
  </si>
  <si>
    <t>EGET KAPITAL, utgående värde</t>
  </si>
  <si>
    <t xml:space="preserve">        därav Resultatutjämningsreserv</t>
  </si>
  <si>
    <t>Invånarantal 1-5 år</t>
  </si>
  <si>
    <t>Invånarantal 6-12 år</t>
  </si>
  <si>
    <t>Invånarantal 6 år</t>
  </si>
  <si>
    <t>Invånarantal 7-15 år</t>
  </si>
  <si>
    <t>Invånarantal 6-15 år</t>
  </si>
  <si>
    <t>Invånarantal 16-18 år</t>
  </si>
  <si>
    <t>Särskild utbildning för vuxna</t>
  </si>
  <si>
    <t>Förskola, kostnad per invånare 1-5 år</t>
  </si>
  <si>
    <t>Förskola, kostnad per invånare 1-5 år kommunal regi</t>
  </si>
  <si>
    <t>Förskola, kostnad för lokaler/invånare 1-5 år kommunal regi</t>
  </si>
  <si>
    <t>Förskola, köp av platser i annan kommun per invånare 1-5 år</t>
  </si>
  <si>
    <t>Förskola, försäljning av platser till annan kommun per invånare 1-5 år</t>
  </si>
  <si>
    <t>Förskola, köp av platser i enskild regi per invånare 1-5 år</t>
  </si>
  <si>
    <t>Kostnad per invånare 16-18 år kommunal regi.</t>
  </si>
  <si>
    <t>Kostnad per invånare 16-18 år för undervisning kommunal regi.</t>
  </si>
  <si>
    <t>Kostnad per invånare 16-18 år för lärverktyg kommunal regi.</t>
  </si>
  <si>
    <t>Kostnad per invånare 16-18 år för skolmåltider kommunal regi.</t>
  </si>
  <si>
    <t>Kostnad per invånare 16-18 år skolskjuts hemkommunen.</t>
  </si>
  <si>
    <t>Kostnad per invånare 16-18 år för elevhälsa kommunal regi.</t>
  </si>
  <si>
    <t>Lokalkostnad per invånare 16-18 år kommunal regi.</t>
  </si>
  <si>
    <t>Kostnad per invånare 16-18 år för övrigt kommunal regi.</t>
  </si>
  <si>
    <t>Kostnad per invånare 16-18 år för hemkommunen.</t>
  </si>
  <si>
    <t>Köp av platser i annan kommun per invånare 16-18 år.</t>
  </si>
  <si>
    <t>Försäljning av platser till annan kommun per invånare 16-18 år.</t>
  </si>
  <si>
    <t>Köp av plater från landsting per invånare 16-18 år.</t>
  </si>
  <si>
    <t>Köp av platser i fristående skola per invånare 16-18 år</t>
  </si>
  <si>
    <t>Köp av platser i fristående skola per invånare 16-18 år.</t>
  </si>
  <si>
    <t>Kostnad per invånare 19-64 år kommunal regi</t>
  </si>
  <si>
    <t>Kostnad per invånare 19-64 år för undervisning.</t>
  </si>
  <si>
    <t>Kostnad per invånare 19-64 år för lärverktyg</t>
  </si>
  <si>
    <t>Kostnad per invånare 19-64 år för elevhälsa.</t>
  </si>
  <si>
    <t>Kostnad per invånare 19-64 år för lokaler.</t>
  </si>
  <si>
    <t>Kostnad per invånare 19-64 år för övigt.</t>
  </si>
  <si>
    <t>Kostnad per invånare 19-64 år för hemkommunen, grundläggande och gymnasial vuxenutbildning.</t>
  </si>
  <si>
    <t>Kostnad per invånare 6-15 år kommunal regi.</t>
  </si>
  <si>
    <t>Kostnad per invånare 6-15 år för undervisning kommunal regi.</t>
  </si>
  <si>
    <t>Kostnad per invånare 6-15 år för lärverktyg kommunal regi.</t>
  </si>
  <si>
    <t>Kostnad per invånare 6-15 år för skolmåltider kommunal regi.</t>
  </si>
  <si>
    <t>Kostnad per invånare 6-15 år skolskjuts hemkommunen.</t>
  </si>
  <si>
    <t>Kostnad per invånare 6-15 år för elevhälsa kommunal regi.</t>
  </si>
  <si>
    <t>Lokalkostnad per invånare 6-15 år kommunal regi.</t>
  </si>
  <si>
    <t>Kostnad per invånare 6-15 år för övrigt kommunal regi.</t>
  </si>
  <si>
    <t>Kostnad per invånare 6-15 år för hemkommunen.</t>
  </si>
  <si>
    <t>Köp av platser i annan kommun per invånare 6-15 år.</t>
  </si>
  <si>
    <t>Försäljning av platser till annan kommun per invånare 6-15 år.</t>
  </si>
  <si>
    <t>Köp av platser från landsting per invånare 6-15 år.</t>
  </si>
  <si>
    <t>Köp av platser i fristående skola per invånare 6-15 år.</t>
  </si>
  <si>
    <t>Kostnad per invånare 7-15 år kommunal regi.</t>
  </si>
  <si>
    <t>Kostnad per  invånare 7-15 år för undervisning kommunal regi.</t>
  </si>
  <si>
    <t>Kostnad per  invånare 7-15 år för lärverktyg kommunal regi.</t>
  </si>
  <si>
    <t>Kostnad per  invånare 7-15 år för skolmåltider kommunal regi.</t>
  </si>
  <si>
    <t>Kostnad per  invånare 7-15 år för skolskjuts hemkommun.</t>
  </si>
  <si>
    <t>Kostnad per  invånare 7-15 år för elevhälsa kommunal regi.</t>
  </si>
  <si>
    <t>Kostnad per  invånare 7-15 år för lokaler kommunal regi.</t>
  </si>
  <si>
    <t>Kostnad per  invånare 7-15 år för övrigt kommunal regi.</t>
  </si>
  <si>
    <t>Kostnad per  invånare 7-15 år för hemkommunen.</t>
  </si>
  <si>
    <t>Köp av platser i annan kommun per  invånare 7-15 år.</t>
  </si>
  <si>
    <t>Försäljning av platser till annan kommun per  invånare 7-15 år.</t>
  </si>
  <si>
    <t>Köp av platser i fristående skola per  invånare 7-15 år.</t>
  </si>
  <si>
    <t>Förskoleklass, kostnad per invånare 6 år för hemkommunen</t>
  </si>
  <si>
    <t>Förskoleklass, kostnad per invånare 6 år kommunal regi</t>
  </si>
  <si>
    <t>Förskolklass, kostnad för lokaler/invånare 6 år i kommunal regi.</t>
  </si>
  <si>
    <t>Förskoleklass, köp av platser i annan kommun per invånare 6 år</t>
  </si>
  <si>
    <t>Förskoleklass, försäljning av platser till annan kommun per invånare 6 år.</t>
  </si>
  <si>
    <t>Förskoleklass, köp av platser i enskild regi per invånare 6 år.</t>
  </si>
  <si>
    <t>Fritidshem, kostnad per invånare 6-12 år för hemkommunen</t>
  </si>
  <si>
    <t>Fritidshem, kostnad per invånare 6-12 år kommunal regi</t>
  </si>
  <si>
    <t>Fritidshem, kostnad för lokaler/invånare 6-12 år kommunal regi</t>
  </si>
  <si>
    <t>Fritidshem, köp av platser i annan kommun per invånare 6-12 år</t>
  </si>
  <si>
    <t>Fritidshem, försäljning av platser till annan kommun per invånare 6-12 år</t>
  </si>
  <si>
    <t>Fritidshem, köp av platser i enskild regi per invånare 6-12 år</t>
  </si>
  <si>
    <t>Justering slutavräkning år 2013</t>
  </si>
  <si>
    <t>Justeringspost slutavräkning år 2014</t>
  </si>
  <si>
    <t>Ackumulerat, ej återställt negativt resultat inkl. 2014-års resultat.</t>
  </si>
  <si>
    <t>147</t>
  </si>
  <si>
    <t>Avgår: medel till resultatutjämningsreserv (RUR)</t>
  </si>
  <si>
    <t>Tillägg medel från resultatutjämninsreserv (RUR)</t>
  </si>
  <si>
    <t>Summa balanskravsresultat efter RUR</t>
  </si>
  <si>
    <t>Avgår: övriga justeringar</t>
  </si>
  <si>
    <t>Tillägg: övriga justeringar</t>
  </si>
  <si>
    <t>Årets balanskravsresultat</t>
  </si>
  <si>
    <t>Synnerliga skäl för att inte behöva återställa ett negativt resultat</t>
  </si>
  <si>
    <t>+ Inköp / nyanskaffning inklusive pågående arbeten</t>
  </si>
  <si>
    <t>(Reavinst vid) försäljning av anläggningstillgångar</t>
  </si>
  <si>
    <t>Exploateringsfastigheter(avser kommun)</t>
  </si>
  <si>
    <t>Entrepren., Konsulter</t>
  </si>
  <si>
    <t>Inköp av maskiner o</t>
  </si>
  <si>
    <t>Inköp av mark, byggn.</t>
  </si>
  <si>
    <t>Investerings-</t>
  </si>
  <si>
    <t>utgifter</t>
  </si>
  <si>
    <t>Därav borgensåtaganden för lån</t>
  </si>
  <si>
    <t xml:space="preserve">      varav för lån</t>
  </si>
  <si>
    <t>Borgensavgift</t>
  </si>
  <si>
    <t>Däravpost till finansiella kostnader</t>
  </si>
  <si>
    <t>042</t>
  </si>
  <si>
    <t xml:space="preserve">           varav  för lån av offentligt ägda bolag</t>
  </si>
  <si>
    <t>Återbet borgensåt.</t>
  </si>
  <si>
    <t>161</t>
  </si>
  <si>
    <t>162</t>
  </si>
  <si>
    <t xml:space="preserve">Förändring mellan </t>
  </si>
  <si>
    <t>Förändring mellan</t>
  </si>
  <si>
    <t xml:space="preserve">Bruttokost-nad ./. Interna intäkter och försäljning till andra kommuner o </t>
  </si>
  <si>
    <t>landsting</t>
  </si>
  <si>
    <t>Bruttokost-nad ./. Interna intäkter och försäljning till andra kommuner och landsting</t>
  </si>
  <si>
    <t>RIKSTOTAL</t>
  </si>
  <si>
    <t xml:space="preserve"> Kommunernas finanser</t>
  </si>
  <si>
    <t>I denna sammanställning ingår Region Gotland till 100 %</t>
  </si>
  <si>
    <t>342</t>
  </si>
  <si>
    <t>Anskaffningskostn, försåld exploat.fastigh.</t>
  </si>
  <si>
    <t>733,734, 765</t>
  </si>
  <si>
    <t>larm o bevakning, brandskydd, avgifter för kurser m.m.</t>
  </si>
  <si>
    <t>Begravninsavgift (Stockholm och Tranås)</t>
  </si>
  <si>
    <t>Tillfälligt stöd med anledning av</t>
  </si>
  <si>
    <t>flyktingsituationen</t>
  </si>
  <si>
    <t>Utdeln.aktier,andel.koncernftg.</t>
  </si>
  <si>
    <t>Anskaffnin.kostn försåld exploat.fastigh [422]</t>
  </si>
  <si>
    <t>Kostnader 2015</t>
  </si>
  <si>
    <t>Netto-kostnad</t>
  </si>
  <si>
    <t xml:space="preserve">Produktions-kostnad </t>
  </si>
  <si>
    <t>Bruttokostnad ./. Bruttointäkt</t>
  </si>
  <si>
    <t>Bruttokostnad ./. Köp av huvud-verksamhet ./. Lämnade bidrag ./. Interna intäkter</t>
  </si>
  <si>
    <t>år 2015</t>
  </si>
  <si>
    <t xml:space="preserve">Investeringar fördelade på verksamheter </t>
  </si>
  <si>
    <r>
      <t xml:space="preserve">BAS13 [617,618,74,75] </t>
    </r>
    <r>
      <rPr>
        <sz val="7"/>
        <rFont val="Helvetica"/>
        <family val="2"/>
      </rPr>
      <t xml:space="preserve">                                        </t>
    </r>
  </si>
  <si>
    <t>067</t>
  </si>
  <si>
    <t>15-17</t>
  </si>
  <si>
    <t>18</t>
  </si>
  <si>
    <t>131</t>
  </si>
  <si>
    <t>del av 228</t>
  </si>
  <si>
    <t>Avsättn. bidrag till infrastruktur</t>
  </si>
  <si>
    <t>132</t>
  </si>
  <si>
    <t>del av 238</t>
  </si>
  <si>
    <t>Årets uppbokade investeringsbidrag</t>
  </si>
  <si>
    <t>133</t>
  </si>
  <si>
    <t>del av 23</t>
  </si>
  <si>
    <t>Nyupptagna lån</t>
  </si>
  <si>
    <t>Lån för vidarutlåning till koncernföretagen</t>
  </si>
  <si>
    <t xml:space="preserve">Uppgifterna för koncernen </t>
  </si>
  <si>
    <t>134</t>
  </si>
  <si>
    <t>242</t>
  </si>
  <si>
    <t>Kortfristig del av långfristig skuld</t>
  </si>
  <si>
    <t>lämnas nedan</t>
  </si>
  <si>
    <r>
      <rPr>
        <b/>
        <sz val="7"/>
        <rFont val="Helvetica"/>
        <family val="2"/>
      </rPr>
      <t xml:space="preserve">Koncern: </t>
    </r>
    <r>
      <rPr>
        <sz val="7"/>
        <rFont val="Helvetica"/>
        <family val="2"/>
      </rPr>
      <t>Kortfrist. skulder till kreditinst. o kunder</t>
    </r>
  </si>
  <si>
    <t xml:space="preserve">                                Varav kortfristig del av långfr. skuld</t>
  </si>
  <si>
    <t>Investeringsbidrag (periodiserade över nyttjandetid)</t>
  </si>
  <si>
    <t>Övriga bidrag (driftbidrag)</t>
  </si>
  <si>
    <r>
      <t xml:space="preserve">Koncern
</t>
    </r>
    <r>
      <rPr>
        <sz val="7"/>
        <color indexed="8"/>
        <rFont val="Helvetica"/>
        <family val="2"/>
      </rPr>
      <t>Materiella anläggningstillg.[11,12]</t>
    </r>
  </si>
  <si>
    <r>
      <t xml:space="preserve">Koncern
</t>
    </r>
    <r>
      <rPr>
        <sz val="7"/>
        <color indexed="8"/>
        <rFont val="Helvetica"/>
        <family val="2"/>
      </rPr>
      <t>Finansiella anläggningstillg.[13, ej 139]</t>
    </r>
  </si>
  <si>
    <t>Tilläggsuppgifter avseende kommunens investeringsredovisning  1000 tal kr</t>
  </si>
  <si>
    <t xml:space="preserve">Vid redovisning av försäljning av mark ska enbart själva markens inkomst redovisas.  </t>
  </si>
  <si>
    <t>Om ingen exakt uppdelning finns mellan mark och eventuell byggnad/anläggning så får en uppskattning med utgångspunkt ur bokfört värde göras.</t>
  </si>
  <si>
    <t>Rad-nr</t>
  </si>
  <si>
    <t>Inköp och försäljning av mark oavsett bokfört som omsättningstillgång eller anläggningstillgång</t>
  </si>
  <si>
    <t>Inköp av mark</t>
  </si>
  <si>
    <t>Försäljning av mark, brutto inklusive rearesultat</t>
  </si>
  <si>
    <t>Investeringsinkomster, exklusive försäljning av anläggningstillgångar</t>
  </si>
  <si>
    <t>Totalt (exklusive försäljning av anl.tillg.</t>
  </si>
  <si>
    <t>715</t>
  </si>
  <si>
    <t xml:space="preserve">   därav investeringsbidrag från staten o statl.myndigheter</t>
  </si>
  <si>
    <t>720</t>
  </si>
  <si>
    <t xml:space="preserve">   därav investeringsbidrag från EU</t>
  </si>
  <si>
    <t>725</t>
  </si>
  <si>
    <t xml:space="preserve">   därav investeringsinkomster från företag</t>
  </si>
  <si>
    <t>730</t>
  </si>
  <si>
    <t xml:space="preserve">   därav övriga investeringsinkomster</t>
  </si>
  <si>
    <t>Tilläggsuppgifter avseende investeringar i företag/bolag/stiftelser/kommunalförbund som konsolideras i den sammanställda redovisningen 1000 tal kr</t>
  </si>
  <si>
    <r>
      <t xml:space="preserve">Det som avses är de investeringar som har gjorts av de företag/bolag/stiftelser/kommunalförbund som konsolideras i den sammanställda redovisningen. </t>
    </r>
    <r>
      <rPr>
        <b/>
        <sz val="8"/>
        <rFont val="Helvetica"/>
        <family val="2"/>
      </rPr>
      <t xml:space="preserve">Endast kommunens andel  anges. </t>
    </r>
  </si>
  <si>
    <t xml:space="preserve">Beloppen ska delas in utifrån den verksamhet som företagen klassificeras som enligt de alternativ som finns nedan.  T ex ska 50 % av ett bostadsföretags investeringsbelopp, som ägs </t>
  </si>
  <si>
    <t>till 50 % av kommunen, anges på raden för fastighetsverksamhet. I beloppet ska bolagets samtliga investeringsutgifter/inkomster ingå,dvs. inte enbart fastighetsinvesteringar.</t>
  </si>
  <si>
    <t>Bransch</t>
  </si>
  <si>
    <t>Företagen/    dotterbolagen</t>
  </si>
  <si>
    <t>(före konsolidering)</t>
  </si>
  <si>
    <t>(exkl. förs. av anl.tillgångar)</t>
  </si>
  <si>
    <t>735</t>
  </si>
  <si>
    <t>Fastighetsverksamhet</t>
  </si>
  <si>
    <t>740</t>
  </si>
  <si>
    <t>Energi och vatten</t>
  </si>
  <si>
    <t>745</t>
  </si>
  <si>
    <t>Transport och kommunikation</t>
  </si>
  <si>
    <t>750</t>
  </si>
  <si>
    <t>Övriga</t>
  </si>
  <si>
    <t>755</t>
  </si>
  <si>
    <t>Summa</t>
  </si>
  <si>
    <t>Summa kortfristiga fordringar</t>
  </si>
  <si>
    <t>Summa kortfristiga placeringar</t>
  </si>
  <si>
    <t>Särskild momsers. vid köp av ej skattepl. verksamh.</t>
  </si>
  <si>
    <t>Intern hantering inom kommunen: Synnerliga skäl att inte täcka underskott eller andra interna justeringar</t>
  </si>
  <si>
    <r>
      <rPr>
        <b/>
        <sz val="7"/>
        <rFont val="Helvetica"/>
        <family val="2"/>
      </rPr>
      <t xml:space="preserve">Not 1: </t>
    </r>
    <r>
      <rPr>
        <sz val="7"/>
        <rFont val="Helvetica"/>
        <family val="2"/>
      </rPr>
      <t xml:space="preserve">402,403, 41, 422, 43, 64 ej 644, 654, 655  </t>
    </r>
  </si>
  <si>
    <t>Netto-kostnader 2016</t>
  </si>
  <si>
    <t>Kostnader 2016</t>
  </si>
  <si>
    <t>2015 - 2016</t>
  </si>
  <si>
    <t>2015 och 2016</t>
  </si>
  <si>
    <t xml:space="preserve"> 2015 och 2016</t>
  </si>
  <si>
    <t>år 2016</t>
  </si>
  <si>
    <t>Föränd. %  2015 - 2016</t>
  </si>
  <si>
    <t>Förändring kostnader 2015-2016 procent</t>
  </si>
  <si>
    <t>Därav personal-kostnader</t>
  </si>
  <si>
    <t>[50-51, 53, 54, 55x2, 5598, samt PO]</t>
  </si>
  <si>
    <t>Dagverksamhet, ordinärt boende</t>
  </si>
  <si>
    <t>Kostnad eget åtagande</t>
  </si>
  <si>
    <t>Köp av huvud- verksamhet [46]</t>
  </si>
  <si>
    <t>Föreningar, stifelser</t>
  </si>
  <si>
    <t>Kommun- ägda företag</t>
  </si>
  <si>
    <t>Staten och statl.myndigh</t>
  </si>
  <si>
    <t>Kommunal- förbund</t>
  </si>
  <si>
    <t>Därav köp av huvudverk-samhet</t>
  </si>
  <si>
    <t>[50-51, 53, 54, 55x2, 5598] samt PO</t>
  </si>
  <si>
    <t>Värde mnkr</t>
  </si>
  <si>
    <r>
      <t>Infrastruktur, skydd m.m.</t>
    </r>
    <r>
      <rPr>
        <sz val="7"/>
        <rFont val="Helvetica"/>
        <family val="2"/>
      </rPr>
      <t xml:space="preserve">                                                        Fysisk o. teknisk planering, bostadsförbättr.</t>
    </r>
  </si>
  <si>
    <t>Värde</t>
  </si>
  <si>
    <t xml:space="preserve">Värde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</si>
</sst>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kr&quot;#,##0_);[Red]\(&quot;kr&quot;#,##0\)"/>
    <numFmt numFmtId="165" formatCode="000"/>
    <numFmt numFmtId="166" formatCode="###,###,###"/>
    <numFmt numFmtId="167" formatCode=";;;"/>
    <numFmt numFmtId="168" formatCode="#,##0.0000"/>
    <numFmt numFmtId="169" formatCode="0.0000"/>
    <numFmt numFmtId="170" formatCode="###,##0"/>
    <numFmt numFmtId="171" formatCode="#,###"/>
    <numFmt numFmtId="172" formatCode="#,##0.0000000"/>
  </numFmts>
  <fonts count="139">
    <font>
      <sz val="10"/>
      <name val="Arial"/>
    </font>
    <font>
      <sz val="10"/>
      <name val="Helvetica"/>
      <family val="2"/>
    </font>
    <font>
      <sz val="8"/>
      <name val="Helvetica"/>
      <family val="2"/>
    </font>
    <font>
      <sz val="7"/>
      <name val="Helvetica"/>
      <family val="2"/>
    </font>
    <font>
      <b/>
      <sz val="8"/>
      <name val="Helvetica"/>
      <family val="2"/>
    </font>
    <font>
      <b/>
      <sz val="7"/>
      <name val="Helvetica"/>
      <family val="2"/>
    </font>
    <font>
      <b/>
      <sz val="11"/>
      <name val="Helvetica"/>
      <family val="2"/>
    </font>
    <font>
      <sz val="7"/>
      <name val="Arial"/>
      <family val="2"/>
    </font>
    <font>
      <sz val="7"/>
      <name val="Helvetica"/>
      <family val="2"/>
    </font>
    <font>
      <sz val="8"/>
      <name val="Arial"/>
      <family val="2"/>
    </font>
    <font>
      <sz val="8"/>
      <color indexed="8"/>
      <name val="Helvetica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etica"/>
      <family val="2"/>
    </font>
    <font>
      <b/>
      <sz val="7"/>
      <name val="Helvetica"/>
      <family val="2"/>
    </font>
    <font>
      <b/>
      <sz val="10"/>
      <name val="Helvetica"/>
      <family val="2"/>
    </font>
    <font>
      <sz val="7"/>
      <color indexed="8"/>
      <name val="Helvetica"/>
      <family val="2"/>
    </font>
    <font>
      <sz val="12"/>
      <name val="Times New Roman"/>
      <family val="1"/>
    </font>
    <font>
      <b/>
      <sz val="12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Helvetica"/>
      <family val="2"/>
    </font>
    <font>
      <b/>
      <sz val="7"/>
      <name val="Coronet"/>
      <family val="2"/>
    </font>
    <font>
      <b/>
      <sz val="8"/>
      <name val="Coronet"/>
      <family val="2"/>
    </font>
    <font>
      <b/>
      <sz val="11"/>
      <name val="Coronet"/>
      <family val="2"/>
    </font>
    <font>
      <b/>
      <sz val="12"/>
      <color indexed="9"/>
      <name val="Arial Black"/>
      <family val="2"/>
    </font>
    <font>
      <sz val="10"/>
      <color indexed="9"/>
      <name val="Coronet"/>
      <family val="2"/>
    </font>
    <font>
      <b/>
      <sz val="9"/>
      <color indexed="9"/>
      <name val="Coronet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10"/>
      <color indexed="47"/>
      <name val="Arial"/>
      <family val="2"/>
    </font>
    <font>
      <sz val="7"/>
      <color indexed="10"/>
      <name val="Helvetica"/>
      <family val="2"/>
    </font>
    <font>
      <sz val="8"/>
      <color indexed="10"/>
      <name val="Helvetica"/>
      <family val="2"/>
    </font>
    <font>
      <sz val="7"/>
      <color indexed="10"/>
      <name val="Arial"/>
      <family val="2"/>
    </font>
    <font>
      <sz val="9"/>
      <name val="Helvetica"/>
      <family val="2"/>
    </font>
    <font>
      <sz val="10"/>
      <color indexed="9"/>
      <name val="Arial"/>
      <family val="2"/>
    </font>
    <font>
      <sz val="8"/>
      <color indexed="47"/>
      <name val="Arial"/>
      <family val="2"/>
    </font>
    <font>
      <sz val="8"/>
      <color indexed="9"/>
      <name val="Arial"/>
      <family val="2"/>
    </font>
    <font>
      <sz val="7"/>
      <color indexed="37"/>
      <name val="Helvetica"/>
      <family val="2"/>
    </font>
    <font>
      <sz val="8"/>
      <color indexed="37"/>
      <name val="Helvetica"/>
      <family val="2"/>
    </font>
    <font>
      <sz val="7"/>
      <color indexed="8"/>
      <name val="Arial"/>
      <family val="2"/>
    </font>
    <font>
      <sz val="10"/>
      <color indexed="39"/>
      <name val="Arial"/>
      <family val="2"/>
    </font>
    <font>
      <sz val="8"/>
      <color indexed="39"/>
      <name val="Helvetica"/>
      <family val="2"/>
    </font>
    <font>
      <b/>
      <sz val="7"/>
      <color indexed="10"/>
      <name val="Helvetica"/>
      <family val="2"/>
    </font>
    <font>
      <sz val="7"/>
      <color indexed="39"/>
      <name val="Arial"/>
      <family val="2"/>
    </font>
    <font>
      <sz val="8"/>
      <color indexed="12"/>
      <name val="Helvetica"/>
      <family val="2"/>
    </font>
    <font>
      <sz val="8"/>
      <color indexed="39"/>
      <name val="Arial"/>
      <family val="2"/>
    </font>
    <font>
      <sz val="7"/>
      <color indexed="47"/>
      <name val="Arial"/>
      <family val="2"/>
    </font>
    <font>
      <b/>
      <sz val="7"/>
      <color indexed="10"/>
      <name val="Arial"/>
      <family val="2"/>
    </font>
    <font>
      <b/>
      <sz val="10"/>
      <name val="Arial"/>
      <family val="2"/>
    </font>
    <font>
      <sz val="9"/>
      <color indexed="39"/>
      <name val="Helvetica"/>
      <family val="2"/>
    </font>
    <font>
      <sz val="7"/>
      <color indexed="47"/>
      <name val="Helvetica"/>
      <family val="2"/>
    </font>
    <font>
      <b/>
      <sz val="9"/>
      <color indexed="8"/>
      <name val="Arial Black"/>
      <family val="2"/>
    </font>
    <font>
      <b/>
      <sz val="12"/>
      <name val="Arial"/>
      <family val="2"/>
    </font>
    <font>
      <b/>
      <sz val="10"/>
      <color indexed="37"/>
      <name val="Arial"/>
      <family val="2"/>
    </font>
    <font>
      <u/>
      <sz val="10"/>
      <color indexed="36"/>
      <name val="Arial"/>
      <family val="2"/>
    </font>
    <font>
      <sz val="7"/>
      <color indexed="10"/>
      <name val="Helvetica"/>
      <family val="2"/>
    </font>
    <font>
      <sz val="11"/>
      <color indexed="9"/>
      <name val="Calibri"/>
      <family val="2"/>
    </font>
    <font>
      <sz val="10"/>
      <color indexed="9"/>
      <name val="Helvetica"/>
      <family val="2"/>
    </font>
    <font>
      <b/>
      <sz val="9"/>
      <color indexed="9"/>
      <name val="Helvetica"/>
      <family val="2"/>
    </font>
    <font>
      <sz val="7"/>
      <color indexed="8"/>
      <name val="Helvetica"/>
      <family val="2"/>
    </font>
    <font>
      <b/>
      <sz val="8"/>
      <color indexed="8"/>
      <name val="Helvetica"/>
      <family val="2"/>
    </font>
    <font>
      <sz val="7"/>
      <color indexed="8"/>
      <name val="Calibri"/>
      <family val="2"/>
    </font>
    <font>
      <b/>
      <sz val="7"/>
      <color indexed="8"/>
      <name val="Helvetica"/>
      <family val="2"/>
    </font>
    <font>
      <sz val="10"/>
      <color indexed="8"/>
      <name val="Arial"/>
      <family val="2"/>
    </font>
    <font>
      <sz val="10"/>
      <color indexed="8"/>
      <name val="Helvetica"/>
      <family val="2"/>
    </font>
    <font>
      <sz val="7"/>
      <color indexed="10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Helvetica"/>
      <family val="2"/>
    </font>
    <font>
      <b/>
      <sz val="12"/>
      <color indexed="8"/>
      <name val="Arial"/>
      <family val="2"/>
    </font>
    <font>
      <b/>
      <sz val="8"/>
      <color indexed="8"/>
      <name val="Helvetica"/>
      <family val="2"/>
    </font>
    <font>
      <b/>
      <sz val="7"/>
      <name val="Calibri"/>
      <family val="2"/>
    </font>
    <font>
      <u/>
      <sz val="10"/>
      <color indexed="12"/>
      <name val="Arial"/>
      <family val="2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sz val="8"/>
      <color indexed="9"/>
      <name val="Helvetica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Helvetica"/>
      <family val="2"/>
    </font>
    <font>
      <sz val="7"/>
      <color indexed="16"/>
      <name val="Helvetica"/>
      <family val="2"/>
    </font>
    <font>
      <sz val="10"/>
      <color indexed="16"/>
      <name val="Cambria"/>
      <family val="1"/>
    </font>
    <font>
      <b/>
      <sz val="7"/>
      <color indexed="9"/>
      <name val="Helvetica"/>
      <family val="2"/>
    </font>
    <font>
      <b/>
      <vertAlign val="superscript"/>
      <sz val="7"/>
      <name val="Helvetica"/>
      <family val="2"/>
    </font>
    <font>
      <b/>
      <vertAlign val="superscript"/>
      <sz val="7"/>
      <name val="Calibri"/>
      <family val="2"/>
    </font>
    <font>
      <vertAlign val="superscript"/>
      <sz val="7"/>
      <name val="Helvetica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10"/>
      <name val="Arial"/>
      <family val="2"/>
    </font>
    <font>
      <sz val="7"/>
      <color indexed="9"/>
      <name val="Arial"/>
      <family val="2"/>
    </font>
    <font>
      <sz val="10"/>
      <color indexed="39"/>
      <name val="Helvetica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8"/>
      <color indexed="50"/>
      <name val="Helvetica"/>
      <family val="2"/>
    </font>
    <font>
      <sz val="10"/>
      <color indexed="39"/>
      <name val="Arial"/>
      <family val="2"/>
    </font>
    <font>
      <b/>
      <sz val="8"/>
      <color indexed="25"/>
      <name val="Arial"/>
      <family val="2"/>
    </font>
    <font>
      <b/>
      <sz val="10"/>
      <color indexed="25"/>
      <name val="Arial"/>
      <family val="2"/>
    </font>
    <font>
      <sz val="7"/>
      <name val="Helvetica "/>
    </font>
    <font>
      <sz val="8"/>
      <color indexed="9"/>
      <name val="Helvetica"/>
      <family val="2"/>
    </font>
    <font>
      <sz val="7"/>
      <color indexed="9"/>
      <name val="Cambria"/>
      <family val="1"/>
    </font>
    <font>
      <sz val="8"/>
      <color indexed="9"/>
      <name val="Cambria"/>
      <family val="1"/>
    </font>
    <font>
      <sz val="10"/>
      <color indexed="9"/>
      <name val="Cambria"/>
      <family val="1"/>
    </font>
    <font>
      <sz val="7"/>
      <name val="Cambria"/>
      <family val="1"/>
    </font>
    <font>
      <u/>
      <sz val="10"/>
      <name val="Arial"/>
      <family val="2"/>
    </font>
    <font>
      <b/>
      <u/>
      <sz val="10"/>
      <color indexed="12"/>
      <name val="Arial"/>
      <family val="2"/>
    </font>
    <font>
      <sz val="6.5"/>
      <name val="Helvetica"/>
      <family val="2"/>
    </font>
    <font>
      <sz val="7"/>
      <name val="Helvetica"/>
      <family val="2"/>
    </font>
    <font>
      <b/>
      <sz val="26"/>
      <color indexed="8"/>
      <name val="Helvetica"/>
      <family val="2"/>
    </font>
    <font>
      <b/>
      <sz val="7"/>
      <name val="Helvetica 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7"/>
      <color rgb="FFFF0000"/>
      <name val="Helvetica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Helvetica"/>
      <family val="2"/>
    </font>
    <font>
      <b/>
      <sz val="11"/>
      <color theme="0"/>
      <name val="Arial"/>
      <family val="2"/>
    </font>
    <font>
      <sz val="7"/>
      <color theme="0"/>
      <name val="Helvetica"/>
      <family val="2"/>
    </font>
    <font>
      <sz val="7"/>
      <color theme="7" tint="0.59999389629810485"/>
      <name val="Helvetica"/>
      <family val="2"/>
    </font>
    <font>
      <sz val="7"/>
      <color rgb="FFFF0000"/>
      <name val="Helvetica "/>
    </font>
    <font>
      <sz val="7"/>
      <color rgb="FFFFFFCC"/>
      <name val="Helvetica"/>
      <family val="2"/>
    </font>
    <font>
      <b/>
      <sz val="7"/>
      <color rgb="FFFF0000"/>
      <name val="Helvetica"/>
      <family val="2"/>
    </font>
    <font>
      <sz val="8"/>
      <color theme="0"/>
      <name val="Helvetica"/>
      <family val="2"/>
    </font>
    <font>
      <sz val="10"/>
      <color theme="0"/>
      <name val="Arial"/>
      <family val="2"/>
    </font>
    <font>
      <b/>
      <sz val="7"/>
      <color theme="1"/>
      <name val="Helvetica"/>
      <family val="2"/>
    </font>
    <font>
      <sz val="8"/>
      <color theme="1"/>
      <name val="Helvetica"/>
      <family val="2"/>
    </font>
    <font>
      <b/>
      <sz val="8"/>
      <color theme="1"/>
      <name val="Helvetica"/>
      <family val="2"/>
    </font>
    <font>
      <sz val="8"/>
      <name val="Cambria"/>
      <family val="1"/>
    </font>
    <font>
      <sz val="7"/>
      <color rgb="FFFFFFCC"/>
      <name val="Arial"/>
      <family val="2"/>
    </font>
    <font>
      <sz val="8"/>
      <color rgb="FFFFFFCC"/>
      <name val="Helvetica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lightGray">
        <fgColor indexed="22"/>
        <bgColor indexed="9"/>
      </patternFill>
    </fill>
    <fill>
      <patternFill patternType="lightGray">
        <fgColor indexed="40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31"/>
      </patternFill>
    </fill>
    <fill>
      <patternFill patternType="solid">
        <fgColor indexed="26"/>
        <bgColor indexed="55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lightDown">
        <fgColor indexed="9"/>
        <bgColor indexed="26"/>
      </patternFill>
    </fill>
    <fill>
      <patternFill patternType="solid">
        <fgColor indexed="26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rgb="FFFFFFCC"/>
        <bgColor indexed="55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40"/>
      </patternFill>
    </fill>
    <fill>
      <patternFill patternType="gray125">
        <fgColor indexed="22"/>
        <bgColor rgb="FFFFFFFF"/>
      </patternFill>
    </fill>
    <fill>
      <patternFill patternType="lightGray">
        <fgColor indexed="40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</fills>
  <borders count="22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39"/>
      </top>
      <bottom/>
      <diagonal/>
    </border>
    <border>
      <left style="hair">
        <color indexed="64"/>
      </left>
      <right style="medium">
        <color indexed="64"/>
      </right>
      <top style="thin">
        <color indexed="39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119" fillId="18" borderId="225" applyNumberFormat="0" applyFont="0" applyAlignment="0" applyProtection="0"/>
    <xf numFmtId="0" fontId="119" fillId="18" borderId="225" applyNumberFormat="0" applyFont="0" applyAlignment="0" applyProtection="0"/>
    <xf numFmtId="0" fontId="120" fillId="19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119" fillId="0" borderId="0"/>
    <xf numFmtId="0" fontId="119" fillId="0" borderId="0"/>
    <xf numFmtId="0" fontId="17" fillId="0" borderId="0"/>
    <xf numFmtId="0" fontId="33" fillId="0" borderId="0"/>
    <xf numFmtId="0" fontId="1" fillId="0" borderId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38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469">
    <xf numFmtId="0" fontId="0" fillId="0" borderId="0" xfId="0"/>
    <xf numFmtId="0" fontId="1" fillId="0" borderId="0" xfId="0" applyFont="1" applyProtection="1"/>
    <xf numFmtId="0" fontId="18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0" fillId="2" borderId="0" xfId="0" applyFill="1" applyProtection="1"/>
    <xf numFmtId="0" fontId="1" fillId="2" borderId="0" xfId="0" applyFont="1" applyFill="1" applyProtection="1"/>
    <xf numFmtId="49" fontId="3" fillId="2" borderId="0" xfId="0" applyNumberFormat="1" applyFont="1" applyFill="1" applyBorder="1" applyAlignment="1" applyProtection="1">
      <alignment horizontal="left"/>
    </xf>
    <xf numFmtId="1" fontId="3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3" fontId="1" fillId="2" borderId="0" xfId="0" applyNumberFormat="1" applyFont="1" applyFill="1" applyBorder="1" applyProtection="1"/>
    <xf numFmtId="49" fontId="16" fillId="2" borderId="0" xfId="10" applyNumberFormat="1" applyFont="1" applyFill="1" applyAlignment="1" applyProtection="1">
      <alignment horizontal="left"/>
    </xf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1" fillId="2" borderId="0" xfId="0" applyFont="1" applyFill="1" applyBorder="1" applyProtection="1"/>
    <xf numFmtId="0" fontId="8" fillId="2" borderId="0" xfId="0" applyFont="1" applyFill="1" applyProtection="1"/>
    <xf numFmtId="3" fontId="4" fillId="2" borderId="0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3" fontId="13" fillId="0" borderId="0" xfId="0" applyNumberFormat="1" applyFont="1" applyFill="1" applyBorder="1" applyProtection="1"/>
    <xf numFmtId="3" fontId="13" fillId="2" borderId="1" xfId="0" applyNumberFormat="1" applyFont="1" applyFill="1" applyBorder="1" applyAlignment="1" applyProtection="1">
      <alignment horizontal="right"/>
      <protection locked="0"/>
    </xf>
    <xf numFmtId="3" fontId="13" fillId="2" borderId="2" xfId="0" applyNumberFormat="1" applyFont="1" applyFill="1" applyBorder="1" applyAlignment="1" applyProtection="1">
      <alignment horizontal="right"/>
      <protection locked="0"/>
    </xf>
    <xf numFmtId="3" fontId="13" fillId="2" borderId="3" xfId="0" applyNumberFormat="1" applyFont="1" applyFill="1" applyBorder="1" applyAlignment="1" applyProtection="1">
      <alignment horizontal="right"/>
      <protection locked="0"/>
    </xf>
    <xf numFmtId="3" fontId="13" fillId="2" borderId="4" xfId="0" applyNumberFormat="1" applyFont="1" applyFill="1" applyBorder="1" applyAlignment="1" applyProtection="1">
      <alignment horizontal="right"/>
      <protection locked="0"/>
    </xf>
    <xf numFmtId="3" fontId="13" fillId="2" borderId="5" xfId="0" applyNumberFormat="1" applyFont="1" applyFill="1" applyBorder="1" applyAlignment="1" applyProtection="1">
      <alignment horizontal="right"/>
      <protection locked="0"/>
    </xf>
    <xf numFmtId="3" fontId="13" fillId="2" borderId="6" xfId="0" applyNumberFormat="1" applyFont="1" applyFill="1" applyBorder="1" applyAlignment="1" applyProtection="1">
      <alignment horizontal="right"/>
      <protection locked="0"/>
    </xf>
    <xf numFmtId="3" fontId="13" fillId="3" borderId="5" xfId="0" applyNumberFormat="1" applyFont="1" applyFill="1" applyBorder="1" applyAlignment="1" applyProtection="1">
      <alignment horizontal="right"/>
    </xf>
    <xf numFmtId="3" fontId="13" fillId="2" borderId="7" xfId="0" applyNumberFormat="1" applyFont="1" applyFill="1" applyBorder="1" applyAlignment="1" applyProtection="1">
      <alignment horizontal="right"/>
      <protection locked="0"/>
    </xf>
    <xf numFmtId="3" fontId="13" fillId="2" borderId="8" xfId="0" applyNumberFormat="1" applyFont="1" applyFill="1" applyBorder="1" applyAlignment="1" applyProtection="1">
      <alignment horizontal="right"/>
      <protection locked="0"/>
    </xf>
    <xf numFmtId="3" fontId="13" fillId="2" borderId="9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Border="1" applyAlignment="1" applyProtection="1"/>
    <xf numFmtId="0" fontId="23" fillId="2" borderId="0" xfId="0" applyFont="1" applyFill="1" applyProtection="1"/>
    <xf numFmtId="0" fontId="57" fillId="2" borderId="0" xfId="0" applyFont="1" applyFill="1" applyBorder="1" applyAlignment="1" applyProtection="1">
      <alignment vertical="top"/>
    </xf>
    <xf numFmtId="167" fontId="8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left"/>
    </xf>
    <xf numFmtId="3" fontId="5" fillId="2" borderId="0" xfId="0" applyNumberFormat="1" applyFont="1" applyFill="1" applyBorder="1" applyProtection="1"/>
    <xf numFmtId="0" fontId="13" fillId="2" borderId="0" xfId="0" applyFont="1" applyFill="1" applyBorder="1" applyProtection="1"/>
    <xf numFmtId="1" fontId="38" fillId="2" borderId="0" xfId="0" applyNumberFormat="1" applyFont="1" applyFill="1" applyBorder="1" applyAlignment="1" applyProtection="1">
      <alignment horizontal="left"/>
    </xf>
    <xf numFmtId="166" fontId="47" fillId="2" borderId="0" xfId="0" applyNumberFormat="1" applyFont="1" applyFill="1" applyBorder="1" applyProtection="1"/>
    <xf numFmtId="3" fontId="35" fillId="2" borderId="0" xfId="0" applyNumberFormat="1" applyFont="1" applyFill="1" applyProtection="1"/>
    <xf numFmtId="0" fontId="7" fillId="2" borderId="0" xfId="0" applyFont="1" applyFill="1" applyProtection="1"/>
    <xf numFmtId="0" fontId="51" fillId="2" borderId="0" xfId="0" applyNumberFormat="1" applyFont="1" applyFill="1" applyProtection="1"/>
    <xf numFmtId="0" fontId="55" fillId="2" borderId="0" xfId="0" applyNumberFormat="1" applyFont="1" applyFill="1" applyProtection="1"/>
    <xf numFmtId="0" fontId="3" fillId="2" borderId="0" xfId="0" applyFont="1" applyFill="1" applyProtection="1"/>
    <xf numFmtId="3" fontId="52" fillId="2" borderId="0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Protection="1"/>
    <xf numFmtId="3" fontId="7" fillId="2" borderId="0" xfId="0" applyNumberFormat="1" applyFont="1" applyFill="1" applyBorder="1" applyProtection="1"/>
    <xf numFmtId="3" fontId="8" fillId="4" borderId="0" xfId="0" applyNumberFormat="1" applyFont="1" applyFill="1" applyBorder="1" applyProtection="1"/>
    <xf numFmtId="3" fontId="13" fillId="5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left"/>
    </xf>
    <xf numFmtId="3" fontId="13" fillId="5" borderId="0" xfId="0" applyNumberFormat="1" applyFont="1" applyFill="1" applyBorder="1" applyAlignment="1" applyProtection="1"/>
    <xf numFmtId="3" fontId="13" fillId="5" borderId="0" xfId="0" applyNumberFormat="1" applyFont="1" applyFill="1" applyBorder="1" applyProtection="1"/>
    <xf numFmtId="3" fontId="2" fillId="2" borderId="4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3" fontId="54" fillId="2" borderId="0" xfId="0" applyNumberFormat="1" applyFont="1" applyFill="1" applyBorder="1" applyProtection="1"/>
    <xf numFmtId="3" fontId="13" fillId="6" borderId="0" xfId="0" applyNumberFormat="1" applyFont="1" applyFill="1" applyBorder="1" applyAlignment="1" applyProtection="1">
      <alignment horizontal="right"/>
    </xf>
    <xf numFmtId="3" fontId="13" fillId="6" borderId="0" xfId="0" applyNumberFormat="1" applyFont="1" applyFill="1" applyBorder="1" applyAlignment="1" applyProtection="1"/>
    <xf numFmtId="0" fontId="65" fillId="2" borderId="0" xfId="0" applyFont="1" applyFill="1" applyBorder="1" applyAlignment="1" applyProtection="1"/>
    <xf numFmtId="0" fontId="64" fillId="2" borderId="0" xfId="0" applyFont="1" applyFill="1" applyBorder="1" applyAlignment="1" applyProtection="1"/>
    <xf numFmtId="167" fontId="64" fillId="2" borderId="0" xfId="0" applyNumberFormat="1" applyFont="1" applyFill="1" applyAlignment="1" applyProtection="1"/>
    <xf numFmtId="0" fontId="67" fillId="2" borderId="0" xfId="0" quotePrefix="1" applyFont="1" applyFill="1" applyBorder="1" applyAlignment="1" applyProtection="1"/>
    <xf numFmtId="0" fontId="65" fillId="2" borderId="0" xfId="0" applyFont="1" applyFill="1" applyBorder="1" applyAlignment="1" applyProtection="1">
      <alignment horizontal="left"/>
    </xf>
    <xf numFmtId="0" fontId="68" fillId="2" borderId="0" xfId="0" applyNumberFormat="1" applyFont="1" applyFill="1" applyProtection="1">
      <protection hidden="1"/>
    </xf>
    <xf numFmtId="0" fontId="68" fillId="2" borderId="0" xfId="0" applyNumberFormat="1" applyFont="1" applyFill="1" applyProtection="1"/>
    <xf numFmtId="0" fontId="69" fillId="2" borderId="0" xfId="0" applyNumberFormat="1" applyFont="1" applyFill="1" applyProtection="1"/>
    <xf numFmtId="0" fontId="69" fillId="2" borderId="0" xfId="0" applyFont="1" applyFill="1" applyProtection="1"/>
    <xf numFmtId="3" fontId="3" fillId="2" borderId="0" xfId="0" applyNumberFormat="1" applyFont="1" applyFill="1" applyBorder="1" applyProtection="1"/>
    <xf numFmtId="3" fontId="2" fillId="2" borderId="1" xfId="0" applyNumberFormat="1" applyFont="1" applyFill="1" applyBorder="1" applyAlignment="1" applyProtection="1">
      <alignment horizontal="right"/>
      <protection locked="0"/>
    </xf>
    <xf numFmtId="3" fontId="2" fillId="2" borderId="0" xfId="0" applyNumberFormat="1" applyFont="1" applyFill="1" applyBorder="1" applyProtection="1"/>
    <xf numFmtId="3" fontId="16" fillId="2" borderId="0" xfId="0" applyNumberFormat="1" applyFont="1" applyFill="1" applyBorder="1" applyProtection="1"/>
    <xf numFmtId="3" fontId="36" fillId="2" borderId="0" xfId="0" applyNumberFormat="1" applyFont="1" applyFill="1" applyBorder="1" applyAlignment="1" applyProtection="1">
      <alignment horizontal="left"/>
    </xf>
    <xf numFmtId="0" fontId="9" fillId="2" borderId="0" xfId="0" applyFont="1" applyFill="1" applyProtection="1"/>
    <xf numFmtId="167" fontId="9" fillId="2" borderId="0" xfId="0" applyNumberFormat="1" applyFont="1" applyFill="1" applyProtection="1"/>
    <xf numFmtId="0" fontId="36" fillId="2" borderId="0" xfId="0" applyFont="1" applyFill="1" applyProtection="1"/>
    <xf numFmtId="0" fontId="70" fillId="2" borderId="0" xfId="0" applyFont="1" applyFill="1" applyProtection="1"/>
    <xf numFmtId="0" fontId="71" fillId="2" borderId="0" xfId="0" applyFont="1" applyFill="1" applyProtection="1"/>
    <xf numFmtId="0" fontId="35" fillId="2" borderId="0" xfId="0" applyFont="1" applyFill="1" applyBorder="1" applyAlignment="1" applyProtection="1">
      <alignment horizontal="left" vertical="top"/>
    </xf>
    <xf numFmtId="1" fontId="3" fillId="2" borderId="12" xfId="0" applyNumberFormat="1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3" fontId="5" fillId="4" borderId="0" xfId="0" applyNumberFormat="1" applyFont="1" applyFill="1" applyBorder="1" applyProtection="1"/>
    <xf numFmtId="0" fontId="57" fillId="2" borderId="0" xfId="0" applyFont="1" applyFill="1" applyAlignment="1" applyProtection="1">
      <alignment vertical="top"/>
    </xf>
    <xf numFmtId="0" fontId="53" fillId="2" borderId="0" xfId="0" applyFont="1" applyFill="1" applyAlignment="1" applyProtection="1"/>
    <xf numFmtId="0" fontId="53" fillId="2" borderId="0" xfId="0" applyFont="1" applyFill="1" applyAlignment="1" applyProtection="1">
      <alignment vertical="top"/>
    </xf>
    <xf numFmtId="0" fontId="31" fillId="7" borderId="0" xfId="0" applyFont="1" applyFill="1" applyBorder="1" applyAlignment="1" applyProtection="1">
      <alignment horizontal="left"/>
    </xf>
    <xf numFmtId="0" fontId="28" fillId="7" borderId="0" xfId="0" applyFont="1" applyFill="1" applyBorder="1" applyAlignment="1" applyProtection="1">
      <alignment horizontal="left"/>
    </xf>
    <xf numFmtId="0" fontId="3" fillId="0" borderId="0" xfId="0" applyFont="1" applyFill="1" applyProtection="1"/>
    <xf numFmtId="3" fontId="2" fillId="8" borderId="13" xfId="0" applyNumberFormat="1" applyFont="1" applyFill="1" applyBorder="1" applyAlignment="1" applyProtection="1">
      <alignment horizontal="right"/>
    </xf>
    <xf numFmtId="3" fontId="2" fillId="9" borderId="14" xfId="0" applyNumberFormat="1" applyFont="1" applyFill="1" applyBorder="1" applyAlignment="1" applyProtection="1">
      <alignment horizontal="right"/>
    </xf>
    <xf numFmtId="3" fontId="2" fillId="9" borderId="8" xfId="0" applyNumberFormat="1" applyFont="1" applyFill="1" applyBorder="1" applyAlignment="1" applyProtection="1">
      <alignment horizontal="right"/>
    </xf>
    <xf numFmtId="3" fontId="2" fillId="9" borderId="6" xfId="0" applyNumberFormat="1" applyFont="1" applyFill="1" applyBorder="1" applyAlignment="1" applyProtection="1">
      <alignment horizontal="right"/>
    </xf>
    <xf numFmtId="3" fontId="2" fillId="9" borderId="15" xfId="0" applyNumberFormat="1" applyFont="1" applyFill="1" applyBorder="1" applyAlignment="1" applyProtection="1">
      <alignment horizontal="right"/>
    </xf>
    <xf numFmtId="3" fontId="2" fillId="9" borderId="16" xfId="0" applyNumberFormat="1" applyFont="1" applyFill="1" applyBorder="1" applyAlignment="1" applyProtection="1">
      <alignment horizontal="right"/>
    </xf>
    <xf numFmtId="3" fontId="2" fillId="9" borderId="17" xfId="0" applyNumberFormat="1" applyFont="1" applyFill="1" applyBorder="1" applyAlignment="1" applyProtection="1">
      <alignment horizontal="right"/>
    </xf>
    <xf numFmtId="3" fontId="2" fillId="9" borderId="4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1" fillId="7" borderId="0" xfId="0" applyFont="1" applyFill="1" applyAlignment="1" applyProtection="1">
      <alignment vertical="top"/>
    </xf>
    <xf numFmtId="0" fontId="29" fillId="7" borderId="0" xfId="0" applyFont="1" applyFill="1" applyProtection="1"/>
    <xf numFmtId="0" fontId="30" fillId="7" borderId="0" xfId="0" applyFont="1" applyFill="1" applyProtection="1"/>
    <xf numFmtId="0" fontId="31" fillId="7" borderId="0" xfId="0" quotePrefix="1" applyFont="1" applyFill="1" applyBorder="1" applyAlignment="1" applyProtection="1">
      <alignment horizontal="left"/>
    </xf>
    <xf numFmtId="0" fontId="62" fillId="7" borderId="0" xfId="0" applyFont="1" applyFill="1" applyProtection="1"/>
    <xf numFmtId="0" fontId="63" fillId="7" borderId="0" xfId="0" applyFont="1" applyFill="1" applyProtection="1"/>
    <xf numFmtId="167" fontId="63" fillId="7" borderId="0" xfId="0" applyNumberFormat="1" applyFont="1" applyFill="1" applyProtection="1"/>
    <xf numFmtId="3" fontId="2" fillId="9" borderId="8" xfId="0" applyNumberFormat="1" applyFont="1" applyFill="1" applyBorder="1" applyProtection="1"/>
    <xf numFmtId="3" fontId="2" fillId="9" borderId="4" xfId="0" applyNumberFormat="1" applyFont="1" applyFill="1" applyBorder="1" applyProtection="1"/>
    <xf numFmtId="3" fontId="2" fillId="2" borderId="18" xfId="0" applyNumberFormat="1" applyFont="1" applyFill="1" applyBorder="1" applyAlignment="1" applyProtection="1">
      <alignment horizontal="right"/>
      <protection locked="0"/>
    </xf>
    <xf numFmtId="3" fontId="13" fillId="2" borderId="18" xfId="0" applyNumberFormat="1" applyFont="1" applyFill="1" applyBorder="1" applyAlignment="1" applyProtection="1">
      <alignment horizontal="right"/>
      <protection locked="0"/>
    </xf>
    <xf numFmtId="3" fontId="13" fillId="2" borderId="19" xfId="0" applyNumberFormat="1" applyFont="1" applyFill="1" applyBorder="1" applyAlignment="1" applyProtection="1">
      <alignment horizontal="right"/>
      <protection locked="0"/>
    </xf>
    <xf numFmtId="3" fontId="13" fillId="2" borderId="20" xfId="0" applyNumberFormat="1" applyFont="1" applyFill="1" applyBorder="1" applyAlignment="1" applyProtection="1">
      <alignment horizontal="right"/>
      <protection locked="0"/>
    </xf>
    <xf numFmtId="3" fontId="13" fillId="2" borderId="21" xfId="0" applyNumberFormat="1" applyFont="1" applyFill="1" applyBorder="1" applyAlignment="1" applyProtection="1">
      <alignment horizontal="right"/>
      <protection locked="0"/>
    </xf>
    <xf numFmtId="3" fontId="13" fillId="2" borderId="22" xfId="0" applyNumberFormat="1" applyFont="1" applyFill="1" applyBorder="1" applyAlignment="1" applyProtection="1">
      <alignment horizontal="right"/>
      <protection locked="0"/>
    </xf>
    <xf numFmtId="3" fontId="13" fillId="3" borderId="19" xfId="0" applyNumberFormat="1" applyFont="1" applyFill="1" applyBorder="1" applyAlignment="1" applyProtection="1">
      <alignment horizontal="right"/>
    </xf>
    <xf numFmtId="3" fontId="13" fillId="2" borderId="23" xfId="0" applyNumberFormat="1" applyFont="1" applyFill="1" applyBorder="1" applyAlignment="1" applyProtection="1">
      <alignment horizontal="right"/>
      <protection locked="0"/>
    </xf>
    <xf numFmtId="3" fontId="13" fillId="2" borderId="24" xfId="0" applyNumberFormat="1" applyFont="1" applyFill="1" applyBorder="1" applyAlignment="1" applyProtection="1">
      <alignment horizontal="right"/>
      <protection locked="0"/>
    </xf>
    <xf numFmtId="3" fontId="13" fillId="2" borderId="25" xfId="0" applyNumberFormat="1" applyFont="1" applyFill="1" applyBorder="1" applyAlignment="1" applyProtection="1">
      <alignment horizontal="right"/>
      <protection locked="0"/>
    </xf>
    <xf numFmtId="3" fontId="13" fillId="2" borderId="26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Protection="1"/>
    <xf numFmtId="3" fontId="13" fillId="5" borderId="27" xfId="0" applyNumberFormat="1" applyFont="1" applyFill="1" applyBorder="1" applyAlignment="1" applyProtection="1">
      <alignment horizontal="right"/>
    </xf>
    <xf numFmtId="3" fontId="13" fillId="2" borderId="28" xfId="0" applyNumberFormat="1" applyFont="1" applyFill="1" applyBorder="1" applyAlignment="1" applyProtection="1">
      <alignment horizontal="right"/>
      <protection locked="0"/>
    </xf>
    <xf numFmtId="3" fontId="13" fillId="2" borderId="29" xfId="0" applyNumberFormat="1" applyFont="1" applyFill="1" applyBorder="1" applyAlignment="1" applyProtection="1">
      <alignment horizontal="right"/>
      <protection locked="0"/>
    </xf>
    <xf numFmtId="3" fontId="13" fillId="2" borderId="30" xfId="0" applyNumberFormat="1" applyFont="1" applyFill="1" applyBorder="1" applyAlignment="1" applyProtection="1">
      <alignment horizontal="right"/>
      <protection locked="0"/>
    </xf>
    <xf numFmtId="3" fontId="13" fillId="3" borderId="31" xfId="0" applyNumberFormat="1" applyFont="1" applyFill="1" applyBorder="1" applyAlignment="1" applyProtection="1">
      <alignment horizontal="right"/>
    </xf>
    <xf numFmtId="3" fontId="13" fillId="3" borderId="29" xfId="0" applyNumberFormat="1" applyFont="1" applyFill="1" applyBorder="1" applyAlignment="1" applyProtection="1">
      <alignment horizontal="right"/>
    </xf>
    <xf numFmtId="3" fontId="13" fillId="3" borderId="32" xfId="0" applyNumberFormat="1" applyFont="1" applyFill="1" applyBorder="1" applyAlignment="1" applyProtection="1">
      <alignment horizontal="right"/>
    </xf>
    <xf numFmtId="3" fontId="13" fillId="2" borderId="32" xfId="0" applyNumberFormat="1" applyFont="1" applyFill="1" applyBorder="1" applyAlignment="1" applyProtection="1">
      <alignment horizontal="right"/>
      <protection locked="0"/>
    </xf>
    <xf numFmtId="3" fontId="2" fillId="9" borderId="33" xfId="0" applyNumberFormat="1" applyFont="1" applyFill="1" applyBorder="1" applyProtection="1"/>
    <xf numFmtId="3" fontId="2" fillId="9" borderId="34" xfId="0" applyNumberFormat="1" applyFont="1" applyFill="1" applyBorder="1" applyAlignment="1" applyProtection="1">
      <alignment horizontal="right"/>
    </xf>
    <xf numFmtId="3" fontId="2" fillId="9" borderId="35" xfId="0" applyNumberFormat="1" applyFont="1" applyFill="1" applyBorder="1" applyAlignment="1" applyProtection="1">
      <alignment horizontal="right"/>
    </xf>
    <xf numFmtId="0" fontId="3" fillId="10" borderId="36" xfId="0" applyFont="1" applyFill="1" applyBorder="1" applyAlignment="1" applyProtection="1">
      <alignment horizontal="center"/>
    </xf>
    <xf numFmtId="0" fontId="3" fillId="10" borderId="37" xfId="0" applyFont="1" applyFill="1" applyBorder="1" applyAlignment="1" applyProtection="1">
      <alignment horizontal="center"/>
    </xf>
    <xf numFmtId="0" fontId="3" fillId="10" borderId="38" xfId="0" applyFont="1" applyFill="1" applyBorder="1" applyAlignment="1" applyProtection="1">
      <alignment horizontal="center"/>
    </xf>
    <xf numFmtId="0" fontId="3" fillId="10" borderId="39" xfId="0" applyFont="1" applyFill="1" applyBorder="1" applyAlignment="1" applyProtection="1">
      <alignment horizontal="center"/>
    </xf>
    <xf numFmtId="0" fontId="35" fillId="2" borderId="0" xfId="0" applyFont="1" applyFill="1" applyBorder="1" applyProtection="1"/>
    <xf numFmtId="0" fontId="51" fillId="2" borderId="0" xfId="0" applyNumberFormat="1" applyFont="1" applyFill="1" applyBorder="1" applyProtection="1"/>
    <xf numFmtId="3" fontId="7" fillId="2" borderId="40" xfId="0" applyNumberFormat="1" applyFont="1" applyFill="1" applyBorder="1" applyProtection="1"/>
    <xf numFmtId="3" fontId="37" fillId="2" borderId="40" xfId="0" applyNumberFormat="1" applyFont="1" applyFill="1" applyBorder="1" applyAlignment="1" applyProtection="1">
      <alignment horizontal="left"/>
    </xf>
    <xf numFmtId="165" fontId="9" fillId="2" borderId="12" xfId="0" applyNumberFormat="1" applyFont="1" applyFill="1" applyBorder="1" applyAlignment="1" applyProtection="1">
      <alignment horizontal="center" vertical="center"/>
    </xf>
    <xf numFmtId="3" fontId="2" fillId="9" borderId="41" xfId="0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Alignment="1" applyProtection="1">
      <alignment horizontal="right"/>
    </xf>
    <xf numFmtId="3" fontId="2" fillId="9" borderId="42" xfId="0" applyNumberFormat="1" applyFont="1" applyFill="1" applyBorder="1" applyAlignment="1" applyProtection="1">
      <alignment horizontal="right"/>
    </xf>
    <xf numFmtId="0" fontId="31" fillId="7" borderId="0" xfId="6" applyFont="1" applyFill="1" applyBorder="1" applyAlignment="1" applyProtection="1">
      <alignment horizontal="left"/>
    </xf>
    <xf numFmtId="0" fontId="28" fillId="7" borderId="0" xfId="6" applyFont="1" applyFill="1" applyBorder="1" applyAlignment="1" applyProtection="1">
      <alignment horizontal="left"/>
    </xf>
    <xf numFmtId="0" fontId="3" fillId="0" borderId="0" xfId="6" applyFont="1" applyFill="1" applyProtection="1"/>
    <xf numFmtId="3" fontId="2" fillId="2" borderId="4" xfId="6" applyNumberFormat="1" applyFont="1" applyFill="1" applyBorder="1" applyAlignment="1" applyProtection="1">
      <alignment horizontal="right"/>
      <protection locked="0"/>
    </xf>
    <xf numFmtId="3" fontId="2" fillId="8" borderId="1" xfId="6" applyNumberFormat="1" applyFont="1" applyFill="1" applyBorder="1" applyAlignment="1" applyProtection="1">
      <alignment horizontal="right"/>
    </xf>
    <xf numFmtId="3" fontId="2" fillId="9" borderId="4" xfId="6" applyNumberFormat="1" applyFont="1" applyFill="1" applyBorder="1" applyAlignment="1" applyProtection="1">
      <alignment horizontal="right"/>
    </xf>
    <xf numFmtId="0" fontId="77" fillId="10" borderId="0" xfId="0" applyFont="1" applyFill="1" applyBorder="1" applyAlignment="1">
      <alignment wrapText="1"/>
    </xf>
    <xf numFmtId="0" fontId="74" fillId="10" borderId="0" xfId="0" applyFont="1" applyFill="1" applyBorder="1" applyAlignment="1">
      <alignment horizontal="center" wrapText="1"/>
    </xf>
    <xf numFmtId="0" fontId="80" fillId="7" borderId="0" xfId="0" applyFont="1" applyFill="1" applyBorder="1" applyAlignment="1" applyProtection="1">
      <alignment horizontal="left"/>
    </xf>
    <xf numFmtId="3" fontId="60" fillId="2" borderId="0" xfId="0" applyNumberFormat="1" applyFont="1" applyFill="1" applyBorder="1" applyAlignment="1" applyProtection="1"/>
    <xf numFmtId="3" fontId="35" fillId="0" borderId="0" xfId="0" applyNumberFormat="1" applyFont="1" applyFill="1" applyBorder="1" applyProtection="1"/>
    <xf numFmtId="49" fontId="5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3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3" fontId="13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/>
    <xf numFmtId="49" fontId="2" fillId="10" borderId="44" xfId="0" applyNumberFormat="1" applyFont="1" applyFill="1" applyBorder="1" applyAlignment="1" applyProtection="1"/>
    <xf numFmtId="49" fontId="2" fillId="10" borderId="28" xfId="0" applyNumberFormat="1" applyFont="1" applyFill="1" applyBorder="1" applyAlignment="1" applyProtection="1"/>
    <xf numFmtId="49" fontId="2" fillId="10" borderId="29" xfId="0" applyNumberFormat="1" applyFont="1" applyFill="1" applyBorder="1" applyAlignment="1" applyProtection="1"/>
    <xf numFmtId="49" fontId="2" fillId="10" borderId="45" xfId="0" applyNumberFormat="1" applyFont="1" applyFill="1" applyBorder="1" applyAlignment="1" applyProtection="1"/>
    <xf numFmtId="49" fontId="2" fillId="10" borderId="46" xfId="0" applyNumberFormat="1" applyFont="1" applyFill="1" applyBorder="1" applyAlignment="1" applyProtection="1"/>
    <xf numFmtId="49" fontId="2" fillId="10" borderId="47" xfId="0" applyNumberFormat="1" applyFont="1" applyFill="1" applyBorder="1" applyAlignment="1" applyProtection="1"/>
    <xf numFmtId="49" fontId="2" fillId="10" borderId="30" xfId="0" applyNumberFormat="1" applyFont="1" applyFill="1" applyBorder="1" applyAlignment="1" applyProtection="1"/>
    <xf numFmtId="3" fontId="84" fillId="0" borderId="0" xfId="0" applyNumberFormat="1" applyFont="1" applyFill="1" applyBorder="1" applyProtection="1"/>
    <xf numFmtId="0" fontId="64" fillId="2" borderId="0" xfId="0" applyFont="1" applyFill="1" applyProtection="1"/>
    <xf numFmtId="0" fontId="86" fillId="7" borderId="0" xfId="0" applyFont="1" applyFill="1" applyProtection="1"/>
    <xf numFmtId="0" fontId="64" fillId="2" borderId="0" xfId="0" applyNumberFormat="1" applyFont="1" applyFill="1" applyBorder="1" applyProtection="1"/>
    <xf numFmtId="170" fontId="84" fillId="2" borderId="0" xfId="0" applyNumberFormat="1" applyFont="1" applyFill="1" applyBorder="1" applyAlignment="1" applyProtection="1">
      <alignment horizontal="left"/>
    </xf>
    <xf numFmtId="3" fontId="84" fillId="2" borderId="0" xfId="0" applyNumberFormat="1" applyFont="1" applyFill="1" applyBorder="1" applyProtection="1"/>
    <xf numFmtId="0" fontId="84" fillId="2" borderId="0" xfId="0" applyFont="1" applyFill="1" applyProtection="1"/>
    <xf numFmtId="3" fontId="2" fillId="9" borderId="48" xfId="0" applyNumberFormat="1" applyFont="1" applyFill="1" applyBorder="1" applyAlignment="1" applyProtection="1">
      <alignment horizontal="right"/>
    </xf>
    <xf numFmtId="3" fontId="2" fillId="9" borderId="49" xfId="0" applyNumberFormat="1" applyFont="1" applyFill="1" applyBorder="1" applyAlignment="1" applyProtection="1">
      <alignment horizontal="right"/>
    </xf>
    <xf numFmtId="49" fontId="2" fillId="10" borderId="0" xfId="0" applyNumberFormat="1" applyFont="1" applyFill="1" applyBorder="1" applyAlignment="1" applyProtection="1"/>
    <xf numFmtId="49" fontId="2" fillId="10" borderId="50" xfId="0" applyNumberFormat="1" applyFont="1" applyFill="1" applyBorder="1" applyAlignment="1" applyProtection="1"/>
    <xf numFmtId="49" fontId="2" fillId="10" borderId="39" xfId="0" applyNumberFormat="1" applyFont="1" applyFill="1" applyBorder="1" applyAlignment="1" applyProtection="1"/>
    <xf numFmtId="3" fontId="52" fillId="2" borderId="0" xfId="0" applyNumberFormat="1" applyFont="1" applyFill="1" applyBorder="1" applyProtection="1"/>
    <xf numFmtId="3" fontId="7" fillId="0" borderId="0" xfId="0" applyNumberFormat="1" applyFont="1" applyFill="1" applyBorder="1" applyProtection="1"/>
    <xf numFmtId="3" fontId="37" fillId="2" borderId="0" xfId="0" applyNumberFormat="1" applyFont="1" applyFill="1" applyBorder="1" applyAlignment="1" applyProtection="1">
      <alignment horizontal="left"/>
    </xf>
    <xf numFmtId="0" fontId="0" fillId="7" borderId="0" xfId="0" applyFill="1" applyProtection="1"/>
    <xf numFmtId="0" fontId="0" fillId="0" borderId="0" xfId="0" applyFill="1" applyBorder="1" applyProtection="1"/>
    <xf numFmtId="0" fontId="0" fillId="0" borderId="0" xfId="0" applyProtection="1"/>
    <xf numFmtId="0" fontId="0" fillId="2" borderId="0" xfId="0" applyFill="1" applyBorder="1" applyProtection="1"/>
    <xf numFmtId="0" fontId="2" fillId="2" borderId="0" xfId="0" applyFont="1" applyFill="1" applyBorder="1" applyProtection="1"/>
    <xf numFmtId="0" fontId="0" fillId="0" borderId="0" xfId="0" applyBorder="1" applyAlignment="1" applyProtection="1"/>
    <xf numFmtId="3" fontId="2" fillId="0" borderId="4" xfId="0" applyNumberFormat="1" applyFont="1" applyFill="1" applyBorder="1" applyAlignment="1" applyProtection="1">
      <alignment horizontal="right"/>
      <protection locked="0"/>
    </xf>
    <xf numFmtId="3" fontId="2" fillId="0" borderId="51" xfId="0" applyNumberFormat="1" applyFont="1" applyFill="1" applyBorder="1" applyAlignment="1" applyProtection="1">
      <alignment horizontal="right"/>
      <protection locked="0"/>
    </xf>
    <xf numFmtId="3" fontId="2" fillId="2" borderId="52" xfId="0" applyNumberFormat="1" applyFont="1" applyFill="1" applyBorder="1" applyAlignment="1" applyProtection="1">
      <alignment horizontal="right"/>
      <protection locked="0"/>
    </xf>
    <xf numFmtId="3" fontId="2" fillId="2" borderId="19" xfId="0" applyNumberFormat="1" applyFont="1" applyFill="1" applyBorder="1" applyAlignment="1" applyProtection="1">
      <alignment horizontal="right"/>
      <protection locked="0"/>
    </xf>
    <xf numFmtId="166" fontId="35" fillId="0" borderId="0" xfId="0" applyNumberFormat="1" applyFont="1" applyFill="1" applyBorder="1" applyProtection="1"/>
    <xf numFmtId="0" fontId="35" fillId="2" borderId="0" xfId="0" applyFont="1" applyFill="1" applyProtection="1"/>
    <xf numFmtId="0" fontId="35" fillId="2" borderId="0" xfId="0" applyFont="1" applyFill="1" applyBorder="1" applyAlignment="1" applyProtection="1">
      <alignment horizontal="left"/>
    </xf>
    <xf numFmtId="0" fontId="53" fillId="2" borderId="0" xfId="0" applyFont="1" applyFill="1" applyProtection="1"/>
    <xf numFmtId="0" fontId="53" fillId="0" borderId="0" xfId="0" applyFont="1" applyFill="1" applyBorder="1" applyProtection="1"/>
    <xf numFmtId="49" fontId="0" fillId="2" borderId="0" xfId="0" applyNumberFormat="1" applyFill="1" applyProtection="1"/>
    <xf numFmtId="0" fontId="22" fillId="2" borderId="0" xfId="0" applyFont="1" applyFill="1" applyProtection="1"/>
    <xf numFmtId="3" fontId="2" fillId="2" borderId="53" xfId="0" applyNumberFormat="1" applyFont="1" applyFill="1" applyBorder="1" applyAlignment="1" applyProtection="1">
      <alignment horizontal="right"/>
      <protection locked="0"/>
    </xf>
    <xf numFmtId="3" fontId="2" fillId="6" borderId="18" xfId="0" applyNumberFormat="1" applyFont="1" applyFill="1" applyBorder="1" applyAlignment="1" applyProtection="1">
      <alignment horizontal="right"/>
      <protection locked="0"/>
    </xf>
    <xf numFmtId="3" fontId="2" fillId="2" borderId="54" xfId="0" applyNumberFormat="1" applyFont="1" applyFill="1" applyBorder="1" applyAlignment="1" applyProtection="1">
      <alignment horizontal="right"/>
      <protection locked="0"/>
    </xf>
    <xf numFmtId="3" fontId="2" fillId="6" borderId="19" xfId="0" applyNumberFormat="1" applyFont="1" applyFill="1" applyBorder="1" applyAlignment="1" applyProtection="1">
      <alignment horizontal="right"/>
      <protection locked="0"/>
    </xf>
    <xf numFmtId="3" fontId="2" fillId="11" borderId="18" xfId="0" applyNumberFormat="1" applyFont="1" applyFill="1" applyBorder="1" applyAlignment="1" applyProtection="1">
      <alignment horizontal="right"/>
      <protection locked="0"/>
    </xf>
    <xf numFmtId="3" fontId="2" fillId="2" borderId="26" xfId="0" applyNumberFormat="1" applyFont="1" applyFill="1" applyBorder="1" applyAlignment="1" applyProtection="1">
      <alignment horizontal="right"/>
      <protection locked="0"/>
    </xf>
    <xf numFmtId="3" fontId="2" fillId="6" borderId="53" xfId="0" applyNumberFormat="1" applyFont="1" applyFill="1" applyBorder="1" applyAlignment="1" applyProtection="1">
      <alignment horizontal="right"/>
      <protection locked="0"/>
    </xf>
    <xf numFmtId="3" fontId="2" fillId="6" borderId="11" xfId="0" applyNumberFormat="1" applyFont="1" applyFill="1" applyBorder="1" applyAlignment="1" applyProtection="1">
      <alignment horizontal="right"/>
      <protection locked="0"/>
    </xf>
    <xf numFmtId="3" fontId="2" fillId="6" borderId="55" xfId="0" applyNumberFormat="1" applyFont="1" applyFill="1" applyBorder="1" applyAlignment="1" applyProtection="1">
      <alignment horizontal="right"/>
      <protection locked="0"/>
    </xf>
    <xf numFmtId="3" fontId="2" fillId="2" borderId="20" xfId="0" applyNumberFormat="1" applyFont="1" applyFill="1" applyBorder="1" applyAlignment="1" applyProtection="1">
      <alignment horizontal="right"/>
      <protection locked="0"/>
    </xf>
    <xf numFmtId="3" fontId="2" fillId="2" borderId="56" xfId="0" applyNumberFormat="1" applyFont="1" applyFill="1" applyBorder="1" applyAlignment="1" applyProtection="1">
      <alignment horizontal="right"/>
      <protection locked="0"/>
    </xf>
    <xf numFmtId="0" fontId="0" fillId="7" borderId="0" xfId="0" applyFill="1" applyBorder="1" applyProtection="1"/>
    <xf numFmtId="0" fontId="0" fillId="4" borderId="0" xfId="0" applyFill="1" applyProtection="1"/>
    <xf numFmtId="0" fontId="22" fillId="2" borderId="0" xfId="0" applyFont="1" applyFill="1" applyBorder="1" applyProtection="1"/>
    <xf numFmtId="0" fontId="56" fillId="2" borderId="0" xfId="0" quotePrefix="1" applyFont="1" applyFill="1" applyAlignment="1" applyProtection="1">
      <alignment horizontal="left"/>
    </xf>
    <xf numFmtId="0" fontId="40" fillId="2" borderId="0" xfId="0" applyFont="1" applyFill="1" applyAlignment="1" applyProtection="1">
      <alignment horizontal="center"/>
    </xf>
    <xf numFmtId="0" fontId="40" fillId="4" borderId="0" xfId="0" applyFont="1" applyFill="1" applyBorder="1" applyAlignment="1" applyProtection="1">
      <alignment horizontal="center"/>
    </xf>
    <xf numFmtId="0" fontId="40" fillId="2" borderId="0" xfId="0" applyFont="1" applyFill="1" applyBorder="1" applyAlignment="1" applyProtection="1">
      <alignment horizontal="center"/>
    </xf>
    <xf numFmtId="0" fontId="41" fillId="2" borderId="0" xfId="0" applyFont="1" applyFill="1" applyBorder="1" applyAlignment="1" applyProtection="1">
      <alignment horizontal="center"/>
    </xf>
    <xf numFmtId="0" fontId="39" fillId="0" borderId="0" xfId="0" applyFont="1" applyFill="1" applyBorder="1" applyProtection="1"/>
    <xf numFmtId="0" fontId="53" fillId="0" borderId="0" xfId="0" applyFont="1" applyFill="1" applyProtection="1"/>
    <xf numFmtId="0" fontId="0" fillId="0" borderId="0" xfId="0" applyFill="1" applyProtection="1"/>
    <xf numFmtId="49" fontId="11" fillId="0" borderId="57" xfId="0" applyNumberFormat="1" applyFont="1" applyFill="1" applyBorder="1" applyProtection="1"/>
    <xf numFmtId="0" fontId="22" fillId="0" borderId="0" xfId="0" applyFont="1" applyFill="1" applyBorder="1" applyProtection="1"/>
    <xf numFmtId="0" fontId="23" fillId="4" borderId="0" xfId="0" applyFont="1" applyFill="1" applyBorder="1" applyProtection="1"/>
    <xf numFmtId="3" fontId="13" fillId="4" borderId="0" xfId="0" applyNumberFormat="1" applyFont="1" applyFill="1" applyBorder="1" applyProtection="1"/>
    <xf numFmtId="0" fontId="53" fillId="2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49" fontId="11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3" fontId="16" fillId="0" borderId="0" xfId="0" applyNumberFormat="1" applyFont="1" applyFill="1" applyBorder="1" applyProtection="1"/>
    <xf numFmtId="0" fontId="22" fillId="0" borderId="0" xfId="0" applyFont="1" applyProtection="1"/>
    <xf numFmtId="0" fontId="22" fillId="0" borderId="0" xfId="0" applyFont="1" applyBorder="1" applyProtection="1"/>
    <xf numFmtId="0" fontId="82" fillId="0" borderId="0" xfId="0" applyFont="1" applyFill="1" applyBorder="1" applyProtection="1"/>
    <xf numFmtId="3" fontId="2" fillId="0" borderId="32" xfId="0" applyNumberFormat="1" applyFont="1" applyFill="1" applyBorder="1" applyAlignment="1" applyProtection="1">
      <alignment horizontal="right"/>
      <protection locked="0"/>
    </xf>
    <xf numFmtId="3" fontId="2" fillId="0" borderId="58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Protection="1"/>
    <xf numFmtId="0" fontId="9" fillId="2" borderId="12" xfId="0" applyFont="1" applyFill="1" applyBorder="1" applyProtection="1"/>
    <xf numFmtId="0" fontId="19" fillId="2" borderId="0" xfId="0" applyFont="1" applyFill="1" applyProtection="1"/>
    <xf numFmtId="0" fontId="11" fillId="2" borderId="12" xfId="0" applyFont="1" applyFill="1" applyBorder="1" applyProtection="1"/>
    <xf numFmtId="0" fontId="9" fillId="0" borderId="0" xfId="0" applyFont="1" applyFill="1" applyBorder="1" applyProtection="1"/>
    <xf numFmtId="0" fontId="0" fillId="0" borderId="0" xfId="0" applyBorder="1" applyProtection="1"/>
    <xf numFmtId="3" fontId="2" fillId="2" borderId="59" xfId="0" applyNumberFormat="1" applyFont="1" applyFill="1" applyBorder="1" applyAlignment="1" applyProtection="1">
      <alignment horizontal="right"/>
      <protection locked="0"/>
    </xf>
    <xf numFmtId="3" fontId="13" fillId="2" borderId="52" xfId="0" applyNumberFormat="1" applyFont="1" applyFill="1" applyBorder="1" applyAlignment="1" applyProtection="1">
      <alignment horizontal="right"/>
      <protection locked="0"/>
    </xf>
    <xf numFmtId="3" fontId="13" fillId="0" borderId="20" xfId="0" applyNumberFormat="1" applyFont="1" applyFill="1" applyBorder="1" applyAlignment="1" applyProtection="1">
      <alignment horizontal="right"/>
      <protection locked="0"/>
    </xf>
    <xf numFmtId="3" fontId="13" fillId="0" borderId="19" xfId="0" applyNumberFormat="1" applyFont="1" applyFill="1" applyBorder="1" applyAlignment="1" applyProtection="1">
      <alignment horizontal="right"/>
      <protection locked="0"/>
    </xf>
    <xf numFmtId="3" fontId="2" fillId="2" borderId="60" xfId="0" applyNumberFormat="1" applyFont="1" applyFill="1" applyBorder="1" applyAlignment="1" applyProtection="1">
      <alignment horizontal="right"/>
      <protection locked="0"/>
    </xf>
    <xf numFmtId="3" fontId="10" fillId="2" borderId="18" xfId="0" applyNumberFormat="1" applyFont="1" applyFill="1" applyBorder="1" applyAlignment="1" applyProtection="1">
      <alignment horizontal="right"/>
      <protection locked="0"/>
    </xf>
    <xf numFmtId="3" fontId="13" fillId="0" borderId="18" xfId="0" applyNumberFormat="1" applyFont="1" applyFill="1" applyBorder="1" applyAlignment="1" applyProtection="1">
      <alignment horizontal="right"/>
      <protection locked="0"/>
    </xf>
    <xf numFmtId="3" fontId="13" fillId="0" borderId="26" xfId="0" applyNumberFormat="1" applyFont="1" applyFill="1" applyBorder="1" applyAlignment="1" applyProtection="1">
      <alignment horizontal="right"/>
      <protection locked="0"/>
    </xf>
    <xf numFmtId="3" fontId="13" fillId="2" borderId="61" xfId="0" applyNumberFormat="1" applyFont="1" applyFill="1" applyBorder="1" applyAlignment="1" applyProtection="1">
      <alignment horizontal="right"/>
      <protection locked="0"/>
    </xf>
    <xf numFmtId="3" fontId="13" fillId="0" borderId="62" xfId="0" applyNumberFormat="1" applyFont="1" applyFill="1" applyBorder="1" applyAlignment="1" applyProtection="1">
      <alignment horizontal="right"/>
      <protection locked="0"/>
    </xf>
    <xf numFmtId="0" fontId="35" fillId="0" borderId="0" xfId="0" applyFont="1" applyProtection="1"/>
    <xf numFmtId="0" fontId="35" fillId="0" borderId="0" xfId="0" applyFont="1" applyFill="1" applyProtection="1"/>
    <xf numFmtId="0" fontId="11" fillId="0" borderId="0" xfId="0" applyFont="1" applyFill="1" applyBorder="1" applyAlignment="1" applyProtection="1">
      <alignment horizontal="center"/>
    </xf>
    <xf numFmtId="3" fontId="13" fillId="0" borderId="63" xfId="0" applyNumberFormat="1" applyFont="1" applyFill="1" applyBorder="1" applyAlignment="1" applyProtection="1">
      <alignment horizontal="right"/>
      <protection locked="0"/>
    </xf>
    <xf numFmtId="0" fontId="61" fillId="0" borderId="0" xfId="0" applyFont="1" applyFill="1" applyBorder="1" applyProtection="1"/>
    <xf numFmtId="0" fontId="61" fillId="0" borderId="0" xfId="0" applyFont="1" applyFill="1" applyProtection="1"/>
    <xf numFmtId="0" fontId="61" fillId="2" borderId="0" xfId="0" applyFont="1" applyFill="1" applyProtection="1"/>
    <xf numFmtId="0" fontId="66" fillId="2" borderId="0" xfId="0" applyFont="1" applyFill="1" applyAlignment="1" applyProtection="1"/>
    <xf numFmtId="0" fontId="66" fillId="0" borderId="0" xfId="0" applyFont="1" applyFill="1" applyBorder="1" applyAlignment="1" applyProtection="1"/>
    <xf numFmtId="0" fontId="0" fillId="2" borderId="0" xfId="0" applyFont="1" applyFill="1" applyProtection="1"/>
    <xf numFmtId="0" fontId="0" fillId="0" borderId="0" xfId="0" applyFont="1" applyFill="1" applyBorder="1" applyProtection="1"/>
    <xf numFmtId="0" fontId="0" fillId="2" borderId="0" xfId="0" applyFill="1" applyBorder="1" applyAlignment="1" applyProtection="1">
      <alignment horizontal="left"/>
    </xf>
    <xf numFmtId="3" fontId="10" fillId="2" borderId="7" xfId="0" applyNumberFormat="1" applyFont="1" applyFill="1" applyBorder="1" applyAlignment="1" applyProtection="1">
      <alignment horizontal="right"/>
      <protection locked="0"/>
    </xf>
    <xf numFmtId="3" fontId="10" fillId="2" borderId="4" xfId="0" applyNumberFormat="1" applyFont="1" applyFill="1" applyBorder="1" applyAlignment="1" applyProtection="1">
      <alignment horizontal="right"/>
      <protection locked="0"/>
    </xf>
    <xf numFmtId="3" fontId="10" fillId="2" borderId="4" xfId="0" quotePrefix="1" applyNumberFormat="1" applyFont="1" applyFill="1" applyBorder="1" applyAlignment="1" applyProtection="1">
      <alignment horizontal="right"/>
      <protection locked="0"/>
    </xf>
    <xf numFmtId="3" fontId="10" fillId="2" borderId="51" xfId="0" quotePrefix="1" applyNumberFormat="1" applyFont="1" applyFill="1" applyBorder="1" applyAlignment="1" applyProtection="1">
      <alignment horizontal="right"/>
      <protection locked="0"/>
    </xf>
    <xf numFmtId="3" fontId="10" fillId="0" borderId="7" xfId="0" applyNumberFormat="1" applyFont="1" applyFill="1" applyBorder="1" applyAlignment="1" applyProtection="1">
      <alignment horizontal="right"/>
      <protection locked="0"/>
    </xf>
    <xf numFmtId="3" fontId="10" fillId="0" borderId="4" xfId="0" applyNumberFormat="1" applyFont="1" applyFill="1" applyBorder="1" applyAlignment="1" applyProtection="1">
      <alignment horizontal="right"/>
      <protection locked="0"/>
    </xf>
    <xf numFmtId="3" fontId="13" fillId="2" borderId="43" xfId="0" applyNumberFormat="1" applyFont="1" applyFill="1" applyBorder="1" applyAlignment="1" applyProtection="1">
      <alignment horizontal="right"/>
      <protection locked="0"/>
    </xf>
    <xf numFmtId="3" fontId="13" fillId="2" borderId="64" xfId="0" applyNumberFormat="1" applyFont="1" applyFill="1" applyBorder="1" applyAlignment="1" applyProtection="1">
      <alignment horizontal="right"/>
      <protection locked="0"/>
    </xf>
    <xf numFmtId="3" fontId="13" fillId="6" borderId="43" xfId="0" applyNumberFormat="1" applyFont="1" applyFill="1" applyBorder="1" applyAlignment="1" applyProtection="1">
      <alignment horizontal="right"/>
      <protection locked="0"/>
    </xf>
    <xf numFmtId="3" fontId="13" fillId="6" borderId="64" xfId="0" applyNumberFormat="1" applyFont="1" applyFill="1" applyBorder="1" applyAlignment="1" applyProtection="1">
      <alignment horizontal="right"/>
      <protection locked="0"/>
    </xf>
    <xf numFmtId="3" fontId="13" fillId="2" borderId="13" xfId="0" applyNumberFormat="1" applyFont="1" applyFill="1" applyBorder="1" applyAlignment="1" applyProtection="1">
      <alignment horizontal="right"/>
      <protection locked="0"/>
    </xf>
    <xf numFmtId="3" fontId="13" fillId="2" borderId="65" xfId="0" applyNumberFormat="1" applyFont="1" applyFill="1" applyBorder="1" applyAlignment="1" applyProtection="1">
      <alignment horizontal="right"/>
      <protection locked="0"/>
    </xf>
    <xf numFmtId="0" fontId="7" fillId="2" borderId="40" xfId="0" applyFont="1" applyFill="1" applyBorder="1" applyProtection="1"/>
    <xf numFmtId="0" fontId="83" fillId="0" borderId="40" xfId="12" applyFont="1" applyFill="1" applyBorder="1" applyProtection="1"/>
    <xf numFmtId="0" fontId="83" fillId="0" borderId="0" xfId="12" applyFont="1" applyFill="1" applyBorder="1" applyProtection="1"/>
    <xf numFmtId="49" fontId="7" fillId="2" borderId="0" xfId="0" applyNumberFormat="1" applyFont="1" applyFill="1" applyBorder="1" applyAlignment="1" applyProtection="1">
      <alignment vertical="top" wrapText="1"/>
    </xf>
    <xf numFmtId="3" fontId="2" fillId="9" borderId="19" xfId="0" applyNumberFormat="1" applyFont="1" applyFill="1" applyBorder="1" applyAlignment="1" applyProtection="1">
      <alignment horizontal="right"/>
    </xf>
    <xf numFmtId="3" fontId="9" fillId="2" borderId="0" xfId="0" applyNumberFormat="1" applyFont="1" applyFill="1" applyBorder="1" applyProtection="1"/>
    <xf numFmtId="3" fontId="82" fillId="2" borderId="0" xfId="0" applyNumberFormat="1" applyFont="1" applyFill="1" applyBorder="1" applyProtection="1"/>
    <xf numFmtId="49" fontId="22" fillId="7" borderId="0" xfId="0" applyNumberFormat="1" applyFont="1" applyFill="1" applyProtection="1"/>
    <xf numFmtId="49" fontId="22" fillId="2" borderId="0" xfId="0" applyNumberFormat="1" applyFont="1" applyFill="1" applyAlignment="1" applyProtection="1">
      <alignment horizontal="left"/>
    </xf>
    <xf numFmtId="0" fontId="4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5" fillId="0" borderId="66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60" fillId="0" borderId="0" xfId="0" applyFont="1" applyFill="1" applyBorder="1" applyAlignment="1" applyProtection="1">
      <alignment vertical="top"/>
    </xf>
    <xf numFmtId="169" fontId="3" fillId="0" borderId="0" xfId="12" applyNumberFormat="1" applyFont="1" applyFill="1" applyBorder="1" applyAlignment="1" applyProtection="1">
      <alignment horizontal="left"/>
    </xf>
    <xf numFmtId="49" fontId="22" fillId="0" borderId="0" xfId="0" applyNumberFormat="1" applyFont="1" applyAlignment="1" applyProtection="1">
      <alignment horizontal="left"/>
    </xf>
    <xf numFmtId="49" fontId="22" fillId="0" borderId="0" xfId="0" applyNumberFormat="1" applyFont="1" applyProtection="1"/>
    <xf numFmtId="0" fontId="81" fillId="0" borderId="0" xfId="0" applyFont="1" applyProtection="1"/>
    <xf numFmtId="3" fontId="10" fillId="0" borderId="19" xfId="0" applyNumberFormat="1" applyFont="1" applyFill="1" applyBorder="1" applyAlignment="1" applyProtection="1">
      <alignment horizontal="right"/>
      <protection locked="0"/>
    </xf>
    <xf numFmtId="3" fontId="10" fillId="0" borderId="3" xfId="0" applyNumberFormat="1" applyFont="1" applyFill="1" applyBorder="1" applyAlignment="1" applyProtection="1">
      <alignment horizontal="right"/>
      <protection locked="0"/>
    </xf>
    <xf numFmtId="0" fontId="22" fillId="7" borderId="0" xfId="6" applyFill="1" applyProtection="1"/>
    <xf numFmtId="1" fontId="22" fillId="7" borderId="0" xfId="6" applyNumberFormat="1" applyFill="1" applyProtection="1"/>
    <xf numFmtId="0" fontId="22" fillId="0" borderId="0" xfId="6" applyFill="1" applyBorder="1" applyProtection="1"/>
    <xf numFmtId="0" fontId="22" fillId="0" borderId="0" xfId="6" applyFill="1" applyProtection="1"/>
    <xf numFmtId="0" fontId="22" fillId="2" borderId="0" xfId="6" applyFill="1" applyProtection="1"/>
    <xf numFmtId="0" fontId="41" fillId="2" borderId="0" xfId="6" applyFont="1" applyFill="1" applyBorder="1" applyAlignment="1" applyProtection="1">
      <alignment horizontal="center"/>
    </xf>
    <xf numFmtId="0" fontId="22" fillId="0" borderId="0" xfId="6" applyProtection="1"/>
    <xf numFmtId="0" fontId="22" fillId="0" borderId="0" xfId="6" applyBorder="1" applyProtection="1"/>
    <xf numFmtId="0" fontId="22" fillId="2" borderId="0" xfId="6" applyFont="1" applyFill="1" applyProtection="1"/>
    <xf numFmtId="0" fontId="53" fillId="2" borderId="0" xfId="6" applyFont="1" applyFill="1" applyProtection="1"/>
    <xf numFmtId="1" fontId="22" fillId="0" borderId="0" xfId="6" applyNumberFormat="1" applyProtection="1"/>
    <xf numFmtId="0" fontId="22" fillId="0" borderId="0" xfId="6" applyFont="1" applyProtection="1"/>
    <xf numFmtId="3" fontId="2" fillId="2" borderId="1" xfId="6" applyNumberFormat="1" applyFont="1" applyFill="1" applyBorder="1" applyAlignment="1" applyProtection="1">
      <alignment horizontal="right"/>
      <protection locked="0"/>
    </xf>
    <xf numFmtId="3" fontId="2" fillId="2" borderId="15" xfId="6" applyNumberFormat="1" applyFont="1" applyFill="1" applyBorder="1" applyAlignment="1" applyProtection="1">
      <alignment horizontal="right"/>
      <protection locked="0"/>
    </xf>
    <xf numFmtId="0" fontId="3" fillId="0" borderId="0" xfId="6" applyFont="1" applyBorder="1" applyProtection="1"/>
    <xf numFmtId="0" fontId="22" fillId="0" borderId="0" xfId="0" applyFont="1" applyFill="1" applyProtection="1"/>
    <xf numFmtId="49" fontId="22" fillId="0" borderId="0" xfId="0" applyNumberFormat="1" applyFont="1" applyFill="1" applyBorder="1" applyAlignment="1" applyProtection="1">
      <alignment horizontal="left"/>
    </xf>
    <xf numFmtId="3" fontId="2" fillId="2" borderId="61" xfId="0" applyNumberFormat="1" applyFont="1" applyFill="1" applyBorder="1" applyAlignment="1" applyProtection="1">
      <alignment horizontal="right"/>
      <protection locked="0"/>
    </xf>
    <xf numFmtId="3" fontId="2" fillId="2" borderId="62" xfId="0" applyNumberFormat="1" applyFont="1" applyFill="1" applyBorder="1" applyAlignment="1" applyProtection="1">
      <alignment horizontal="right"/>
      <protection locked="0"/>
    </xf>
    <xf numFmtId="3" fontId="2" fillId="2" borderId="68" xfId="0" applyNumberFormat="1" applyFont="1" applyFill="1" applyBorder="1" applyAlignment="1" applyProtection="1">
      <alignment horizontal="right"/>
      <protection locked="0"/>
    </xf>
    <xf numFmtId="3" fontId="2" fillId="2" borderId="69" xfId="0" applyNumberFormat="1" applyFont="1" applyFill="1" applyBorder="1" applyAlignment="1" applyProtection="1">
      <alignment horizontal="right"/>
      <protection locked="0"/>
    </xf>
    <xf numFmtId="3" fontId="13" fillId="2" borderId="62" xfId="0" applyNumberFormat="1" applyFont="1" applyFill="1" applyBorder="1" applyAlignment="1" applyProtection="1">
      <alignment horizontal="right"/>
      <protection locked="0"/>
    </xf>
    <xf numFmtId="3" fontId="2" fillId="6" borderId="63" xfId="0" applyNumberFormat="1" applyFont="1" applyFill="1" applyBorder="1" applyAlignment="1" applyProtection="1">
      <alignment horizontal="right"/>
      <protection locked="0"/>
    </xf>
    <xf numFmtId="171" fontId="35" fillId="0" borderId="0" xfId="6" applyNumberFormat="1" applyFont="1" applyFill="1" applyBorder="1" applyAlignment="1" applyProtection="1">
      <alignment vertical="top" wrapText="1"/>
    </xf>
    <xf numFmtId="3" fontId="2" fillId="9" borderId="70" xfId="0" applyNumberFormat="1" applyFont="1" applyFill="1" applyBorder="1" applyAlignment="1" applyProtection="1"/>
    <xf numFmtId="3" fontId="2" fillId="9" borderId="13" xfId="0" applyNumberFormat="1" applyFont="1" applyFill="1" applyBorder="1" applyAlignment="1" applyProtection="1"/>
    <xf numFmtId="3" fontId="2" fillId="9" borderId="59" xfId="0" applyNumberFormat="1" applyFont="1" applyFill="1" applyBorder="1" applyAlignment="1" applyProtection="1"/>
    <xf numFmtId="165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/>
    </xf>
    <xf numFmtId="3" fontId="13" fillId="0" borderId="73" xfId="0" applyNumberFormat="1" applyFont="1" applyFill="1" applyBorder="1" applyAlignment="1" applyProtection="1">
      <alignment horizontal="right"/>
      <protection locked="0"/>
    </xf>
    <xf numFmtId="3" fontId="13" fillId="9" borderId="26" xfId="0" applyNumberFormat="1" applyFont="1" applyFill="1" applyBorder="1" applyProtection="1"/>
    <xf numFmtId="0" fontId="10" fillId="0" borderId="0" xfId="6" applyFont="1" applyFill="1" applyBorder="1" applyProtection="1"/>
    <xf numFmtId="3" fontId="36" fillId="0" borderId="0" xfId="6" applyNumberFormat="1" applyFont="1" applyFill="1" applyBorder="1" applyProtection="1"/>
    <xf numFmtId="0" fontId="22" fillId="0" borderId="0" xfId="6" applyFont="1" applyFill="1" applyProtection="1"/>
    <xf numFmtId="0" fontId="35" fillId="0" borderId="0" xfId="0" applyFont="1" applyFill="1" applyBorder="1" applyProtection="1"/>
    <xf numFmtId="3" fontId="13" fillId="2" borderId="44" xfId="0" applyNumberFormat="1" applyFont="1" applyFill="1" applyBorder="1" applyAlignment="1" applyProtection="1">
      <alignment horizontal="right"/>
      <protection locked="0"/>
    </xf>
    <xf numFmtId="0" fontId="0" fillId="0" borderId="12" xfId="0" applyBorder="1"/>
    <xf numFmtId="3" fontId="13" fillId="2" borderId="19" xfId="0" applyNumberFormat="1" applyFont="1" applyFill="1" applyBorder="1" applyAlignment="1" applyProtection="1">
      <protection locked="0"/>
    </xf>
    <xf numFmtId="171" fontId="35" fillId="0" borderId="0" xfId="0" applyNumberFormat="1" applyFont="1" applyFill="1" applyProtection="1"/>
    <xf numFmtId="171" fontId="35" fillId="2" borderId="0" xfId="0" applyNumberFormat="1" applyFont="1" applyFill="1" applyProtection="1"/>
    <xf numFmtId="0" fontId="35" fillId="2" borderId="0" xfId="0" applyFont="1" applyFill="1" applyBorder="1" applyAlignment="1" applyProtection="1">
      <alignment horizontal="left" vertical="top" wrapText="1"/>
    </xf>
    <xf numFmtId="3" fontId="2" fillId="2" borderId="7" xfId="0" applyNumberFormat="1" applyFont="1" applyFill="1" applyBorder="1" applyAlignment="1" applyProtection="1">
      <alignment horizontal="right"/>
      <protection locked="0"/>
    </xf>
    <xf numFmtId="3" fontId="2" fillId="2" borderId="74" xfId="6" applyNumberFormat="1" applyFont="1" applyFill="1" applyBorder="1" applyAlignment="1" applyProtection="1">
      <alignment horizontal="right"/>
      <protection locked="0"/>
    </xf>
    <xf numFmtId="3" fontId="2" fillId="2" borderId="5" xfId="6" applyNumberFormat="1" applyFont="1" applyFill="1" applyBorder="1" applyAlignment="1" applyProtection="1">
      <alignment horizontal="right"/>
      <protection locked="0"/>
    </xf>
    <xf numFmtId="3" fontId="2" fillId="2" borderId="75" xfId="6" applyNumberFormat="1" applyFont="1" applyFill="1" applyBorder="1" applyAlignment="1" applyProtection="1">
      <alignment horizontal="right"/>
      <protection locked="0"/>
    </xf>
    <xf numFmtId="3" fontId="2" fillId="2" borderId="25" xfId="6" applyNumberFormat="1" applyFont="1" applyFill="1" applyBorder="1" applyAlignment="1" applyProtection="1">
      <alignment horizontal="right"/>
      <protection locked="0"/>
    </xf>
    <xf numFmtId="3" fontId="2" fillId="2" borderId="76" xfId="6" applyNumberFormat="1" applyFont="1" applyFill="1" applyBorder="1" applyAlignment="1" applyProtection="1">
      <alignment horizontal="right"/>
      <protection locked="0"/>
    </xf>
    <xf numFmtId="0" fontId="37" fillId="0" borderId="0" xfId="6" applyFont="1" applyProtection="1"/>
    <xf numFmtId="0" fontId="52" fillId="2" borderId="0" xfId="6" applyFont="1" applyFill="1" applyProtection="1"/>
    <xf numFmtId="3" fontId="35" fillId="0" borderId="55" xfId="6" quotePrefix="1" applyNumberFormat="1" applyFont="1" applyFill="1" applyBorder="1" applyAlignment="1" applyProtection="1">
      <alignment horizontal="left"/>
    </xf>
    <xf numFmtId="0" fontId="35" fillId="0" borderId="0" xfId="6" quotePrefix="1" applyNumberFormat="1" applyFont="1" applyProtection="1"/>
    <xf numFmtId="3" fontId="0" fillId="0" borderId="0" xfId="0" applyNumberFormat="1"/>
    <xf numFmtId="3" fontId="93" fillId="2" borderId="0" xfId="0" applyNumberFormat="1" applyFont="1" applyFill="1" applyBorder="1" applyAlignment="1" applyProtection="1">
      <alignment horizontal="left"/>
    </xf>
    <xf numFmtId="3" fontId="2" fillId="8" borderId="4" xfId="6" applyNumberFormat="1" applyFont="1" applyFill="1" applyBorder="1" applyAlignment="1" applyProtection="1"/>
    <xf numFmtId="3" fontId="2" fillId="8" borderId="4" xfId="0" applyNumberFormat="1" applyFont="1" applyFill="1" applyBorder="1" applyAlignment="1" applyProtection="1">
      <alignment horizontal="right"/>
    </xf>
    <xf numFmtId="0" fontId="36" fillId="2" borderId="0" xfId="0" applyFont="1" applyFill="1" applyAlignment="1" applyProtection="1">
      <alignment horizontal="right"/>
    </xf>
    <xf numFmtId="3" fontId="2" fillId="2" borderId="2" xfId="6" applyNumberFormat="1" applyFont="1" applyFill="1" applyBorder="1" applyAlignment="1" applyProtection="1">
      <alignment horizontal="right"/>
      <protection locked="0"/>
    </xf>
    <xf numFmtId="3" fontId="35" fillId="0" borderId="77" xfId="6" quotePrefix="1" applyNumberFormat="1" applyFont="1" applyFill="1" applyBorder="1" applyAlignment="1" applyProtection="1">
      <alignment horizontal="left"/>
    </xf>
    <xf numFmtId="3" fontId="35" fillId="0" borderId="78" xfId="6" quotePrefix="1" applyNumberFormat="1" applyFont="1" applyFill="1" applyBorder="1" applyAlignment="1" applyProtection="1">
      <alignment horizontal="left"/>
    </xf>
    <xf numFmtId="3" fontId="35" fillId="0" borderId="79" xfId="6" quotePrefix="1" applyNumberFormat="1" applyFont="1" applyFill="1" applyBorder="1" applyAlignment="1" applyProtection="1">
      <alignment horizontal="left"/>
    </xf>
    <xf numFmtId="0" fontId="37" fillId="0" borderId="80" xfId="6" applyFont="1" applyBorder="1" applyProtection="1"/>
    <xf numFmtId="0" fontId="52" fillId="2" borderId="79" xfId="6" applyFont="1" applyFill="1" applyBorder="1" applyProtection="1"/>
    <xf numFmtId="0" fontId="92" fillId="0" borderId="80" xfId="6" applyFont="1" applyBorder="1" applyProtection="1"/>
    <xf numFmtId="3" fontId="35" fillId="0" borderId="81" xfId="6" quotePrefix="1" applyNumberFormat="1" applyFont="1" applyFill="1" applyBorder="1" applyAlignment="1" applyProtection="1">
      <alignment horizontal="left"/>
    </xf>
    <xf numFmtId="3" fontId="35" fillId="0" borderId="82" xfId="6" quotePrefix="1" applyNumberFormat="1" applyFont="1" applyFill="1" applyBorder="1" applyAlignment="1" applyProtection="1">
      <alignment horizontal="left"/>
    </xf>
    <xf numFmtId="0" fontId="35" fillId="0" borderId="0" xfId="6" applyFont="1" applyProtection="1"/>
    <xf numFmtId="3" fontId="35" fillId="0" borderId="0" xfId="6" quotePrefix="1" applyNumberFormat="1" applyFont="1" applyFill="1" applyBorder="1" applyAlignment="1" applyProtection="1">
      <alignment horizontal="left"/>
    </xf>
    <xf numFmtId="3" fontId="35" fillId="0" borderId="0" xfId="0" applyNumberFormat="1" applyFont="1" applyFill="1" applyBorder="1" applyAlignment="1" applyProtection="1">
      <alignment horizontal="left"/>
    </xf>
    <xf numFmtId="3" fontId="2" fillId="9" borderId="83" xfId="6" applyNumberFormat="1" applyFont="1" applyFill="1" applyBorder="1" applyProtection="1"/>
    <xf numFmtId="3" fontId="2" fillId="9" borderId="84" xfId="6" applyNumberFormat="1" applyFont="1" applyFill="1" applyBorder="1" applyProtection="1"/>
    <xf numFmtId="3" fontId="2" fillId="9" borderId="35" xfId="0" applyNumberFormat="1" applyFont="1" applyFill="1" applyBorder="1" applyProtection="1"/>
    <xf numFmtId="3" fontId="2" fillId="9" borderId="85" xfId="0" applyNumberFormat="1" applyFont="1" applyFill="1" applyBorder="1" applyProtection="1"/>
    <xf numFmtId="3" fontId="2" fillId="9" borderId="1" xfId="0" applyNumberFormat="1" applyFont="1" applyFill="1" applyBorder="1" applyProtection="1"/>
    <xf numFmtId="3" fontId="2" fillId="9" borderId="53" xfId="0" applyNumberFormat="1" applyFont="1" applyFill="1" applyBorder="1" applyProtection="1"/>
    <xf numFmtId="3" fontId="2" fillId="12" borderId="4" xfId="0" applyNumberFormat="1" applyFont="1" applyFill="1" applyBorder="1" applyProtection="1"/>
    <xf numFmtId="3" fontId="2" fillId="3" borderId="13" xfId="0" applyNumberFormat="1" applyFont="1" applyFill="1" applyBorder="1" applyProtection="1"/>
    <xf numFmtId="3" fontId="2" fillId="3" borderId="26" xfId="0" applyNumberFormat="1" applyFont="1" applyFill="1" applyBorder="1" applyProtection="1"/>
    <xf numFmtId="3" fontId="2" fillId="3" borderId="59" xfId="0" applyNumberFormat="1" applyFont="1" applyFill="1" applyBorder="1" applyProtection="1"/>
    <xf numFmtId="3" fontId="2" fillId="3" borderId="20" xfId="0" applyNumberFormat="1" applyFont="1" applyFill="1" applyBorder="1" applyProtection="1"/>
    <xf numFmtId="3" fontId="2" fillId="3" borderId="86" xfId="0" applyNumberFormat="1" applyFont="1" applyFill="1" applyBorder="1" applyProtection="1"/>
    <xf numFmtId="3" fontId="2" fillId="3" borderId="53" xfId="0" applyNumberFormat="1" applyFont="1" applyFill="1" applyBorder="1" applyProtection="1"/>
    <xf numFmtId="3" fontId="2" fillId="3" borderId="55" xfId="0" applyNumberFormat="1" applyFont="1" applyFill="1" applyBorder="1" applyProtection="1"/>
    <xf numFmtId="3" fontId="2" fillId="3" borderId="73" xfId="0" applyNumberFormat="1" applyFont="1" applyFill="1" applyBorder="1" applyProtection="1"/>
    <xf numFmtId="3" fontId="2" fillId="3" borderId="25" xfId="0" applyNumberFormat="1" applyFont="1" applyFill="1" applyBorder="1" applyProtection="1"/>
    <xf numFmtId="3" fontId="2" fillId="3" borderId="19" xfId="0" applyNumberFormat="1" applyFont="1" applyFill="1" applyBorder="1" applyProtection="1"/>
    <xf numFmtId="3" fontId="2" fillId="3" borderId="63" xfId="0" applyNumberFormat="1" applyFont="1" applyFill="1" applyBorder="1" applyProtection="1"/>
    <xf numFmtId="3" fontId="2" fillId="3" borderId="87" xfId="0" applyNumberFormat="1" applyFont="1" applyFill="1" applyBorder="1" applyProtection="1"/>
    <xf numFmtId="3" fontId="2" fillId="3" borderId="4" xfId="0" applyNumberFormat="1" applyFont="1" applyFill="1" applyBorder="1" applyProtection="1"/>
    <xf numFmtId="3" fontId="2" fillId="3" borderId="65" xfId="0" applyNumberFormat="1" applyFont="1" applyFill="1" applyBorder="1" applyProtection="1"/>
    <xf numFmtId="3" fontId="2" fillId="3" borderId="88" xfId="0" applyNumberFormat="1" applyFont="1" applyFill="1" applyBorder="1" applyProtection="1"/>
    <xf numFmtId="3" fontId="2" fillId="3" borderId="89" xfId="0" applyNumberFormat="1" applyFont="1" applyFill="1" applyBorder="1" applyProtection="1"/>
    <xf numFmtId="3" fontId="13" fillId="3" borderId="59" xfId="0" applyNumberFormat="1" applyFont="1" applyFill="1" applyBorder="1" applyProtection="1"/>
    <xf numFmtId="3" fontId="13" fillId="3" borderId="90" xfId="0" applyNumberFormat="1" applyFont="1" applyFill="1" applyBorder="1" applyProtection="1"/>
    <xf numFmtId="3" fontId="13" fillId="3" borderId="91" xfId="0" applyNumberFormat="1" applyFont="1" applyFill="1" applyBorder="1" applyProtection="1"/>
    <xf numFmtId="3" fontId="13" fillId="3" borderId="65" xfId="0" applyNumberFormat="1" applyFont="1" applyFill="1" applyBorder="1" applyProtection="1"/>
    <xf numFmtId="3" fontId="13" fillId="3" borderId="26" xfId="0" applyNumberFormat="1" applyFont="1" applyFill="1" applyBorder="1" applyProtection="1"/>
    <xf numFmtId="3" fontId="13" fillId="3" borderId="20" xfId="0" applyNumberFormat="1" applyFont="1" applyFill="1" applyBorder="1" applyProtection="1"/>
    <xf numFmtId="3" fontId="13" fillId="3" borderId="18" xfId="0" applyNumberFormat="1" applyFont="1" applyFill="1" applyBorder="1" applyProtection="1"/>
    <xf numFmtId="3" fontId="13" fillId="3" borderId="19" xfId="0" applyNumberFormat="1" applyFont="1" applyFill="1" applyBorder="1" applyProtection="1"/>
    <xf numFmtId="3" fontId="13" fillId="3" borderId="4" xfId="0" applyNumberFormat="1" applyFont="1" applyFill="1" applyBorder="1" applyAlignment="1" applyProtection="1">
      <alignment horizontal="right"/>
    </xf>
    <xf numFmtId="3" fontId="2" fillId="13" borderId="6" xfId="0" applyNumberFormat="1" applyFont="1" applyFill="1" applyBorder="1" applyAlignment="1" applyProtection="1">
      <alignment horizontal="right"/>
    </xf>
    <xf numFmtId="3" fontId="2" fillId="3" borderId="43" xfId="0" applyNumberFormat="1" applyFont="1" applyFill="1" applyBorder="1" applyAlignment="1" applyProtection="1">
      <alignment horizontal="right"/>
    </xf>
    <xf numFmtId="3" fontId="2" fillId="3" borderId="92" xfId="0" applyNumberFormat="1" applyFont="1" applyFill="1" applyBorder="1" applyAlignment="1" applyProtection="1">
      <alignment horizontal="right"/>
    </xf>
    <xf numFmtId="3" fontId="2" fillId="3" borderId="86" xfId="0" applyNumberFormat="1" applyFont="1" applyFill="1" applyBorder="1" applyAlignment="1" applyProtection="1">
      <alignment horizontal="right"/>
    </xf>
    <xf numFmtId="3" fontId="2" fillId="3" borderId="64" xfId="0" applyNumberFormat="1" applyFont="1" applyFill="1" applyBorder="1" applyAlignment="1" applyProtection="1">
      <alignment horizontal="right"/>
    </xf>
    <xf numFmtId="3" fontId="2" fillId="3" borderId="93" xfId="0" applyNumberFormat="1" applyFont="1" applyFill="1" applyBorder="1" applyAlignment="1" applyProtection="1">
      <alignment horizontal="right"/>
    </xf>
    <xf numFmtId="3" fontId="2" fillId="3" borderId="13" xfId="0" applyNumberFormat="1" applyFont="1" applyFill="1" applyBorder="1" applyAlignment="1" applyProtection="1">
      <alignment horizontal="right"/>
    </xf>
    <xf numFmtId="3" fontId="2" fillId="3" borderId="63" xfId="0" applyNumberFormat="1" applyFont="1" applyFill="1" applyBorder="1" applyAlignment="1" applyProtection="1">
      <alignment horizontal="right"/>
    </xf>
    <xf numFmtId="3" fontId="13" fillId="3" borderId="18" xfId="0" applyNumberFormat="1" applyFont="1" applyFill="1" applyBorder="1" applyAlignment="1" applyProtection="1">
      <alignment horizontal="right"/>
    </xf>
    <xf numFmtId="3" fontId="13" fillId="3" borderId="2" xfId="0" applyNumberFormat="1" applyFont="1" applyFill="1" applyBorder="1" applyAlignment="1" applyProtection="1">
      <alignment horizontal="right"/>
    </xf>
    <xf numFmtId="3" fontId="13" fillId="3" borderId="22" xfId="0" applyNumberFormat="1" applyFont="1" applyFill="1" applyBorder="1" applyAlignment="1" applyProtection="1">
      <alignment horizontal="right"/>
    </xf>
    <xf numFmtId="3" fontId="13" fillId="3" borderId="6" xfId="0" applyNumberFormat="1" applyFont="1" applyFill="1" applyBorder="1" applyAlignment="1" applyProtection="1">
      <alignment horizontal="right"/>
    </xf>
    <xf numFmtId="3" fontId="13" fillId="3" borderId="94" xfId="0" applyNumberFormat="1" applyFont="1" applyFill="1" applyBorder="1" applyAlignment="1" applyProtection="1">
      <alignment horizontal="right"/>
    </xf>
    <xf numFmtId="3" fontId="13" fillId="3" borderId="95" xfId="0" applyNumberFormat="1" applyFont="1" applyFill="1" applyBorder="1" applyAlignment="1" applyProtection="1">
      <alignment horizontal="right"/>
    </xf>
    <xf numFmtId="3" fontId="13" fillId="3" borderId="96" xfId="0" applyNumberFormat="1" applyFont="1" applyFill="1" applyBorder="1" applyAlignment="1" applyProtection="1">
      <alignment horizontal="right"/>
    </xf>
    <xf numFmtId="3" fontId="13" fillId="3" borderId="25" xfId="0" applyNumberFormat="1" applyFont="1" applyFill="1" applyBorder="1" applyAlignment="1" applyProtection="1">
      <alignment horizontal="right"/>
    </xf>
    <xf numFmtId="3" fontId="13" fillId="3" borderId="76" xfId="0" applyNumberFormat="1" applyFont="1" applyFill="1" applyBorder="1" applyAlignment="1" applyProtection="1">
      <alignment horizontal="right"/>
    </xf>
    <xf numFmtId="3" fontId="13" fillId="3" borderId="26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>
      <alignment horizontal="right"/>
    </xf>
    <xf numFmtId="3" fontId="13" fillId="3" borderId="69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/>
    <xf numFmtId="3" fontId="13" fillId="3" borderId="25" xfId="0" applyNumberFormat="1" applyFont="1" applyFill="1" applyBorder="1" applyAlignment="1" applyProtection="1"/>
    <xf numFmtId="3" fontId="13" fillId="3" borderId="76" xfId="0" applyNumberFormat="1" applyFont="1" applyFill="1" applyBorder="1" applyAlignment="1" applyProtection="1"/>
    <xf numFmtId="3" fontId="13" fillId="3" borderId="26" xfId="0" applyNumberFormat="1" applyFont="1" applyFill="1" applyBorder="1" applyAlignment="1" applyProtection="1"/>
    <xf numFmtId="3" fontId="13" fillId="3" borderId="97" xfId="0" applyNumberFormat="1" applyFont="1" applyFill="1" applyBorder="1" applyAlignment="1" applyProtection="1">
      <alignment horizontal="right"/>
    </xf>
    <xf numFmtId="3" fontId="13" fillId="10" borderId="98" xfId="0" applyNumberFormat="1" applyFont="1" applyFill="1" applyBorder="1" applyAlignment="1" applyProtection="1">
      <alignment horizontal="right"/>
    </xf>
    <xf numFmtId="3" fontId="13" fillId="10" borderId="99" xfId="0" applyNumberFormat="1" applyFont="1" applyFill="1" applyBorder="1" applyAlignment="1" applyProtection="1">
      <alignment horizontal="right"/>
    </xf>
    <xf numFmtId="3" fontId="13" fillId="10" borderId="88" xfId="0" applyNumberFormat="1" applyFont="1" applyFill="1" applyBorder="1" applyAlignment="1" applyProtection="1">
      <alignment horizontal="right"/>
    </xf>
    <xf numFmtId="3" fontId="13" fillId="10" borderId="100" xfId="0" applyNumberFormat="1" applyFont="1" applyFill="1" applyBorder="1" applyAlignment="1" applyProtection="1">
      <alignment horizontal="right"/>
    </xf>
    <xf numFmtId="3" fontId="13" fillId="3" borderId="52" xfId="0" applyNumberFormat="1" applyFont="1" applyFill="1" applyBorder="1" applyAlignment="1" applyProtection="1">
      <alignment horizontal="right"/>
    </xf>
    <xf numFmtId="3" fontId="13" fillId="3" borderId="101" xfId="0" applyNumberFormat="1" applyFont="1" applyFill="1" applyBorder="1" applyAlignment="1" applyProtection="1">
      <alignment horizontal="right"/>
    </xf>
    <xf numFmtId="3" fontId="13" fillId="3" borderId="87" xfId="0" applyNumberFormat="1" applyFont="1" applyFill="1" applyBorder="1" applyAlignment="1" applyProtection="1">
      <alignment horizontal="right"/>
    </xf>
    <xf numFmtId="3" fontId="13" fillId="3" borderId="102" xfId="0" applyNumberFormat="1" applyFont="1" applyFill="1" applyBorder="1" applyAlignment="1" applyProtection="1">
      <alignment horizontal="right"/>
    </xf>
    <xf numFmtId="3" fontId="13" fillId="3" borderId="103" xfId="0" applyNumberFormat="1" applyFont="1" applyFill="1" applyBorder="1" applyAlignment="1" applyProtection="1">
      <alignment horizontal="right"/>
    </xf>
    <xf numFmtId="3" fontId="13" fillId="3" borderId="104" xfId="0" applyNumberFormat="1" applyFont="1" applyFill="1" applyBorder="1" applyAlignment="1" applyProtection="1">
      <alignment horizontal="right"/>
    </xf>
    <xf numFmtId="3" fontId="13" fillId="3" borderId="91" xfId="0" applyNumberFormat="1" applyFont="1" applyFill="1" applyBorder="1" applyAlignment="1" applyProtection="1">
      <alignment horizontal="right"/>
    </xf>
    <xf numFmtId="3" fontId="2" fillId="3" borderId="105" xfId="0" applyNumberFormat="1" applyFont="1" applyFill="1" applyBorder="1" applyProtection="1"/>
    <xf numFmtId="3" fontId="2" fillId="3" borderId="31" xfId="0" applyNumberFormat="1" applyFont="1" applyFill="1" applyBorder="1" applyProtection="1"/>
    <xf numFmtId="3" fontId="2" fillId="3" borderId="106" xfId="0" applyNumberFormat="1" applyFont="1" applyFill="1" applyBorder="1" applyProtection="1"/>
    <xf numFmtId="3" fontId="13" fillId="3" borderId="31" xfId="0" applyNumberFormat="1" applyFont="1" applyFill="1" applyBorder="1" applyProtection="1"/>
    <xf numFmtId="3" fontId="13" fillId="3" borderId="32" xfId="0" applyNumberFormat="1" applyFont="1" applyFill="1" applyBorder="1" applyProtection="1"/>
    <xf numFmtId="3" fontId="13" fillId="3" borderId="89" xfId="0" applyNumberFormat="1" applyFont="1" applyFill="1" applyBorder="1" applyProtection="1"/>
    <xf numFmtId="3" fontId="2" fillId="3" borderId="107" xfId="0" applyNumberFormat="1" applyFont="1" applyFill="1" applyBorder="1" applyProtection="1"/>
    <xf numFmtId="3" fontId="13" fillId="3" borderId="106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>
      <alignment horizontal="right"/>
    </xf>
    <xf numFmtId="3" fontId="13" fillId="3" borderId="45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/>
    <xf numFmtId="3" fontId="13" fillId="3" borderId="45" xfId="0" applyNumberFormat="1" applyFont="1" applyFill="1" applyBorder="1" applyAlignment="1" applyProtection="1"/>
    <xf numFmtId="3" fontId="13" fillId="3" borderId="108" xfId="0" applyNumberFormat="1" applyFont="1" applyFill="1" applyBorder="1" applyAlignment="1" applyProtection="1">
      <alignment horizontal="right"/>
    </xf>
    <xf numFmtId="3" fontId="2" fillId="3" borderId="109" xfId="0" applyNumberFormat="1" applyFont="1" applyFill="1" applyBorder="1" applyAlignment="1" applyProtection="1">
      <alignment horizontal="right"/>
    </xf>
    <xf numFmtId="0" fontId="1" fillId="7" borderId="0" xfId="0" applyFont="1" applyFill="1" applyProtection="1"/>
    <xf numFmtId="3" fontId="1" fillId="2" borderId="0" xfId="0" applyNumberFormat="1" applyFont="1" applyFill="1" applyProtection="1"/>
    <xf numFmtId="3" fontId="1" fillId="0" borderId="0" xfId="0" applyNumberFormat="1" applyFont="1" applyProtection="1"/>
    <xf numFmtId="3" fontId="1" fillId="0" borderId="0" xfId="0" applyNumberFormat="1" applyFont="1" applyFill="1" applyBorder="1" applyProtection="1"/>
    <xf numFmtId="0" fontId="78" fillId="10" borderId="0" xfId="0" applyFont="1" applyFill="1" applyBorder="1" applyAlignment="1">
      <alignment horizontal="right" wrapText="1"/>
    </xf>
    <xf numFmtId="49" fontId="78" fillId="10" borderId="0" xfId="0" applyNumberFormat="1" applyFont="1" applyFill="1" applyBorder="1" applyAlignment="1">
      <alignment horizontal="right" wrapText="1"/>
    </xf>
    <xf numFmtId="0" fontId="0" fillId="10" borderId="0" xfId="0" applyFill="1" applyBorder="1"/>
    <xf numFmtId="3" fontId="15" fillId="10" borderId="0" xfId="0" applyNumberFormat="1" applyFont="1" applyFill="1" applyBorder="1" applyAlignment="1" applyProtection="1">
      <alignment horizontal="right"/>
    </xf>
    <xf numFmtId="49" fontId="4" fillId="10" borderId="27" xfId="0" applyNumberFormat="1" applyFont="1" applyFill="1" applyBorder="1" applyAlignment="1" applyProtection="1">
      <alignment horizontal="right"/>
    </xf>
    <xf numFmtId="0" fontId="0" fillId="10" borderId="27" xfId="0" applyFill="1" applyBorder="1"/>
    <xf numFmtId="0" fontId="0" fillId="10" borderId="110" xfId="0" applyFill="1" applyBorder="1"/>
    <xf numFmtId="0" fontId="0" fillId="10" borderId="12" xfId="0" applyFill="1" applyBorder="1"/>
    <xf numFmtId="0" fontId="0" fillId="0" borderId="0" xfId="0" applyBorder="1"/>
    <xf numFmtId="0" fontId="0" fillId="0" borderId="71" xfId="0" applyBorder="1"/>
    <xf numFmtId="49" fontId="2" fillId="10" borderId="10" xfId="0" applyNumberFormat="1" applyFont="1" applyFill="1" applyBorder="1" applyAlignment="1" applyProtection="1"/>
    <xf numFmtId="49" fontId="2" fillId="10" borderId="80" xfId="0" applyNumberFormat="1" applyFont="1" applyFill="1" applyBorder="1" applyAlignment="1" applyProtection="1"/>
    <xf numFmtId="49" fontId="2" fillId="10" borderId="40" xfId="0" applyNumberFormat="1" applyFont="1" applyFill="1" applyBorder="1" applyAlignment="1" applyProtection="1"/>
    <xf numFmtId="49" fontId="2" fillId="10" borderId="82" xfId="0" applyNumberFormat="1" applyFont="1" applyFill="1" applyBorder="1" applyAlignment="1" applyProtection="1"/>
    <xf numFmtId="49" fontId="2" fillId="10" borderId="36" xfId="0" applyNumberFormat="1" applyFont="1" applyFill="1" applyBorder="1" applyAlignment="1" applyProtection="1"/>
    <xf numFmtId="0" fontId="96" fillId="0" borderId="0" xfId="6" applyFont="1" applyProtection="1"/>
    <xf numFmtId="3" fontId="2" fillId="9" borderId="111" xfId="6" applyNumberFormat="1" applyFont="1" applyFill="1" applyBorder="1" applyProtection="1"/>
    <xf numFmtId="3" fontId="2" fillId="9" borderId="6" xfId="6" applyNumberFormat="1" applyFont="1" applyFill="1" applyBorder="1" applyProtection="1"/>
    <xf numFmtId="3" fontId="2" fillId="9" borderId="109" xfId="6" applyNumberFormat="1" applyFont="1" applyFill="1" applyBorder="1" applyProtection="1"/>
    <xf numFmtId="3" fontId="2" fillId="9" borderId="94" xfId="6" applyNumberFormat="1" applyFont="1" applyFill="1" applyBorder="1" applyProtection="1"/>
    <xf numFmtId="3" fontId="2" fillId="9" borderId="112" xfId="6" applyNumberFormat="1" applyFont="1" applyFill="1" applyBorder="1" applyProtection="1"/>
    <xf numFmtId="0" fontId="97" fillId="0" borderId="0" xfId="6" applyFont="1" applyProtection="1"/>
    <xf numFmtId="3" fontId="2" fillId="3" borderId="18" xfId="0" applyNumberFormat="1" applyFont="1" applyFill="1" applyBorder="1" applyAlignment="1" applyProtection="1">
      <alignment horizontal="right"/>
    </xf>
    <xf numFmtId="3" fontId="2" fillId="9" borderId="22" xfId="0" applyNumberFormat="1" applyFont="1" applyFill="1" applyBorder="1" applyAlignment="1" applyProtection="1">
      <alignment horizontal="right"/>
    </xf>
    <xf numFmtId="3" fontId="2" fillId="3" borderId="113" xfId="0" applyNumberFormat="1" applyFont="1" applyFill="1" applyBorder="1" applyAlignment="1" applyProtection="1">
      <alignment horizontal="right"/>
    </xf>
    <xf numFmtId="3" fontId="2" fillId="2" borderId="21" xfId="0" applyNumberFormat="1" applyFont="1" applyFill="1" applyBorder="1" applyAlignment="1" applyProtection="1">
      <alignment horizontal="right"/>
      <protection locked="0"/>
    </xf>
    <xf numFmtId="3" fontId="2" fillId="2" borderId="22" xfId="0" applyNumberFormat="1" applyFont="1" applyFill="1" applyBorder="1" applyAlignment="1" applyProtection="1">
      <alignment horizontal="right"/>
      <protection locked="0"/>
    </xf>
    <xf numFmtId="3" fontId="2" fillId="3" borderId="114" xfId="0" applyNumberFormat="1" applyFont="1" applyFill="1" applyBorder="1" applyAlignment="1" applyProtection="1">
      <alignment horizontal="right"/>
    </xf>
    <xf numFmtId="3" fontId="2" fillId="14" borderId="18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 applyProtection="1"/>
    <xf numFmtId="3" fontId="13" fillId="3" borderId="115" xfId="0" applyNumberFormat="1" applyFont="1" applyFill="1" applyBorder="1" applyAlignment="1" applyProtection="1">
      <alignment horizontal="right"/>
    </xf>
    <xf numFmtId="3" fontId="13" fillId="10" borderId="30" xfId="0" applyNumberFormat="1" applyFont="1" applyFill="1" applyBorder="1" applyAlignment="1" applyProtection="1">
      <alignment horizontal="right"/>
    </xf>
    <xf numFmtId="3" fontId="13" fillId="10" borderId="31" xfId="0" applyNumberFormat="1" applyFont="1" applyFill="1" applyBorder="1" applyAlignment="1" applyProtection="1">
      <alignment horizontal="right"/>
    </xf>
    <xf numFmtId="3" fontId="13" fillId="10" borderId="23" xfId="0" applyNumberFormat="1" applyFont="1" applyFill="1" applyBorder="1" applyAlignment="1" applyProtection="1">
      <alignment horizontal="right"/>
    </xf>
    <xf numFmtId="3" fontId="13" fillId="10" borderId="8" xfId="0" applyNumberFormat="1" applyFont="1" applyFill="1" applyBorder="1" applyAlignment="1" applyProtection="1">
      <alignment horizontal="right"/>
    </xf>
    <xf numFmtId="3" fontId="13" fillId="10" borderId="20" xfId="0" applyNumberFormat="1" applyFont="1" applyFill="1" applyBorder="1" applyAlignment="1" applyProtection="1">
      <alignment horizontal="right"/>
    </xf>
    <xf numFmtId="3" fontId="13" fillId="10" borderId="9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right"/>
    </xf>
    <xf numFmtId="3" fontId="13" fillId="2" borderId="54" xfId="0" applyNumberFormat="1" applyFont="1" applyFill="1" applyBorder="1" applyAlignment="1" applyProtection="1">
      <alignment horizontal="right"/>
      <protection locked="0"/>
    </xf>
    <xf numFmtId="3" fontId="13" fillId="2" borderId="53" xfId="0" applyNumberFormat="1" applyFont="1" applyFill="1" applyBorder="1" applyAlignment="1" applyProtection="1">
      <alignment horizontal="right"/>
      <protection locked="0"/>
    </xf>
    <xf numFmtId="3" fontId="13" fillId="2" borderId="69" xfId="0" applyNumberFormat="1" applyFont="1" applyFill="1" applyBorder="1" applyAlignment="1" applyProtection="1">
      <alignment horizontal="right"/>
      <protection locked="0"/>
    </xf>
    <xf numFmtId="3" fontId="13" fillId="10" borderId="104" xfId="0" applyNumberFormat="1" applyFont="1" applyFill="1" applyBorder="1" applyAlignment="1" applyProtection="1">
      <alignment horizontal="right"/>
    </xf>
    <xf numFmtId="3" fontId="13" fillId="10" borderId="116" xfId="0" applyNumberFormat="1" applyFont="1" applyFill="1" applyBorder="1" applyAlignment="1" applyProtection="1">
      <alignment horizontal="right"/>
    </xf>
    <xf numFmtId="3" fontId="13" fillId="10" borderId="117" xfId="0" applyNumberFormat="1" applyFont="1" applyFill="1" applyBorder="1" applyAlignment="1" applyProtection="1">
      <alignment horizontal="right"/>
    </xf>
    <xf numFmtId="3" fontId="13" fillId="10" borderId="91" xfId="0" applyNumberFormat="1" applyFont="1" applyFill="1" applyBorder="1" applyAlignment="1" applyProtection="1">
      <alignment horizontal="right"/>
    </xf>
    <xf numFmtId="3" fontId="13" fillId="10" borderId="3" xfId="0" applyNumberFormat="1" applyFont="1" applyFill="1" applyBorder="1" applyAlignment="1" applyProtection="1">
      <alignment horizontal="right"/>
    </xf>
    <xf numFmtId="3" fontId="13" fillId="10" borderId="2" xfId="0" applyNumberFormat="1" applyFont="1" applyFill="1" applyBorder="1" applyAlignment="1" applyProtection="1">
      <alignment horizontal="right"/>
    </xf>
    <xf numFmtId="3" fontId="13" fillId="10" borderId="1" xfId="0" applyNumberFormat="1" applyFont="1" applyFill="1" applyBorder="1" applyAlignment="1" applyProtection="1">
      <alignment horizontal="right"/>
    </xf>
    <xf numFmtId="3" fontId="13" fillId="10" borderId="18" xfId="0" applyNumberFormat="1" applyFont="1" applyFill="1" applyBorder="1" applyAlignment="1" applyProtection="1">
      <alignment horizontal="right"/>
    </xf>
    <xf numFmtId="3" fontId="13" fillId="10" borderId="101" xfId="0" applyNumberFormat="1" applyFont="1" applyFill="1" applyBorder="1" applyAlignment="1" applyProtection="1">
      <alignment horizontal="right"/>
    </xf>
    <xf numFmtId="3" fontId="13" fillId="10" borderId="21" xfId="0" applyNumberFormat="1" applyFont="1" applyFill="1" applyBorder="1" applyAlignment="1" applyProtection="1">
      <alignment horizontal="right"/>
    </xf>
    <xf numFmtId="3" fontId="13" fillId="10" borderId="47" xfId="0" applyNumberFormat="1" applyFont="1" applyFill="1" applyBorder="1" applyAlignment="1" applyProtection="1">
      <alignment horizontal="right"/>
    </xf>
    <xf numFmtId="3" fontId="13" fillId="10" borderId="118" xfId="0" applyNumberFormat="1" applyFont="1" applyFill="1" applyBorder="1" applyAlignment="1" applyProtection="1">
      <alignment horizontal="right"/>
    </xf>
    <xf numFmtId="3" fontId="13" fillId="10" borderId="28" xfId="0" applyNumberFormat="1" applyFont="1" applyFill="1" applyBorder="1" applyAlignment="1" applyProtection="1">
      <alignment horizontal="right"/>
    </xf>
    <xf numFmtId="3" fontId="13" fillId="10" borderId="106" xfId="0" applyNumberFormat="1" applyFont="1" applyFill="1" applyBorder="1" applyAlignment="1" applyProtection="1">
      <alignment horizontal="right"/>
    </xf>
    <xf numFmtId="3" fontId="13" fillId="10" borderId="29" xfId="0" applyNumberFormat="1" applyFont="1" applyFill="1" applyBorder="1" applyAlignment="1" applyProtection="1">
      <alignment horizontal="right"/>
    </xf>
    <xf numFmtId="3" fontId="13" fillId="10" borderId="32" xfId="0" applyNumberFormat="1" applyFont="1" applyFill="1" applyBorder="1" applyAlignment="1" applyProtection="1">
      <alignment horizontal="right"/>
    </xf>
    <xf numFmtId="3" fontId="13" fillId="10" borderId="22" xfId="0" applyNumberFormat="1" applyFont="1" applyFill="1" applyBorder="1" applyAlignment="1" applyProtection="1">
      <alignment horizontal="right"/>
    </xf>
    <xf numFmtId="3" fontId="13" fillId="10" borderId="4" xfId="0" applyNumberFormat="1" applyFont="1" applyFill="1" applyBorder="1" applyAlignment="1" applyProtection="1">
      <alignment horizontal="right"/>
    </xf>
    <xf numFmtId="3" fontId="13" fillId="10" borderId="19" xfId="0" applyNumberFormat="1" applyFont="1" applyFill="1" applyBorder="1" applyAlignment="1" applyProtection="1">
      <alignment horizontal="right"/>
    </xf>
    <xf numFmtId="3" fontId="13" fillId="10" borderId="5" xfId="0" applyNumberFormat="1" applyFont="1" applyFill="1" applyBorder="1" applyAlignment="1" applyProtection="1">
      <alignment horizontal="right"/>
    </xf>
    <xf numFmtId="3" fontId="13" fillId="10" borderId="6" xfId="0" applyNumberFormat="1" applyFont="1" applyFill="1" applyBorder="1" applyAlignment="1" applyProtection="1">
      <alignment horizontal="right"/>
    </xf>
    <xf numFmtId="0" fontId="23" fillId="10" borderId="99" xfId="0" applyFont="1" applyFill="1" applyBorder="1" applyProtection="1"/>
    <xf numFmtId="0" fontId="23" fillId="10" borderId="119" xfId="0" applyFont="1" applyFill="1" applyBorder="1" applyProtection="1"/>
    <xf numFmtId="0" fontId="23" fillId="10" borderId="120" xfId="0" applyFont="1" applyFill="1" applyBorder="1" applyProtection="1"/>
    <xf numFmtId="0" fontId="23" fillId="10" borderId="69" xfId="0" applyFont="1" applyFill="1" applyBorder="1" applyProtection="1"/>
    <xf numFmtId="0" fontId="23" fillId="10" borderId="84" xfId="0" applyFont="1" applyFill="1" applyBorder="1" applyProtection="1"/>
    <xf numFmtId="0" fontId="23" fillId="10" borderId="52" xfId="0" applyFont="1" applyFill="1" applyBorder="1" applyProtection="1"/>
    <xf numFmtId="0" fontId="23" fillId="10" borderId="101" xfId="0" applyFont="1" applyFill="1" applyBorder="1" applyProtection="1"/>
    <xf numFmtId="0" fontId="23" fillId="10" borderId="117" xfId="0" applyFont="1" applyFill="1" applyBorder="1" applyProtection="1"/>
    <xf numFmtId="0" fontId="23" fillId="10" borderId="21" xfId="0" applyFont="1" applyFill="1" applyBorder="1" applyProtection="1"/>
    <xf numFmtId="0" fontId="23" fillId="10" borderId="1" xfId="0" applyFont="1" applyFill="1" applyBorder="1" applyProtection="1"/>
    <xf numFmtId="0" fontId="23" fillId="10" borderId="47" xfId="0" applyFont="1" applyFill="1" applyBorder="1" applyProtection="1"/>
    <xf numFmtId="0" fontId="23" fillId="10" borderId="118" xfId="0" applyFont="1" applyFill="1" applyBorder="1" applyProtection="1"/>
    <xf numFmtId="0" fontId="23" fillId="10" borderId="28" xfId="0" applyFont="1" applyFill="1" applyBorder="1" applyProtection="1"/>
    <xf numFmtId="0" fontId="23" fillId="10" borderId="106" xfId="0" applyFont="1" applyFill="1" applyBorder="1" applyProtection="1"/>
    <xf numFmtId="3" fontId="13" fillId="10" borderId="121" xfId="0" applyNumberFormat="1" applyFont="1" applyFill="1" applyBorder="1" applyAlignment="1" applyProtection="1">
      <alignment horizontal="right"/>
    </xf>
    <xf numFmtId="3" fontId="13" fillId="2" borderId="84" xfId="0" applyNumberFormat="1" applyFont="1" applyFill="1" applyBorder="1" applyAlignment="1" applyProtection="1">
      <alignment horizontal="right"/>
      <protection locked="0"/>
    </xf>
    <xf numFmtId="0" fontId="23" fillId="10" borderId="6" xfId="0" applyFont="1" applyFill="1" applyBorder="1" applyProtection="1"/>
    <xf numFmtId="0" fontId="23" fillId="10" borderId="5" xfId="0" applyFont="1" applyFill="1" applyBorder="1" applyProtection="1"/>
    <xf numFmtId="0" fontId="23" fillId="10" borderId="4" xfId="0" applyFont="1" applyFill="1" applyBorder="1" applyProtection="1"/>
    <xf numFmtId="3" fontId="13" fillId="15" borderId="4" xfId="0" applyNumberFormat="1" applyFont="1" applyFill="1" applyBorder="1" applyAlignment="1" applyProtection="1">
      <alignment horizontal="right"/>
    </xf>
    <xf numFmtId="3" fontId="13" fillId="15" borderId="5" xfId="0" applyNumberFormat="1" applyFont="1" applyFill="1" applyBorder="1" applyAlignment="1" applyProtection="1">
      <alignment horizontal="right"/>
    </xf>
    <xf numFmtId="0" fontId="23" fillId="10" borderId="19" xfId="0" applyFont="1" applyFill="1" applyBorder="1" applyProtection="1"/>
    <xf numFmtId="0" fontId="23" fillId="10" borderId="22" xfId="0" applyFont="1" applyFill="1" applyBorder="1" applyProtection="1"/>
    <xf numFmtId="0" fontId="23" fillId="10" borderId="29" xfId="0" applyFont="1" applyFill="1" applyBorder="1" applyProtection="1"/>
    <xf numFmtId="0" fontId="23" fillId="10" borderId="32" xfId="0" applyFont="1" applyFill="1" applyBorder="1" applyProtection="1"/>
    <xf numFmtId="3" fontId="13" fillId="2" borderId="122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left"/>
    </xf>
    <xf numFmtId="3" fontId="13" fillId="10" borderId="9" xfId="0" applyNumberFormat="1" applyFont="1" applyFill="1" applyBorder="1" applyAlignment="1" applyProtection="1">
      <alignment horizontal="left"/>
    </xf>
    <xf numFmtId="3" fontId="13" fillId="10" borderId="8" xfId="0" applyNumberFormat="1" applyFont="1" applyFill="1" applyBorder="1" applyAlignment="1" applyProtection="1">
      <alignment horizontal="left"/>
    </xf>
    <xf numFmtId="3" fontId="13" fillId="10" borderId="20" xfId="0" applyNumberFormat="1" applyFont="1" applyFill="1" applyBorder="1" applyAlignment="1" applyProtection="1">
      <alignment horizontal="left"/>
    </xf>
    <xf numFmtId="3" fontId="13" fillId="10" borderId="23" xfId="0" applyNumberFormat="1" applyFont="1" applyFill="1" applyBorder="1" applyAlignment="1" applyProtection="1">
      <alignment horizontal="left"/>
    </xf>
    <xf numFmtId="3" fontId="13" fillId="16" borderId="20" xfId="0" applyNumberFormat="1" applyFont="1" applyFill="1" applyBorder="1" applyAlignment="1" applyProtection="1">
      <alignment horizontal="left"/>
    </xf>
    <xf numFmtId="3" fontId="13" fillId="10" borderId="30" xfId="0" applyNumberFormat="1" applyFont="1" applyFill="1" applyBorder="1" applyAlignment="1" applyProtection="1">
      <alignment horizontal="left"/>
    </xf>
    <xf numFmtId="3" fontId="13" fillId="10" borderId="31" xfId="0" applyNumberFormat="1" applyFont="1" applyFill="1" applyBorder="1" applyAlignment="1" applyProtection="1">
      <alignment horizontal="left"/>
    </xf>
    <xf numFmtId="0" fontId="52" fillId="2" borderId="123" xfId="6" applyFont="1" applyFill="1" applyBorder="1" applyProtection="1"/>
    <xf numFmtId="0" fontId="92" fillId="0" borderId="10" xfId="6" applyFont="1" applyBorder="1" applyProtection="1"/>
    <xf numFmtId="0" fontId="92" fillId="0" borderId="78" xfId="6" applyFont="1" applyBorder="1" applyProtection="1"/>
    <xf numFmtId="49" fontId="98" fillId="7" borderId="0" xfId="0" applyNumberFormat="1" applyFont="1" applyFill="1" applyProtection="1"/>
    <xf numFmtId="0" fontId="98" fillId="7" borderId="0" xfId="0" applyFont="1" applyFill="1" applyProtection="1"/>
    <xf numFmtId="49" fontId="100" fillId="7" borderId="0" xfId="0" applyNumberFormat="1" applyFont="1" applyFill="1" applyProtection="1"/>
    <xf numFmtId="0" fontId="100" fillId="7" borderId="0" xfId="0" applyFont="1" applyFill="1" applyProtection="1"/>
    <xf numFmtId="0" fontId="0" fillId="7" borderId="0" xfId="0" applyFill="1" applyAlignment="1" applyProtection="1">
      <alignment horizontal="right"/>
    </xf>
    <xf numFmtId="0" fontId="101" fillId="7" borderId="0" xfId="0" quotePrefix="1" applyFont="1" applyFill="1" applyBorder="1" applyAlignment="1" applyProtection="1">
      <alignment horizontal="left"/>
    </xf>
    <xf numFmtId="0" fontId="102" fillId="7" borderId="0" xfId="0" applyFont="1" applyFill="1" applyProtection="1"/>
    <xf numFmtId="49" fontId="100" fillId="7" borderId="0" xfId="0" applyNumberFormat="1" applyFont="1" applyFill="1" applyAlignment="1" applyProtection="1">
      <alignment horizontal="right"/>
    </xf>
    <xf numFmtId="49" fontId="99" fillId="7" borderId="0" xfId="0" applyNumberFormat="1" applyFont="1" applyFill="1" applyAlignment="1" applyProtection="1">
      <alignment horizontal="right"/>
    </xf>
    <xf numFmtId="0" fontId="99" fillId="7" borderId="0" xfId="0" applyFont="1" applyFill="1" applyAlignment="1" applyProtection="1">
      <alignment horizontal="left"/>
    </xf>
    <xf numFmtId="49" fontId="100" fillId="7" borderId="0" xfId="6" applyNumberFormat="1" applyFont="1" applyFill="1" applyBorder="1" applyAlignment="1" applyProtection="1">
      <alignment horizontal="left"/>
    </xf>
    <xf numFmtId="0" fontId="100" fillId="7" borderId="0" xfId="6" applyFont="1" applyFill="1" applyProtection="1"/>
    <xf numFmtId="3" fontId="2" fillId="0" borderId="18" xfId="0" applyNumberFormat="1" applyFont="1" applyFill="1" applyBorder="1" applyAlignment="1" applyProtection="1">
      <alignment horizontal="right"/>
      <protection locked="0"/>
    </xf>
    <xf numFmtId="3" fontId="52" fillId="0" borderId="40" xfId="0" applyNumberFormat="1" applyFont="1" applyFill="1" applyBorder="1" applyProtection="1"/>
    <xf numFmtId="3" fontId="7" fillId="0" borderId="40" xfId="0" applyNumberFormat="1" applyFont="1" applyFill="1" applyBorder="1" applyProtection="1"/>
    <xf numFmtId="3" fontId="3" fillId="0" borderId="71" xfId="0" applyNumberFormat="1" applyFont="1" applyFill="1" applyBorder="1" applyAlignment="1" applyProtection="1">
      <alignment horizontal="right"/>
    </xf>
    <xf numFmtId="3" fontId="35" fillId="0" borderId="40" xfId="0" applyNumberFormat="1" applyFont="1" applyFill="1" applyBorder="1" applyAlignment="1" applyProtection="1">
      <alignment horizontal="right"/>
    </xf>
    <xf numFmtId="0" fontId="7" fillId="0" borderId="66" xfId="0" applyFont="1" applyFill="1" applyBorder="1" applyProtection="1"/>
    <xf numFmtId="0" fontId="83" fillId="2" borderId="71" xfId="11" applyFont="1" applyFill="1" applyBorder="1" applyProtection="1"/>
    <xf numFmtId="0" fontId="7" fillId="0" borderId="40" xfId="0" applyFont="1" applyFill="1" applyBorder="1" applyProtection="1"/>
    <xf numFmtId="3" fontId="13" fillId="3" borderId="7" xfId="0" applyNumberFormat="1" applyFont="1" applyFill="1" applyBorder="1" applyAlignment="1" applyProtection="1">
      <alignment horizontal="right"/>
    </xf>
    <xf numFmtId="3" fontId="2" fillId="2" borderId="51" xfId="0" applyNumberFormat="1" applyFont="1" applyFill="1" applyBorder="1" applyAlignment="1" applyProtection="1">
      <alignment horizontal="right"/>
      <protection locked="0"/>
    </xf>
    <xf numFmtId="3" fontId="35" fillId="0" borderId="0" xfId="6" quotePrefix="1" applyNumberFormat="1" applyFont="1" applyFill="1" applyBorder="1" applyAlignment="1" applyProtection="1"/>
    <xf numFmtId="3" fontId="60" fillId="0" borderId="0" xfId="6" quotePrefix="1" applyNumberFormat="1" applyFont="1" applyFill="1" applyBorder="1" applyAlignment="1" applyProtection="1"/>
    <xf numFmtId="3" fontId="35" fillId="2" borderId="40" xfId="0" applyNumberFormat="1" applyFont="1" applyFill="1" applyBorder="1" applyAlignment="1" applyProtection="1">
      <alignment horizontal="left"/>
    </xf>
    <xf numFmtId="3" fontId="35" fillId="0" borderId="124" xfId="0" applyNumberFormat="1" applyFont="1" applyFill="1" applyBorder="1" applyProtection="1"/>
    <xf numFmtId="3" fontId="110" fillId="2" borderId="0" xfId="0" applyNumberFormat="1" applyFont="1" applyFill="1" applyBorder="1" applyAlignment="1" applyProtection="1">
      <alignment horizontal="right"/>
    </xf>
    <xf numFmtId="3" fontId="110" fillId="5" borderId="0" xfId="0" applyNumberFormat="1" applyFont="1" applyFill="1" applyBorder="1" applyAlignment="1" applyProtection="1">
      <alignment horizontal="right"/>
    </xf>
    <xf numFmtId="3" fontId="110" fillId="4" borderId="0" xfId="0" applyNumberFormat="1" applyFont="1" applyFill="1" applyBorder="1" applyAlignment="1" applyProtection="1">
      <alignment horizontal="right"/>
    </xf>
    <xf numFmtId="3" fontId="110" fillId="6" borderId="0" xfId="0" applyNumberFormat="1" applyFont="1" applyFill="1" applyBorder="1" applyAlignment="1" applyProtection="1">
      <alignment horizontal="right"/>
    </xf>
    <xf numFmtId="0" fontId="111" fillId="0" borderId="0" xfId="0" applyFont="1" applyFill="1" applyBorder="1" applyProtection="1"/>
    <xf numFmtId="49" fontId="3" fillId="20" borderId="125" xfId="0" applyNumberFormat="1" applyFont="1" applyFill="1" applyBorder="1" applyAlignment="1" applyProtection="1">
      <alignment horizontal="center"/>
    </xf>
    <xf numFmtId="49" fontId="3" fillId="20" borderId="13" xfId="0" applyNumberFormat="1" applyFont="1" applyFill="1" applyBorder="1" applyAlignment="1" applyProtection="1">
      <alignment horizontal="center"/>
    </xf>
    <xf numFmtId="0" fontId="5" fillId="20" borderId="13" xfId="0" applyFont="1" applyFill="1" applyBorder="1" applyProtection="1"/>
    <xf numFmtId="49" fontId="3" fillId="20" borderId="12" xfId="0" applyNumberFormat="1" applyFont="1" applyFill="1" applyBorder="1" applyAlignment="1" applyProtection="1">
      <alignment horizontal="left"/>
    </xf>
    <xf numFmtId="49" fontId="3" fillId="20" borderId="4" xfId="0" applyNumberFormat="1" applyFont="1" applyFill="1" applyBorder="1" applyAlignment="1" applyProtection="1">
      <alignment horizontal="center" wrapText="1"/>
    </xf>
    <xf numFmtId="49" fontId="3" fillId="20" borderId="87" xfId="0" applyNumberFormat="1" applyFont="1" applyFill="1" applyBorder="1" applyAlignment="1" applyProtection="1">
      <alignment horizontal="center" wrapText="1"/>
    </xf>
    <xf numFmtId="0" fontId="8" fillId="20" borderId="8" xfId="0" applyFont="1" applyFill="1" applyBorder="1" applyAlignment="1" applyProtection="1">
      <alignment horizontal="center" wrapText="1"/>
    </xf>
    <xf numFmtId="49" fontId="3" fillId="20" borderId="1" xfId="0" applyNumberFormat="1" applyFont="1" applyFill="1" applyBorder="1" applyAlignment="1" applyProtection="1">
      <alignment horizontal="center" wrapText="1"/>
    </xf>
    <xf numFmtId="0" fontId="3" fillId="20" borderId="8" xfId="0" applyFont="1" applyFill="1" applyBorder="1" applyAlignment="1" applyProtection="1">
      <alignment horizontal="center" wrapText="1"/>
    </xf>
    <xf numFmtId="0" fontId="8" fillId="20" borderId="4" xfId="0" applyFont="1" applyFill="1" applyBorder="1" applyAlignment="1" applyProtection="1">
      <alignment horizontal="center"/>
    </xf>
    <xf numFmtId="0" fontId="3" fillId="20" borderId="72" xfId="0" applyFont="1" applyFill="1" applyBorder="1" applyAlignment="1" applyProtection="1">
      <alignment horizontal="center"/>
    </xf>
    <xf numFmtId="3" fontId="3" fillId="20" borderId="126" xfId="0" applyNumberFormat="1" applyFont="1" applyFill="1" applyBorder="1" applyAlignment="1" applyProtection="1"/>
    <xf numFmtId="0" fontId="3" fillId="20" borderId="23" xfId="0" applyFont="1" applyFill="1" applyBorder="1" applyAlignment="1" applyProtection="1">
      <alignment horizontal="center"/>
    </xf>
    <xf numFmtId="0" fontId="3" fillId="20" borderId="8" xfId="0" applyFont="1" applyFill="1" applyBorder="1" applyAlignment="1" applyProtection="1">
      <alignment horizontal="center"/>
    </xf>
    <xf numFmtId="0" fontId="5" fillId="20" borderId="8" xfId="0" applyFont="1" applyFill="1" applyBorder="1" applyAlignment="1" applyProtection="1">
      <alignment horizontal="left"/>
    </xf>
    <xf numFmtId="0" fontId="3" fillId="20" borderId="127" xfId="0" applyFont="1" applyFill="1" applyBorder="1" applyAlignment="1" applyProtection="1">
      <alignment horizontal="center"/>
    </xf>
    <xf numFmtId="0" fontId="8" fillId="20" borderId="13" xfId="0" applyFont="1" applyFill="1" applyBorder="1" applyAlignment="1" applyProtection="1">
      <alignment horizontal="center"/>
    </xf>
    <xf numFmtId="0" fontId="14" fillId="20" borderId="13" xfId="0" applyFont="1" applyFill="1" applyBorder="1" applyAlignment="1" applyProtection="1">
      <alignment horizontal="left"/>
    </xf>
    <xf numFmtId="0" fontId="3" fillId="20" borderId="22" xfId="0" applyFont="1" applyFill="1" applyBorder="1" applyAlignment="1" applyProtection="1">
      <alignment horizontal="center"/>
    </xf>
    <xf numFmtId="0" fontId="3" fillId="20" borderId="7" xfId="0" applyFont="1" applyFill="1" applyBorder="1" applyAlignment="1" applyProtection="1">
      <alignment horizontal="center" wrapText="1"/>
    </xf>
    <xf numFmtId="0" fontId="8" fillId="20" borderId="4" xfId="0" applyFont="1" applyFill="1" applyBorder="1" applyAlignment="1" applyProtection="1">
      <alignment wrapText="1"/>
    </xf>
    <xf numFmtId="0" fontId="3" fillId="20" borderId="21" xfId="0" applyFont="1" applyFill="1" applyBorder="1" applyAlignment="1" applyProtection="1">
      <alignment horizontal="center"/>
    </xf>
    <xf numFmtId="0" fontId="3" fillId="20" borderId="54" xfId="0" applyFont="1" applyFill="1" applyBorder="1" applyAlignment="1" applyProtection="1">
      <alignment horizontal="center"/>
    </xf>
    <xf numFmtId="0" fontId="3" fillId="20" borderId="1" xfId="0" applyFont="1" applyFill="1" applyBorder="1" applyProtection="1"/>
    <xf numFmtId="0" fontId="3" fillId="20" borderId="128" xfId="0" applyFont="1" applyFill="1" applyBorder="1" applyAlignment="1" applyProtection="1">
      <alignment horizontal="center"/>
    </xf>
    <xf numFmtId="1" fontId="3" fillId="20" borderId="15" xfId="0" applyNumberFormat="1" applyFont="1" applyFill="1" applyBorder="1" applyAlignment="1" applyProtection="1">
      <alignment horizontal="center"/>
    </xf>
    <xf numFmtId="0" fontId="3" fillId="20" borderId="15" xfId="0" applyFont="1" applyFill="1" applyBorder="1" applyProtection="1"/>
    <xf numFmtId="1" fontId="3" fillId="20" borderId="4" xfId="0" applyNumberFormat="1" applyFont="1" applyFill="1" applyBorder="1" applyAlignment="1" applyProtection="1">
      <alignment horizontal="center"/>
    </xf>
    <xf numFmtId="0" fontId="3" fillId="20" borderId="4" xfId="0" applyFont="1" applyFill="1" applyBorder="1" applyProtection="1"/>
    <xf numFmtId="0" fontId="3" fillId="20" borderId="50" xfId="0" applyFont="1" applyFill="1" applyBorder="1" applyAlignment="1" applyProtection="1">
      <alignment horizontal="center"/>
    </xf>
    <xf numFmtId="1" fontId="3" fillId="20" borderId="1" xfId="0" applyNumberFormat="1" applyFont="1" applyFill="1" applyBorder="1" applyAlignment="1" applyProtection="1">
      <alignment horizontal="center"/>
    </xf>
    <xf numFmtId="0" fontId="3" fillId="20" borderId="24" xfId="0" applyFont="1" applyFill="1" applyBorder="1" applyAlignment="1" applyProtection="1">
      <alignment horizontal="center"/>
    </xf>
    <xf numFmtId="1" fontId="5" fillId="20" borderId="13" xfId="0" applyNumberFormat="1" applyFont="1" applyFill="1" applyBorder="1" applyAlignment="1" applyProtection="1">
      <alignment horizontal="center"/>
    </xf>
    <xf numFmtId="0" fontId="8" fillId="20" borderId="129" xfId="0" applyFont="1" applyFill="1" applyBorder="1" applyAlignment="1" applyProtection="1">
      <alignment horizontal="center"/>
    </xf>
    <xf numFmtId="1" fontId="8" fillId="20" borderId="1" xfId="0" applyNumberFormat="1" applyFont="1" applyFill="1" applyBorder="1" applyAlignment="1" applyProtection="1">
      <alignment horizontal="center"/>
    </xf>
    <xf numFmtId="0" fontId="8" fillId="20" borderId="1" xfId="0" applyFont="1" applyFill="1" applyBorder="1" applyProtection="1"/>
    <xf numFmtId="1" fontId="14" fillId="20" borderId="13" xfId="0" applyNumberFormat="1" applyFont="1" applyFill="1" applyBorder="1" applyAlignment="1" applyProtection="1">
      <alignment horizontal="center"/>
    </xf>
    <xf numFmtId="0" fontId="14" fillId="20" borderId="13" xfId="0" applyFont="1" applyFill="1" applyBorder="1" applyProtection="1"/>
    <xf numFmtId="0" fontId="3" fillId="20" borderId="39" xfId="0" applyFont="1" applyFill="1" applyBorder="1" applyAlignment="1" applyProtection="1">
      <alignment horizontal="center"/>
    </xf>
    <xf numFmtId="1" fontId="5" fillId="20" borderId="25" xfId="0" applyNumberFormat="1" applyFont="1" applyFill="1" applyBorder="1" applyAlignment="1" applyProtection="1">
      <alignment horizontal="center"/>
    </xf>
    <xf numFmtId="0" fontId="5" fillId="20" borderId="25" xfId="0" applyFont="1" applyFill="1" applyBorder="1" applyProtection="1"/>
    <xf numFmtId="0" fontId="3" fillId="20" borderId="129" xfId="0" applyFont="1" applyFill="1" applyBorder="1" applyAlignment="1" applyProtection="1">
      <alignment horizontal="center"/>
    </xf>
    <xf numFmtId="0" fontId="3" fillId="20" borderId="25" xfId="0" applyFont="1" applyFill="1" applyBorder="1" applyAlignment="1" applyProtection="1">
      <alignment horizontal="center"/>
    </xf>
    <xf numFmtId="0" fontId="3" fillId="20" borderId="25" xfId="0" applyFont="1" applyFill="1" applyBorder="1" applyProtection="1"/>
    <xf numFmtId="0" fontId="5" fillId="20" borderId="1" xfId="0" applyFont="1" applyFill="1" applyBorder="1" applyProtection="1"/>
    <xf numFmtId="49" fontId="3" fillId="20" borderId="127" xfId="0" applyNumberFormat="1" applyFont="1" applyFill="1" applyBorder="1" applyAlignment="1" applyProtection="1">
      <alignment horizontal="center"/>
    </xf>
    <xf numFmtId="0" fontId="3" fillId="20" borderId="109" xfId="0" applyFont="1" applyFill="1" applyBorder="1" applyAlignment="1" applyProtection="1">
      <alignment horizontal="center"/>
    </xf>
    <xf numFmtId="1" fontId="3" fillId="20" borderId="43" xfId="0" applyNumberFormat="1" applyFont="1" applyFill="1" applyBorder="1" applyAlignment="1" applyProtection="1">
      <alignment horizontal="left"/>
    </xf>
    <xf numFmtId="0" fontId="3" fillId="20" borderId="130" xfId="0" applyFont="1" applyFill="1" applyBorder="1" applyAlignment="1" applyProtection="1">
      <alignment horizontal="center"/>
    </xf>
    <xf numFmtId="1" fontId="3" fillId="20" borderId="131" xfId="0" applyNumberFormat="1" applyFont="1" applyFill="1" applyBorder="1" applyAlignment="1" applyProtection="1">
      <alignment horizontal="left"/>
    </xf>
    <xf numFmtId="49" fontId="3" fillId="20" borderId="132" xfId="0" applyNumberFormat="1" applyFont="1" applyFill="1" applyBorder="1" applyAlignment="1" applyProtection="1">
      <alignment horizontal="center"/>
    </xf>
    <xf numFmtId="0" fontId="67" fillId="20" borderId="83" xfId="0" applyFont="1" applyFill="1" applyBorder="1" applyAlignment="1" applyProtection="1">
      <alignment horizontal="center"/>
    </xf>
    <xf numFmtId="49" fontId="3" fillId="20" borderId="21" xfId="0" applyNumberFormat="1" applyFont="1" applyFill="1" applyBorder="1" applyAlignment="1" applyProtection="1">
      <alignment horizontal="center"/>
    </xf>
    <xf numFmtId="49" fontId="16" fillId="20" borderId="7" xfId="0" applyNumberFormat="1" applyFont="1" applyFill="1" applyBorder="1" applyAlignment="1" applyProtection="1">
      <alignment horizontal="left"/>
    </xf>
    <xf numFmtId="49" fontId="3" fillId="20" borderId="22" xfId="0" applyNumberFormat="1" applyFont="1" applyFill="1" applyBorder="1" applyAlignment="1" applyProtection="1">
      <alignment horizontal="center"/>
    </xf>
    <xf numFmtId="49" fontId="3" fillId="20" borderId="128" xfId="0" applyNumberFormat="1" applyFont="1" applyFill="1" applyBorder="1" applyAlignment="1" applyProtection="1">
      <alignment horizontal="center"/>
    </xf>
    <xf numFmtId="49" fontId="3" fillId="20" borderId="24" xfId="0" applyNumberFormat="1" applyFont="1" applyFill="1" applyBorder="1" applyAlignment="1" applyProtection="1">
      <alignment horizontal="center"/>
    </xf>
    <xf numFmtId="49" fontId="67" fillId="20" borderId="70" xfId="0" applyNumberFormat="1" applyFont="1" applyFill="1" applyBorder="1" applyAlignment="1" applyProtection="1">
      <alignment horizontal="center"/>
    </xf>
    <xf numFmtId="49" fontId="8" fillId="20" borderId="133" xfId="0" applyNumberFormat="1" applyFont="1" applyFill="1" applyBorder="1" applyAlignment="1" applyProtection="1">
      <alignment horizontal="center"/>
    </xf>
    <xf numFmtId="0" fontId="14" fillId="20" borderId="85" xfId="0" applyFont="1" applyFill="1" applyBorder="1" applyAlignment="1" applyProtection="1">
      <alignment wrapText="1"/>
    </xf>
    <xf numFmtId="0" fontId="3" fillId="20" borderId="1" xfId="0" applyFont="1" applyFill="1" applyBorder="1" applyAlignment="1" applyProtection="1">
      <alignment wrapText="1"/>
    </xf>
    <xf numFmtId="49" fontId="3" fillId="20" borderId="129" xfId="0" applyNumberFormat="1" applyFont="1" applyFill="1" applyBorder="1" applyAlignment="1" applyProtection="1">
      <alignment horizontal="center"/>
    </xf>
    <xf numFmtId="0" fontId="5" fillId="20" borderId="43" xfId="0" applyFont="1" applyFill="1" applyBorder="1" applyProtection="1"/>
    <xf numFmtId="49" fontId="8" fillId="20" borderId="134" xfId="0" applyNumberFormat="1" applyFont="1" applyFill="1" applyBorder="1" applyAlignment="1" applyProtection="1">
      <alignment horizontal="center"/>
    </xf>
    <xf numFmtId="0" fontId="14" fillId="20" borderId="43" xfId="0" applyFont="1" applyFill="1" applyBorder="1" applyProtection="1"/>
    <xf numFmtId="0" fontId="5" fillId="20" borderId="1" xfId="0" applyFont="1" applyFill="1" applyBorder="1" applyAlignment="1" applyProtection="1">
      <alignment wrapText="1"/>
    </xf>
    <xf numFmtId="49" fontId="8" fillId="20" borderId="22" xfId="0" applyNumberFormat="1" applyFont="1" applyFill="1" applyBorder="1" applyAlignment="1" applyProtection="1">
      <alignment horizontal="center"/>
    </xf>
    <xf numFmtId="0" fontId="3" fillId="20" borderId="4" xfId="0" applyFont="1" applyFill="1" applyBorder="1" applyAlignment="1" applyProtection="1">
      <alignment wrapText="1"/>
    </xf>
    <xf numFmtId="0" fontId="5" fillId="20" borderId="119" xfId="0" applyFont="1" applyFill="1" applyBorder="1" applyAlignment="1" applyProtection="1">
      <alignment horizontal="right"/>
    </xf>
    <xf numFmtId="0" fontId="3" fillId="20" borderId="101" xfId="0" applyFont="1" applyFill="1" applyBorder="1" applyAlignment="1" applyProtection="1">
      <alignment horizontal="left"/>
    </xf>
    <xf numFmtId="0" fontId="5" fillId="20" borderId="117" xfId="0" applyFont="1" applyFill="1" applyBorder="1" applyAlignment="1" applyProtection="1">
      <alignment horizontal="right"/>
    </xf>
    <xf numFmtId="0" fontId="3" fillId="20" borderId="125" xfId="0" applyFont="1" applyFill="1" applyBorder="1" applyAlignment="1" applyProtection="1">
      <alignment horizontal="left"/>
    </xf>
    <xf numFmtId="0" fontId="5" fillId="20" borderId="15" xfId="0" applyFont="1" applyFill="1" applyBorder="1" applyAlignment="1" applyProtection="1">
      <alignment horizontal="right"/>
    </xf>
    <xf numFmtId="0" fontId="5" fillId="20" borderId="1" xfId="0" applyFont="1" applyFill="1" applyBorder="1" applyAlignment="1" applyProtection="1">
      <alignment horizontal="left"/>
    </xf>
    <xf numFmtId="0" fontId="3" fillId="20" borderId="1" xfId="0" applyFont="1" applyFill="1" applyBorder="1" applyAlignment="1" applyProtection="1">
      <alignment horizontal="left"/>
    </xf>
    <xf numFmtId="0" fontId="5" fillId="20" borderId="13" xfId="0" applyFont="1" applyFill="1" applyBorder="1" applyAlignment="1" applyProtection="1">
      <alignment horizontal="left"/>
    </xf>
    <xf numFmtId="49" fontId="3" fillId="20" borderId="23" xfId="0" applyNumberFormat="1" applyFont="1" applyFill="1" applyBorder="1" applyAlignment="1" applyProtection="1">
      <alignment horizontal="center"/>
    </xf>
    <xf numFmtId="0" fontId="3" fillId="20" borderId="8" xfId="0" applyFont="1" applyFill="1" applyBorder="1" applyAlignment="1" applyProtection="1">
      <alignment horizontal="left"/>
    </xf>
    <xf numFmtId="0" fontId="3" fillId="20" borderId="1" xfId="0" applyFont="1" applyFill="1" applyBorder="1" applyAlignment="1" applyProtection="1">
      <alignment horizontal="left" vertical="top" wrapText="1"/>
    </xf>
    <xf numFmtId="0" fontId="3" fillId="20" borderId="4" xfId="0" applyFont="1" applyFill="1" applyBorder="1" applyAlignment="1" applyProtection="1">
      <alignment horizontal="left"/>
    </xf>
    <xf numFmtId="0" fontId="5" fillId="20" borderId="15" xfId="0" applyFont="1" applyFill="1" applyBorder="1" applyAlignment="1" applyProtection="1">
      <alignment horizontal="left"/>
    </xf>
    <xf numFmtId="0" fontId="5" fillId="20" borderId="120" xfId="0" applyFont="1" applyFill="1" applyBorder="1" applyAlignment="1" applyProtection="1">
      <alignment horizontal="left"/>
    </xf>
    <xf numFmtId="0" fontId="3" fillId="20" borderId="15" xfId="0" applyFont="1" applyFill="1" applyBorder="1" applyAlignment="1" applyProtection="1">
      <alignment horizontal="left"/>
    </xf>
    <xf numFmtId="0" fontId="3" fillId="20" borderId="56" xfId="0" applyFont="1" applyFill="1" applyBorder="1" applyAlignment="1" applyProtection="1">
      <alignment horizontal="left"/>
    </xf>
    <xf numFmtId="0" fontId="5" fillId="20" borderId="56" xfId="0" applyFont="1" applyFill="1" applyBorder="1" applyAlignment="1" applyProtection="1">
      <alignment horizontal="right"/>
    </xf>
    <xf numFmtId="0" fontId="3" fillId="20" borderId="53" xfId="0" applyFont="1" applyFill="1" applyBorder="1" applyAlignment="1" applyProtection="1">
      <alignment horizontal="left"/>
    </xf>
    <xf numFmtId="0" fontId="5" fillId="20" borderId="125" xfId="0" applyFont="1" applyFill="1" applyBorder="1" applyAlignment="1" applyProtection="1">
      <alignment horizontal="left" vertical="top"/>
    </xf>
    <xf numFmtId="0" fontId="5" fillId="20" borderId="56" xfId="0" applyFont="1" applyFill="1" applyBorder="1" applyAlignment="1" applyProtection="1">
      <alignment horizontal="left" vertical="top"/>
    </xf>
    <xf numFmtId="0" fontId="5" fillId="20" borderId="21" xfId="0" applyFont="1" applyFill="1" applyBorder="1" applyAlignment="1" applyProtection="1">
      <alignment horizontal="right"/>
    </xf>
    <xf numFmtId="0" fontId="5" fillId="20" borderId="52" xfId="0" applyFont="1" applyFill="1" applyBorder="1" applyAlignment="1" applyProtection="1">
      <alignment horizontal="right"/>
    </xf>
    <xf numFmtId="3" fontId="46" fillId="21" borderId="22" xfId="0" applyNumberFormat="1" applyFont="1" applyFill="1" applyBorder="1" applyProtection="1"/>
    <xf numFmtId="3" fontId="46" fillId="21" borderId="19" xfId="0" applyNumberFormat="1" applyFont="1" applyFill="1" applyBorder="1" applyProtection="1"/>
    <xf numFmtId="3" fontId="46" fillId="21" borderId="22" xfId="0" applyNumberFormat="1" applyFont="1" applyFill="1" applyBorder="1" applyAlignment="1" applyProtection="1">
      <alignment horizontal="right"/>
    </xf>
    <xf numFmtId="3" fontId="46" fillId="21" borderId="24" xfId="0" applyNumberFormat="1" applyFont="1" applyFill="1" applyBorder="1" applyProtection="1"/>
    <xf numFmtId="3" fontId="46" fillId="21" borderId="23" xfId="0" applyNumberFormat="1" applyFont="1" applyFill="1" applyBorder="1" applyProtection="1"/>
    <xf numFmtId="3" fontId="46" fillId="21" borderId="42" xfId="0" applyNumberFormat="1" applyFont="1" applyFill="1" applyBorder="1" applyProtection="1"/>
    <xf numFmtId="3" fontId="46" fillId="21" borderId="52" xfId="0" applyNumberFormat="1" applyFont="1" applyFill="1" applyBorder="1" applyProtection="1"/>
    <xf numFmtId="3" fontId="46" fillId="21" borderId="51" xfId="0" applyNumberFormat="1" applyFont="1" applyFill="1" applyBorder="1" applyProtection="1"/>
    <xf numFmtId="3" fontId="46" fillId="22" borderId="51" xfId="0" applyNumberFormat="1" applyFont="1" applyFill="1" applyBorder="1" applyProtection="1"/>
    <xf numFmtId="3" fontId="46" fillId="21" borderId="89" xfId="0" applyNumberFormat="1" applyFont="1" applyFill="1" applyBorder="1" applyProtection="1"/>
    <xf numFmtId="3" fontId="46" fillId="22" borderId="135" xfId="0" applyNumberFormat="1" applyFont="1" applyFill="1" applyBorder="1" applyProtection="1"/>
    <xf numFmtId="3" fontId="46" fillId="22" borderId="122" xfId="0" applyNumberFormat="1" applyFont="1" applyFill="1" applyBorder="1" applyProtection="1"/>
    <xf numFmtId="3" fontId="46" fillId="21" borderId="136" xfId="0" applyNumberFormat="1" applyFont="1" applyFill="1" applyBorder="1" applyProtection="1"/>
    <xf numFmtId="0" fontId="5" fillId="20" borderId="36" xfId="0" applyFont="1" applyFill="1" applyBorder="1" applyProtection="1"/>
    <xf numFmtId="166" fontId="4" fillId="20" borderId="120" xfId="0" applyNumberFormat="1" applyFont="1" applyFill="1" applyBorder="1" applyProtection="1"/>
    <xf numFmtId="0" fontId="5" fillId="20" borderId="137" xfId="0" applyFont="1" applyFill="1" applyBorder="1" applyProtection="1"/>
    <xf numFmtId="166" fontId="6" fillId="20" borderId="138" xfId="0" applyNumberFormat="1" applyFont="1" applyFill="1" applyBorder="1" applyProtection="1"/>
    <xf numFmtId="0" fontId="5" fillId="20" borderId="21" xfId="0" applyFont="1" applyFill="1" applyBorder="1" applyAlignment="1" applyProtection="1">
      <alignment horizontal="left" vertical="top"/>
    </xf>
    <xf numFmtId="0" fontId="5" fillId="20" borderId="52" xfId="0" applyFont="1" applyFill="1" applyBorder="1" applyAlignment="1" applyProtection="1">
      <alignment horizontal="left" vertical="top"/>
    </xf>
    <xf numFmtId="3" fontId="46" fillId="21" borderId="19" xfId="0" applyNumberFormat="1" applyFont="1" applyFill="1" applyBorder="1" applyAlignment="1" applyProtection="1">
      <alignment horizontal="right"/>
    </xf>
    <xf numFmtId="0" fontId="3" fillId="20" borderId="129" xfId="0" applyFont="1" applyFill="1" applyBorder="1" applyProtection="1"/>
    <xf numFmtId="166" fontId="6" fillId="20" borderId="52" xfId="0" applyNumberFormat="1" applyFont="1" applyFill="1" applyBorder="1" applyProtection="1"/>
    <xf numFmtId="0" fontId="3" fillId="20" borderId="50" xfId="0" applyFont="1" applyFill="1" applyBorder="1" applyProtection="1"/>
    <xf numFmtId="166" fontId="46" fillId="20" borderId="51" xfId="0" applyNumberFormat="1" applyFont="1" applyFill="1" applyBorder="1" applyProtection="1"/>
    <xf numFmtId="166" fontId="6" fillId="20" borderId="51" xfId="0" applyNumberFormat="1" applyFont="1" applyFill="1" applyBorder="1" applyProtection="1"/>
    <xf numFmtId="3" fontId="46" fillId="22" borderId="73" xfId="0" applyNumberFormat="1" applyFont="1" applyFill="1" applyBorder="1" applyProtection="1"/>
    <xf numFmtId="3" fontId="46" fillId="22" borderId="60" xfId="0" applyNumberFormat="1" applyFont="1" applyFill="1" applyBorder="1" applyProtection="1"/>
    <xf numFmtId="0" fontId="3" fillId="20" borderId="139" xfId="0" applyFont="1" applyFill="1" applyBorder="1" applyProtection="1"/>
    <xf numFmtId="166" fontId="46" fillId="20" borderId="59" xfId="0" applyNumberFormat="1" applyFont="1" applyFill="1" applyBorder="1" applyProtection="1"/>
    <xf numFmtId="3" fontId="46" fillId="21" borderId="24" xfId="0" applyNumberFormat="1" applyFont="1" applyFill="1" applyBorder="1" applyAlignment="1" applyProtection="1">
      <alignment horizontal="right"/>
    </xf>
    <xf numFmtId="3" fontId="46" fillId="22" borderId="65" xfId="0" applyNumberFormat="1" applyFont="1" applyFill="1" applyBorder="1" applyProtection="1"/>
    <xf numFmtId="49" fontId="3" fillId="20" borderId="36" xfId="0" applyNumberFormat="1" applyFont="1" applyFill="1" applyBorder="1" applyAlignment="1" applyProtection="1">
      <alignment horizontal="left"/>
    </xf>
    <xf numFmtId="49" fontId="3" fillId="20" borderId="57" xfId="0" applyNumberFormat="1" applyFont="1" applyFill="1" applyBorder="1" applyAlignment="1" applyProtection="1">
      <alignment horizontal="left"/>
    </xf>
    <xf numFmtId="0" fontId="25" fillId="20" borderId="15" xfId="0" applyFont="1" applyFill="1" applyBorder="1" applyProtection="1"/>
    <xf numFmtId="49" fontId="3" fillId="20" borderId="137" xfId="0" applyNumberFormat="1" applyFont="1" applyFill="1" applyBorder="1" applyAlignment="1" applyProtection="1">
      <alignment horizontal="left"/>
    </xf>
    <xf numFmtId="0" fontId="25" fillId="20" borderId="43" xfId="0" applyFont="1" applyFill="1" applyBorder="1" applyProtection="1"/>
    <xf numFmtId="49" fontId="3" fillId="20" borderId="125" xfId="0" applyNumberFormat="1" applyFont="1" applyFill="1" applyBorder="1" applyProtection="1"/>
    <xf numFmtId="165" fontId="3" fillId="20" borderId="15" xfId="0" applyNumberFormat="1" applyFont="1" applyFill="1" applyBorder="1" applyProtection="1"/>
    <xf numFmtId="0" fontId="24" fillId="20" borderId="140" xfId="0" applyFont="1" applyFill="1" applyBorder="1" applyProtection="1"/>
    <xf numFmtId="0" fontId="24" fillId="20" borderId="15" xfId="0" applyFont="1" applyFill="1" applyBorder="1" applyProtection="1"/>
    <xf numFmtId="0" fontId="5" fillId="20" borderId="1" xfId="0" applyNumberFormat="1" applyFont="1" applyFill="1" applyBorder="1" applyAlignment="1" applyProtection="1">
      <alignment horizontal="center"/>
    </xf>
    <xf numFmtId="0" fontId="14" fillId="20" borderId="1" xfId="0" applyFont="1" applyFill="1" applyBorder="1" applyProtection="1"/>
    <xf numFmtId="49" fontId="3" fillId="20" borderId="1" xfId="0" applyNumberFormat="1" applyFont="1" applyFill="1" applyBorder="1" applyAlignment="1" applyProtection="1">
      <alignment horizontal="center"/>
    </xf>
    <xf numFmtId="49" fontId="5" fillId="20" borderId="15" xfId="0" applyNumberFormat="1" applyFont="1" applyFill="1" applyBorder="1" applyAlignment="1" applyProtection="1">
      <alignment horizontal="center"/>
    </xf>
    <xf numFmtId="0" fontId="14" fillId="20" borderId="15" xfId="0" applyFont="1" applyFill="1" applyBorder="1" applyProtection="1"/>
    <xf numFmtId="0" fontId="3" fillId="20" borderId="4" xfId="0" applyFont="1" applyFill="1" applyBorder="1" applyAlignment="1" applyProtection="1">
      <alignment horizontal="center"/>
    </xf>
    <xf numFmtId="49" fontId="8" fillId="20" borderId="1" xfId="0" applyNumberFormat="1" applyFont="1" applyFill="1" applyBorder="1" applyAlignment="1" applyProtection="1">
      <alignment horizontal="center"/>
    </xf>
    <xf numFmtId="49" fontId="14" fillId="20" borderId="1" xfId="0" applyNumberFormat="1" applyFont="1" applyFill="1" applyBorder="1" applyAlignment="1" applyProtection="1">
      <alignment horizontal="center"/>
    </xf>
    <xf numFmtId="49" fontId="14" fillId="20" borderId="13" xfId="0" applyNumberFormat="1" applyFont="1" applyFill="1" applyBorder="1" applyAlignment="1" applyProtection="1">
      <alignment horizontal="center"/>
    </xf>
    <xf numFmtId="49" fontId="8" fillId="20" borderId="101" xfId="0" applyNumberFormat="1" applyFont="1" applyFill="1" applyBorder="1" applyAlignment="1" applyProtection="1">
      <alignment horizontal="center"/>
    </xf>
    <xf numFmtId="49" fontId="8" fillId="20" borderId="117" xfId="0" applyNumberFormat="1" applyFont="1" applyFill="1" applyBorder="1" applyAlignment="1" applyProtection="1">
      <alignment horizontal="center"/>
    </xf>
    <xf numFmtId="0" fontId="24" fillId="20" borderId="117" xfId="0" applyFont="1" applyFill="1" applyBorder="1" applyProtection="1"/>
    <xf numFmtId="49" fontId="5" fillId="20" borderId="1" xfId="0" applyNumberFormat="1" applyFont="1" applyFill="1" applyBorder="1" applyAlignment="1" applyProtection="1">
      <alignment horizontal="center"/>
    </xf>
    <xf numFmtId="49" fontId="5" fillId="20" borderId="13" xfId="0" applyNumberFormat="1" applyFont="1" applyFill="1" applyBorder="1" applyAlignment="1" applyProtection="1">
      <alignment horizontal="center"/>
    </xf>
    <xf numFmtId="49" fontId="3" fillId="20" borderId="141" xfId="0" applyNumberFormat="1" applyFont="1" applyFill="1" applyBorder="1" applyAlignment="1" applyProtection="1">
      <alignment horizontal="center"/>
    </xf>
    <xf numFmtId="49" fontId="5" fillId="20" borderId="87" xfId="0" applyNumberFormat="1" applyFont="1" applyFill="1" applyBorder="1" applyAlignment="1" applyProtection="1">
      <alignment horizontal="center"/>
    </xf>
    <xf numFmtId="0" fontId="14" fillId="20" borderId="87" xfId="0" applyFont="1" applyFill="1" applyBorder="1" applyProtection="1"/>
    <xf numFmtId="3" fontId="5" fillId="20" borderId="98" xfId="0" applyNumberFormat="1" applyFont="1" applyFill="1" applyBorder="1" applyProtection="1"/>
    <xf numFmtId="3" fontId="5" fillId="20" borderId="91" xfId="0" applyNumberFormat="1" applyFont="1" applyFill="1" applyBorder="1" applyProtection="1"/>
    <xf numFmtId="166" fontId="26" fillId="20" borderId="55" xfId="0" applyNumberFormat="1" applyFont="1" applyFill="1" applyBorder="1" applyAlignment="1" applyProtection="1">
      <alignment horizontal="center"/>
    </xf>
    <xf numFmtId="166" fontId="26" fillId="20" borderId="60" xfId="0" applyNumberFormat="1" applyFont="1" applyFill="1" applyBorder="1" applyAlignment="1" applyProtection="1">
      <alignment horizontal="center"/>
    </xf>
    <xf numFmtId="166" fontId="27" fillId="20" borderId="142" xfId="0" applyNumberFormat="1" applyFont="1" applyFill="1" applyBorder="1" applyProtection="1"/>
    <xf numFmtId="166" fontId="27" fillId="20" borderId="64" xfId="0" applyNumberFormat="1" applyFont="1" applyFill="1" applyBorder="1" applyProtection="1"/>
    <xf numFmtId="166" fontId="6" fillId="20" borderId="143" xfId="0" applyNumberFormat="1" applyFont="1" applyFill="1" applyBorder="1" applyProtection="1"/>
    <xf numFmtId="166" fontId="6" fillId="20" borderId="144" xfId="0" applyNumberFormat="1" applyFont="1" applyFill="1" applyBorder="1" applyProtection="1"/>
    <xf numFmtId="166" fontId="6" fillId="20" borderId="53" xfId="0" applyNumberFormat="1" applyFont="1" applyFill="1" applyBorder="1" applyProtection="1"/>
    <xf numFmtId="166" fontId="6" fillId="20" borderId="18" xfId="0" applyNumberFormat="1" applyFont="1" applyFill="1" applyBorder="1" applyProtection="1"/>
    <xf numFmtId="0" fontId="7" fillId="20" borderId="19" xfId="0" applyFont="1" applyFill="1" applyBorder="1" applyProtection="1"/>
    <xf numFmtId="0" fontId="5" fillId="20" borderId="57" xfId="0" applyFont="1" applyFill="1" applyBorder="1" applyAlignment="1" applyProtection="1">
      <alignment horizontal="center"/>
    </xf>
    <xf numFmtId="0" fontId="5" fillId="20" borderId="56" xfId="0" applyFont="1" applyFill="1" applyBorder="1" applyAlignment="1" applyProtection="1"/>
    <xf numFmtId="0" fontId="5" fillId="20" borderId="137" xfId="0" applyFont="1" applyFill="1" applyBorder="1" applyAlignment="1" applyProtection="1">
      <alignment horizontal="right"/>
    </xf>
    <xf numFmtId="0" fontId="5" fillId="20" borderId="138" xfId="0" applyFont="1" applyFill="1" applyBorder="1" applyAlignment="1" applyProtection="1">
      <alignment horizontal="right"/>
    </xf>
    <xf numFmtId="3" fontId="2" fillId="22" borderId="57" xfId="0" applyNumberFormat="1" applyFont="1" applyFill="1" applyBorder="1" applyAlignment="1" applyProtection="1">
      <alignment horizontal="right"/>
    </xf>
    <xf numFmtId="3" fontId="2" fillId="22" borderId="56" xfId="0" applyNumberFormat="1" applyFont="1" applyFill="1" applyBorder="1" applyAlignment="1" applyProtection="1">
      <alignment horizontal="right"/>
    </xf>
    <xf numFmtId="3" fontId="2" fillId="22" borderId="57" xfId="0" applyNumberFormat="1" applyFont="1" applyFill="1" applyBorder="1" applyProtection="1"/>
    <xf numFmtId="3" fontId="2" fillId="22" borderId="56" xfId="0" applyNumberFormat="1" applyFont="1" applyFill="1" applyBorder="1" applyProtection="1"/>
    <xf numFmtId="3" fontId="2" fillId="21" borderId="57" xfId="0" applyNumberFormat="1" applyFont="1" applyFill="1" applyBorder="1" applyProtection="1"/>
    <xf numFmtId="3" fontId="2" fillId="21" borderId="56" xfId="0" applyNumberFormat="1" applyFont="1" applyFill="1" applyBorder="1" applyProtection="1"/>
    <xf numFmtId="3" fontId="46" fillId="22" borderId="57" xfId="0" applyNumberFormat="1" applyFont="1" applyFill="1" applyBorder="1" applyProtection="1"/>
    <xf numFmtId="3" fontId="46" fillId="22" borderId="56" xfId="0" applyNumberFormat="1" applyFont="1" applyFill="1" applyBorder="1" applyProtection="1"/>
    <xf numFmtId="3" fontId="46" fillId="21" borderId="57" xfId="0" applyNumberFormat="1" applyFont="1" applyFill="1" applyBorder="1" applyProtection="1"/>
    <xf numFmtId="3" fontId="46" fillId="21" borderId="56" xfId="0" applyNumberFormat="1" applyFont="1" applyFill="1" applyBorder="1" applyProtection="1"/>
    <xf numFmtId="0" fontId="104" fillId="20" borderId="57" xfId="0" applyFont="1" applyFill="1" applyBorder="1" applyProtection="1"/>
    <xf numFmtId="0" fontId="104" fillId="20" borderId="56" xfId="0" applyFont="1" applyFill="1" applyBorder="1" applyProtection="1"/>
    <xf numFmtId="49" fontId="8" fillId="20" borderId="130" xfId="0" applyNumberFormat="1" applyFont="1" applyFill="1" applyBorder="1" applyAlignment="1" applyProtection="1">
      <alignment horizontal="center"/>
    </xf>
    <xf numFmtId="49" fontId="8" fillId="20" borderId="131" xfId="0" applyNumberFormat="1" applyFont="1" applyFill="1" applyBorder="1" applyAlignment="1" applyProtection="1">
      <alignment horizontal="center"/>
    </xf>
    <xf numFmtId="49" fontId="8" fillId="20" borderId="131" xfId="0" applyNumberFormat="1" applyFont="1" applyFill="1" applyBorder="1" applyAlignment="1" applyProtection="1">
      <alignment horizontal="left"/>
    </xf>
    <xf numFmtId="49" fontId="8" fillId="20" borderId="34" xfId="0" applyNumberFormat="1" applyFont="1" applyFill="1" applyBorder="1" applyAlignment="1" applyProtection="1">
      <alignment horizontal="center"/>
    </xf>
    <xf numFmtId="49" fontId="8" fillId="20" borderId="35" xfId="0" applyNumberFormat="1" applyFont="1" applyFill="1" applyBorder="1" applyAlignment="1" applyProtection="1">
      <alignment horizontal="center"/>
    </xf>
    <xf numFmtId="49" fontId="8" fillId="20" borderId="35" xfId="0" applyNumberFormat="1" applyFont="1" applyFill="1" applyBorder="1" applyAlignment="1" applyProtection="1">
      <alignment horizontal="left"/>
    </xf>
    <xf numFmtId="49" fontId="8" fillId="20" borderId="6" xfId="0" applyNumberFormat="1" applyFont="1" applyFill="1" applyBorder="1" applyAlignment="1" applyProtection="1">
      <alignment horizontal="center"/>
    </xf>
    <xf numFmtId="49" fontId="8" fillId="20" borderId="4" xfId="0" applyNumberFormat="1" applyFont="1" applyFill="1" applyBorder="1" applyAlignment="1" applyProtection="1">
      <alignment horizontal="center"/>
    </xf>
    <xf numFmtId="49" fontId="8" fillId="20" borderId="4" xfId="0" applyNumberFormat="1" applyFont="1" applyFill="1" applyBorder="1" applyAlignment="1" applyProtection="1">
      <alignment horizontal="left"/>
    </xf>
    <xf numFmtId="49" fontId="8" fillId="20" borderId="145" xfId="0" applyNumberFormat="1" applyFont="1" applyFill="1" applyBorder="1" applyAlignment="1" applyProtection="1">
      <alignment horizontal="center"/>
    </xf>
    <xf numFmtId="49" fontId="8" fillId="20" borderId="43" xfId="0" applyNumberFormat="1" applyFont="1" applyFill="1" applyBorder="1" applyAlignment="1" applyProtection="1">
      <alignment horizontal="center"/>
    </xf>
    <xf numFmtId="49" fontId="8" fillId="20" borderId="43" xfId="0" applyNumberFormat="1" applyFont="1" applyFill="1" applyBorder="1" applyAlignment="1" applyProtection="1">
      <alignment horizontal="left"/>
    </xf>
    <xf numFmtId="166" fontId="6" fillId="20" borderId="8" xfId="0" applyNumberFormat="1" applyFont="1" applyFill="1" applyBorder="1" applyProtection="1"/>
    <xf numFmtId="3" fontId="9" fillId="23" borderId="20" xfId="0" applyNumberFormat="1" applyFont="1" applyFill="1" applyBorder="1" applyProtection="1"/>
    <xf numFmtId="0" fontId="5" fillId="20" borderId="66" xfId="0" applyFont="1" applyFill="1" applyBorder="1" applyAlignment="1" applyProtection="1">
      <alignment horizontal="left"/>
    </xf>
    <xf numFmtId="1" fontId="5" fillId="20" borderId="43" xfId="0" applyNumberFormat="1" applyFont="1" applyFill="1" applyBorder="1" applyAlignment="1" applyProtection="1">
      <alignment horizontal="left"/>
    </xf>
    <xf numFmtId="0" fontId="5" fillId="20" borderId="12" xfId="0" applyFont="1" applyFill="1" applyBorder="1" applyProtection="1"/>
    <xf numFmtId="3" fontId="15" fillId="20" borderId="142" xfId="0" applyNumberFormat="1" applyFont="1" applyFill="1" applyBorder="1" applyProtection="1"/>
    <xf numFmtId="3" fontId="15" fillId="20" borderId="64" xfId="0" applyNumberFormat="1" applyFont="1" applyFill="1" applyBorder="1" applyProtection="1"/>
    <xf numFmtId="3" fontId="2" fillId="20" borderId="18" xfId="0" applyNumberFormat="1" applyFont="1" applyFill="1" applyBorder="1" applyProtection="1"/>
    <xf numFmtId="49" fontId="3" fillId="20" borderId="146" xfId="0" applyNumberFormat="1" applyFont="1" applyFill="1" applyBorder="1" applyAlignment="1" applyProtection="1">
      <alignment horizontal="center"/>
    </xf>
    <xf numFmtId="0" fontId="3" fillId="20" borderId="146" xfId="0" applyFont="1" applyFill="1" applyBorder="1" applyProtection="1"/>
    <xf numFmtId="49" fontId="3" fillId="20" borderId="4" xfId="0" applyNumberFormat="1" applyFont="1" applyFill="1" applyBorder="1" applyAlignment="1" applyProtection="1">
      <alignment horizontal="center"/>
    </xf>
    <xf numFmtId="166" fontId="3" fillId="20" borderId="1" xfId="0" applyNumberFormat="1" applyFont="1" applyFill="1" applyBorder="1" applyAlignment="1" applyProtection="1">
      <alignment horizontal="left"/>
    </xf>
    <xf numFmtId="49" fontId="5" fillId="20" borderId="25" xfId="0" applyNumberFormat="1" applyFont="1" applyFill="1" applyBorder="1" applyAlignment="1" applyProtection="1">
      <alignment horizontal="center"/>
    </xf>
    <xf numFmtId="0" fontId="3" fillId="20" borderId="1" xfId="0" applyFont="1" applyFill="1" applyBorder="1" applyAlignment="1" applyProtection="1">
      <alignment horizontal="center"/>
    </xf>
    <xf numFmtId="49" fontId="5" fillId="20" borderId="4" xfId="0" applyNumberFormat="1" applyFont="1" applyFill="1" applyBorder="1" applyAlignment="1" applyProtection="1">
      <alignment horizontal="center"/>
    </xf>
    <xf numFmtId="0" fontId="5" fillId="20" borderId="4" xfId="0" applyFont="1" applyFill="1" applyBorder="1" applyProtection="1"/>
    <xf numFmtId="3" fontId="8" fillId="20" borderId="141" xfId="0" applyNumberFormat="1" applyFont="1" applyFill="1" applyBorder="1" applyAlignment="1" applyProtection="1">
      <alignment horizontal="center"/>
    </xf>
    <xf numFmtId="3" fontId="5" fillId="20" borderId="147" xfId="0" applyNumberFormat="1" applyFont="1" applyFill="1" applyBorder="1" applyAlignment="1" applyProtection="1">
      <alignment horizontal="center"/>
    </xf>
    <xf numFmtId="3" fontId="5" fillId="20" borderId="147" xfId="0" applyNumberFormat="1" applyFont="1" applyFill="1" applyBorder="1" applyProtection="1"/>
    <xf numFmtId="3" fontId="2" fillId="21" borderId="18" xfId="0" applyNumberFormat="1" applyFont="1" applyFill="1" applyBorder="1" applyProtection="1"/>
    <xf numFmtId="3" fontId="2" fillId="21" borderId="60" xfId="0" applyNumberFormat="1" applyFont="1" applyFill="1" applyBorder="1" applyProtection="1"/>
    <xf numFmtId="3" fontId="2" fillId="21" borderId="19" xfId="0" applyNumberFormat="1" applyFont="1" applyFill="1" applyBorder="1" applyProtection="1"/>
    <xf numFmtId="3" fontId="5" fillId="20" borderId="137" xfId="0" applyNumberFormat="1" applyFont="1" applyFill="1" applyBorder="1" applyProtection="1"/>
    <xf numFmtId="3" fontId="5" fillId="20" borderId="138" xfId="0" applyNumberFormat="1" applyFont="1" applyFill="1" applyBorder="1" applyProtection="1"/>
    <xf numFmtId="3" fontId="2" fillId="20" borderId="57" xfId="0" applyNumberFormat="1" applyFont="1" applyFill="1" applyBorder="1" applyProtection="1"/>
    <xf numFmtId="3" fontId="2" fillId="20" borderId="56" xfId="0" applyNumberFormat="1" applyFont="1" applyFill="1" applyBorder="1" applyProtection="1"/>
    <xf numFmtId="3" fontId="46" fillId="21" borderId="50" xfId="0" applyNumberFormat="1" applyFont="1" applyFill="1" applyBorder="1" applyProtection="1"/>
    <xf numFmtId="3" fontId="46" fillId="20" borderId="57" xfId="0" applyNumberFormat="1" applyFont="1" applyFill="1" applyBorder="1" applyProtection="1"/>
    <xf numFmtId="3" fontId="46" fillId="20" borderId="56" xfId="0" applyNumberFormat="1" applyFont="1" applyFill="1" applyBorder="1" applyProtection="1"/>
    <xf numFmtId="3" fontId="46" fillId="20" borderId="60" xfId="0" applyNumberFormat="1" applyFont="1" applyFill="1" applyBorder="1" applyProtection="1"/>
    <xf numFmtId="3" fontId="46" fillId="20" borderId="129" xfId="0" applyNumberFormat="1" applyFont="1" applyFill="1" applyBorder="1" applyProtection="1"/>
    <xf numFmtId="3" fontId="46" fillId="21" borderId="39" xfId="0" applyNumberFormat="1" applyFont="1" applyFill="1" applyBorder="1" applyProtection="1"/>
    <xf numFmtId="3" fontId="46" fillId="21" borderId="26" xfId="0" applyNumberFormat="1" applyFont="1" applyFill="1" applyBorder="1" applyProtection="1"/>
    <xf numFmtId="3" fontId="2" fillId="21" borderId="91" xfId="0" applyNumberFormat="1" applyFont="1" applyFill="1" applyBorder="1" applyProtection="1"/>
    <xf numFmtId="3" fontId="46" fillId="21" borderId="128" xfId="0" applyNumberFormat="1" applyFont="1" applyFill="1" applyBorder="1" applyProtection="1"/>
    <xf numFmtId="0" fontId="3" fillId="20" borderId="77" xfId="0" applyFont="1" applyFill="1" applyBorder="1" applyProtection="1"/>
    <xf numFmtId="0" fontId="0" fillId="20" borderId="78" xfId="0" applyFill="1" applyBorder="1" applyProtection="1"/>
    <xf numFmtId="0" fontId="0" fillId="20" borderId="68" xfId="0" applyFill="1" applyBorder="1" applyProtection="1"/>
    <xf numFmtId="0" fontId="3" fillId="20" borderId="79" xfId="0" applyFont="1" applyFill="1" applyBorder="1" applyProtection="1"/>
    <xf numFmtId="0" fontId="0" fillId="20" borderId="80" xfId="0" applyFill="1" applyBorder="1" applyProtection="1"/>
    <xf numFmtId="0" fontId="0" fillId="20" borderId="95" xfId="0" applyFill="1" applyBorder="1" applyProtection="1"/>
    <xf numFmtId="0" fontId="3" fillId="20" borderId="79" xfId="0" applyFont="1" applyFill="1" applyBorder="1" applyAlignment="1" applyProtection="1">
      <alignment horizontal="left"/>
    </xf>
    <xf numFmtId="0" fontId="0" fillId="20" borderId="80" xfId="0" applyFill="1" applyBorder="1" applyAlignment="1" applyProtection="1">
      <alignment horizontal="left"/>
    </xf>
    <xf numFmtId="3" fontId="5" fillId="20" borderId="148" xfId="0" applyNumberFormat="1" applyFont="1" applyFill="1" applyBorder="1" applyAlignment="1" applyProtection="1">
      <alignment horizontal="center" vertical="center" wrapText="1"/>
    </xf>
    <xf numFmtId="3" fontId="15" fillId="20" borderId="149" xfId="0" applyNumberFormat="1" applyFont="1" applyFill="1" applyBorder="1" applyAlignment="1" applyProtection="1">
      <alignment horizontal="center" vertical="center" wrapText="1"/>
    </xf>
    <xf numFmtId="3" fontId="5" fillId="20" borderId="149" xfId="0" applyNumberFormat="1" applyFont="1" applyFill="1" applyBorder="1" applyAlignment="1" applyProtection="1">
      <alignment horizontal="center" vertical="center" wrapText="1"/>
    </xf>
    <xf numFmtId="9" fontId="46" fillId="20" borderId="135" xfId="0" applyNumberFormat="1" applyFont="1" applyFill="1" applyBorder="1" applyProtection="1"/>
    <xf numFmtId="3" fontId="46" fillId="21" borderId="135" xfId="0" applyNumberFormat="1" applyFont="1" applyFill="1" applyBorder="1" applyProtection="1"/>
    <xf numFmtId="9" fontId="46" fillId="20" borderId="150" xfId="0" applyNumberFormat="1" applyFont="1" applyFill="1" applyBorder="1" applyProtection="1"/>
    <xf numFmtId="9" fontId="46" fillId="20" borderId="151" xfId="0" applyNumberFormat="1" applyFont="1" applyFill="1" applyBorder="1" applyProtection="1"/>
    <xf numFmtId="49" fontId="3" fillId="20" borderId="101" xfId="0" applyNumberFormat="1" applyFont="1" applyFill="1" applyBorder="1" applyAlignment="1" applyProtection="1">
      <alignment horizontal="left"/>
    </xf>
    <xf numFmtId="49" fontId="3" fillId="20" borderId="66" xfId="0" applyNumberFormat="1" applyFont="1" applyFill="1" applyBorder="1" applyAlignment="1" applyProtection="1">
      <alignment horizontal="left"/>
    </xf>
    <xf numFmtId="0" fontId="14" fillId="20" borderId="66" xfId="0" applyFont="1" applyFill="1" applyBorder="1" applyProtection="1"/>
    <xf numFmtId="49" fontId="3" fillId="20" borderId="114" xfId="0" applyNumberFormat="1" applyFont="1" applyFill="1" applyBorder="1" applyAlignment="1" applyProtection="1">
      <alignment horizontal="left"/>
    </xf>
    <xf numFmtId="3" fontId="5" fillId="20" borderId="142" xfId="0" applyNumberFormat="1" applyFont="1" applyFill="1" applyBorder="1" applyAlignment="1" applyProtection="1">
      <alignment horizontal="center"/>
    </xf>
    <xf numFmtId="49" fontId="3" fillId="20" borderId="35" xfId="0" applyNumberFormat="1" applyFont="1" applyFill="1" applyBorder="1" applyAlignment="1" applyProtection="1">
      <alignment horizontal="left"/>
    </xf>
    <xf numFmtId="0" fontId="8" fillId="20" borderId="35" xfId="0" applyFont="1" applyFill="1" applyBorder="1" applyProtection="1"/>
    <xf numFmtId="3" fontId="2" fillId="20" borderId="35" xfId="0" applyNumberFormat="1" applyFont="1" applyFill="1" applyBorder="1" applyProtection="1"/>
    <xf numFmtId="49" fontId="3" fillId="20" borderId="1" xfId="0" applyNumberFormat="1" applyFont="1" applyFill="1" applyBorder="1" applyAlignment="1" applyProtection="1">
      <alignment horizontal="left"/>
    </xf>
    <xf numFmtId="3" fontId="2" fillId="20" borderId="4" xfId="0" applyNumberFormat="1" applyFont="1" applyFill="1" applyBorder="1" applyProtection="1"/>
    <xf numFmtId="49" fontId="5" fillId="20" borderId="25" xfId="0" applyNumberFormat="1" applyFont="1" applyFill="1" applyBorder="1" applyAlignment="1" applyProtection="1">
      <alignment horizontal="left"/>
    </xf>
    <xf numFmtId="0" fontId="8" fillId="20" borderId="25" xfId="0" applyFont="1" applyFill="1" applyBorder="1" applyProtection="1"/>
    <xf numFmtId="3" fontId="2" fillId="20" borderId="25" xfId="0" applyNumberFormat="1" applyFont="1" applyFill="1" applyBorder="1" applyProtection="1"/>
    <xf numFmtId="3" fontId="5" fillId="20" borderId="64" xfId="0" applyNumberFormat="1" applyFont="1" applyFill="1" applyBorder="1" applyAlignment="1" applyProtection="1">
      <alignment horizontal="center"/>
    </xf>
    <xf numFmtId="49" fontId="3" fillId="20" borderId="98" xfId="0" applyNumberFormat="1" applyFont="1" applyFill="1" applyBorder="1" applyAlignment="1" applyProtection="1">
      <alignment horizontal="left"/>
    </xf>
    <xf numFmtId="49" fontId="3" fillId="20" borderId="119" xfId="0" applyNumberFormat="1" applyFont="1" applyFill="1" applyBorder="1" applyAlignment="1" applyProtection="1">
      <alignment horizontal="left"/>
    </xf>
    <xf numFmtId="49" fontId="3" fillId="20" borderId="11" xfId="0" applyNumberFormat="1" applyFont="1" applyFill="1" applyBorder="1" applyAlignment="1" applyProtection="1">
      <alignment horizontal="left"/>
    </xf>
    <xf numFmtId="49" fontId="3" fillId="20" borderId="80" xfId="0" applyNumberFormat="1" applyFont="1" applyFill="1" applyBorder="1" applyAlignment="1" applyProtection="1">
      <alignment horizontal="left"/>
    </xf>
    <xf numFmtId="49" fontId="3" fillId="20" borderId="7" xfId="0" applyNumberFormat="1" applyFont="1" applyFill="1" applyBorder="1" applyAlignment="1" applyProtection="1">
      <alignment horizontal="left"/>
    </xf>
    <xf numFmtId="0" fontId="3" fillId="20" borderId="88" xfId="0" applyFont="1" applyFill="1" applyBorder="1" applyProtection="1"/>
    <xf numFmtId="0" fontId="1" fillId="20" borderId="70" xfId="0" applyFont="1" applyFill="1" applyBorder="1" applyProtection="1"/>
    <xf numFmtId="0" fontId="3" fillId="20" borderId="125" xfId="0" applyFont="1" applyFill="1" applyBorder="1" applyAlignment="1" applyProtection="1">
      <alignment horizontal="left" vertical="top"/>
    </xf>
    <xf numFmtId="0" fontId="3" fillId="20" borderId="15" xfId="0" applyFont="1" applyFill="1" applyBorder="1" applyAlignment="1" applyProtection="1">
      <alignment horizontal="right"/>
    </xf>
    <xf numFmtId="0" fontId="5" fillId="20" borderId="152" xfId="0" applyFont="1" applyFill="1" applyBorder="1" applyAlignment="1" applyProtection="1">
      <alignment horizontal="right"/>
    </xf>
    <xf numFmtId="0" fontId="5" fillId="20" borderId="114" xfId="0" applyFont="1" applyFill="1" applyBorder="1" applyAlignment="1" applyProtection="1">
      <alignment horizontal="left"/>
    </xf>
    <xf numFmtId="0" fontId="5" fillId="20" borderId="92" xfId="0" applyFont="1" applyFill="1" applyBorder="1" applyAlignment="1" applyProtection="1">
      <alignment horizontal="right"/>
    </xf>
    <xf numFmtId="0" fontId="3" fillId="20" borderId="13" xfId="0" applyFont="1" applyFill="1" applyBorder="1" applyAlignment="1" applyProtection="1">
      <alignment horizontal="center"/>
    </xf>
    <xf numFmtId="0" fontId="8" fillId="20" borderId="21" xfId="0" applyFont="1" applyFill="1" applyBorder="1" applyAlignment="1" applyProtection="1">
      <alignment horizontal="center"/>
    </xf>
    <xf numFmtId="0" fontId="8" fillId="20" borderId="8" xfId="0" applyFont="1" applyFill="1" applyBorder="1" applyAlignment="1" applyProtection="1">
      <alignment horizontal="center"/>
    </xf>
    <xf numFmtId="0" fontId="8" fillId="20" borderId="84" xfId="0" applyFont="1" applyFill="1" applyBorder="1" applyAlignment="1" applyProtection="1">
      <alignment horizontal="left"/>
    </xf>
    <xf numFmtId="0" fontId="8" fillId="20" borderId="22" xfId="0" applyFont="1" applyFill="1" applyBorder="1" applyAlignment="1" applyProtection="1">
      <alignment horizontal="center"/>
    </xf>
    <xf numFmtId="0" fontId="8" fillId="20" borderId="24" xfId="0" applyFont="1" applyFill="1" applyBorder="1" applyAlignment="1" applyProtection="1">
      <alignment horizontal="center"/>
    </xf>
    <xf numFmtId="0" fontId="14" fillId="20" borderId="70" xfId="0" applyFont="1" applyFill="1" applyBorder="1" applyAlignment="1" applyProtection="1">
      <alignment horizontal="left"/>
    </xf>
    <xf numFmtId="0" fontId="3" fillId="20" borderId="84" xfId="0" applyFont="1" applyFill="1" applyBorder="1" applyAlignment="1" applyProtection="1">
      <alignment horizontal="left"/>
    </xf>
    <xf numFmtId="0" fontId="5" fillId="20" borderId="153" xfId="0" applyFont="1" applyFill="1" applyBorder="1" applyAlignment="1" applyProtection="1">
      <alignment horizontal="left"/>
    </xf>
    <xf numFmtId="0" fontId="14" fillId="20" borderId="153" xfId="0" applyFont="1" applyFill="1" applyBorder="1" applyAlignment="1" applyProtection="1">
      <alignment horizontal="left"/>
    </xf>
    <xf numFmtId="0" fontId="5" fillId="20" borderId="56" xfId="0" applyFont="1" applyFill="1" applyBorder="1" applyAlignment="1" applyProtection="1">
      <alignment horizontal="center"/>
    </xf>
    <xf numFmtId="0" fontId="5" fillId="20" borderId="117" xfId="0" applyFont="1" applyFill="1" applyBorder="1" applyAlignment="1" applyProtection="1">
      <alignment horizontal="center"/>
    </xf>
    <xf numFmtId="0" fontId="5" fillId="20" borderId="91" xfId="0" applyFont="1" applyFill="1" applyBorder="1" applyAlignment="1" applyProtection="1">
      <alignment horizontal="center"/>
    </xf>
    <xf numFmtId="0" fontId="5" fillId="20" borderId="15" xfId="0" applyFont="1" applyFill="1" applyBorder="1" applyAlignment="1" applyProtection="1">
      <alignment horizontal="center"/>
    </xf>
    <xf numFmtId="0" fontId="5" fillId="20" borderId="60" xfId="0" applyFont="1" applyFill="1" applyBorder="1" applyAlignment="1" applyProtection="1">
      <alignment horizontal="center"/>
    </xf>
    <xf numFmtId="0" fontId="5" fillId="20" borderId="43" xfId="0" applyFont="1" applyFill="1" applyBorder="1" applyAlignment="1" applyProtection="1">
      <alignment horizontal="right"/>
    </xf>
    <xf numFmtId="0" fontId="5" fillId="20" borderId="64" xfId="0" applyFont="1" applyFill="1" applyBorder="1" applyAlignment="1" applyProtection="1">
      <alignment horizontal="center"/>
    </xf>
    <xf numFmtId="0" fontId="3" fillId="20" borderId="1" xfId="0" applyFont="1" applyFill="1" applyBorder="1" applyAlignment="1" applyProtection="1">
      <alignment horizontal="right"/>
    </xf>
    <xf numFmtId="0" fontId="3" fillId="20" borderId="141" xfId="0" applyFont="1" applyFill="1" applyBorder="1" applyAlignment="1" applyProtection="1">
      <alignment horizontal="center"/>
    </xf>
    <xf numFmtId="0" fontId="5" fillId="20" borderId="117" xfId="0" applyFont="1" applyFill="1" applyBorder="1" applyProtection="1"/>
    <xf numFmtId="0" fontId="3" fillId="20" borderId="125" xfId="0" applyFont="1" applyFill="1" applyBorder="1" applyAlignment="1" applyProtection="1">
      <alignment vertical="top"/>
    </xf>
    <xf numFmtId="1" fontId="3" fillId="20" borderId="15" xfId="0" applyNumberFormat="1" applyFont="1" applyFill="1" applyBorder="1" applyAlignment="1" applyProtection="1">
      <alignment horizontal="left"/>
    </xf>
    <xf numFmtId="0" fontId="5" fillId="20" borderId="15" xfId="0" applyFont="1" applyFill="1" applyBorder="1" applyProtection="1"/>
    <xf numFmtId="0" fontId="7" fillId="20" borderId="127" xfId="0" applyFont="1" applyFill="1" applyBorder="1" applyProtection="1"/>
    <xf numFmtId="0" fontId="8" fillId="20" borderId="12" xfId="0" applyFont="1" applyFill="1" applyBorder="1" applyProtection="1"/>
    <xf numFmtId="3" fontId="2" fillId="20" borderId="64" xfId="0" applyNumberFormat="1" applyFont="1" applyFill="1" applyBorder="1" applyProtection="1"/>
    <xf numFmtId="0" fontId="3" fillId="20" borderId="125" xfId="0" applyFont="1" applyFill="1" applyBorder="1" applyAlignment="1" applyProtection="1">
      <alignment horizontal="center"/>
    </xf>
    <xf numFmtId="1" fontId="3" fillId="20" borderId="8" xfId="0" applyNumberFormat="1" applyFont="1" applyFill="1" applyBorder="1" applyAlignment="1" applyProtection="1">
      <alignment horizontal="center"/>
    </xf>
    <xf numFmtId="0" fontId="3" fillId="20" borderId="8" xfId="0" applyFont="1" applyFill="1" applyBorder="1" applyProtection="1"/>
    <xf numFmtId="0" fontId="3" fillId="20" borderId="47" xfId="0" applyFont="1" applyFill="1" applyBorder="1" applyAlignment="1" applyProtection="1">
      <alignment horizontal="left"/>
    </xf>
    <xf numFmtId="0" fontId="5" fillId="20" borderId="154" xfId="0" applyFont="1" applyFill="1" applyBorder="1" applyAlignment="1" applyProtection="1">
      <alignment horizontal="center"/>
    </xf>
    <xf numFmtId="0" fontId="5" fillId="20" borderId="118" xfId="0" applyFont="1" applyFill="1" applyBorder="1" applyAlignment="1" applyProtection="1">
      <alignment horizontal="center"/>
    </xf>
    <xf numFmtId="0" fontId="3" fillId="20" borderId="155" xfId="0" applyFont="1" applyFill="1" applyBorder="1" applyAlignment="1" applyProtection="1">
      <alignment horizontal="left" vertical="top"/>
    </xf>
    <xf numFmtId="0" fontId="5" fillId="20" borderId="156" xfId="0" applyFont="1" applyFill="1" applyBorder="1" applyAlignment="1" applyProtection="1">
      <alignment horizontal="center"/>
    </xf>
    <xf numFmtId="0" fontId="5" fillId="20" borderId="58" xfId="0" applyFont="1" applyFill="1" applyBorder="1" applyAlignment="1" applyProtection="1">
      <alignment horizontal="center"/>
    </xf>
    <xf numFmtId="0" fontId="5" fillId="20" borderId="155" xfId="0" applyFont="1" applyFill="1" applyBorder="1" applyAlignment="1" applyProtection="1">
      <alignment horizontal="left"/>
    </xf>
    <xf numFmtId="0" fontId="5" fillId="20" borderId="156" xfId="0" applyFont="1" applyFill="1" applyBorder="1" applyAlignment="1" applyProtection="1">
      <alignment horizontal="right"/>
    </xf>
    <xf numFmtId="49" fontId="8" fillId="20" borderId="16" xfId="0" applyNumberFormat="1" applyFont="1" applyFill="1" applyBorder="1" applyAlignment="1" applyProtection="1">
      <alignment horizontal="center"/>
    </xf>
    <xf numFmtId="1" fontId="8" fillId="20" borderId="15" xfId="0" applyNumberFormat="1" applyFont="1" applyFill="1" applyBorder="1" applyAlignment="1" applyProtection="1">
      <alignment horizontal="center"/>
    </xf>
    <xf numFmtId="1" fontId="8" fillId="20" borderId="72" xfId="0" applyNumberFormat="1" applyFont="1" applyFill="1" applyBorder="1" applyAlignment="1" applyProtection="1">
      <alignment horizontal="left"/>
    </xf>
    <xf numFmtId="49" fontId="8" fillId="20" borderId="14" xfId="0" applyNumberFormat="1" applyFont="1" applyFill="1" applyBorder="1" applyAlignment="1" applyProtection="1">
      <alignment horizontal="center"/>
    </xf>
    <xf numFmtId="49" fontId="8" fillId="20" borderId="8" xfId="0" applyNumberFormat="1" applyFont="1" applyFill="1" applyBorder="1" applyAlignment="1" applyProtection="1">
      <alignment horizontal="center"/>
    </xf>
    <xf numFmtId="1" fontId="8" fillId="20" borderId="131" xfId="0" applyNumberFormat="1" applyFont="1" applyFill="1" applyBorder="1" applyAlignment="1" applyProtection="1">
      <alignment horizontal="center"/>
    </xf>
    <xf numFmtId="1" fontId="8" fillId="20" borderId="131" xfId="0" applyNumberFormat="1" applyFont="1" applyFill="1" applyBorder="1" applyAlignment="1" applyProtection="1">
      <alignment horizontal="left"/>
    </xf>
    <xf numFmtId="49" fontId="8" fillId="20" borderId="1" xfId="0" applyNumberFormat="1" applyFont="1" applyFill="1" applyBorder="1" applyAlignment="1" applyProtection="1">
      <alignment horizontal="left"/>
    </xf>
    <xf numFmtId="1" fontId="8" fillId="20" borderId="43" xfId="0" applyNumberFormat="1" applyFont="1" applyFill="1" applyBorder="1" applyAlignment="1" applyProtection="1">
      <alignment horizontal="center"/>
    </xf>
    <xf numFmtId="49" fontId="8" fillId="20" borderId="1" xfId="0" applyNumberFormat="1" applyFont="1" applyFill="1" applyBorder="1" applyAlignment="1" applyProtection="1">
      <alignment horizontal="center" vertical="top" wrapText="1"/>
    </xf>
    <xf numFmtId="49" fontId="8" fillId="20" borderId="157" xfId="0" applyNumberFormat="1" applyFont="1" applyFill="1" applyBorder="1" applyAlignment="1" applyProtection="1">
      <alignment horizontal="center"/>
    </xf>
    <xf numFmtId="0" fontId="14" fillId="20" borderId="117" xfId="0" applyFont="1" applyFill="1" applyBorder="1" applyAlignment="1" applyProtection="1">
      <alignment horizontal="left"/>
    </xf>
    <xf numFmtId="0" fontId="14" fillId="20" borderId="15" xfId="0" applyFont="1" applyFill="1" applyBorder="1" applyAlignment="1" applyProtection="1">
      <alignment horizontal="left"/>
    </xf>
    <xf numFmtId="0" fontId="3" fillId="20" borderId="92" xfId="0" applyFont="1" applyFill="1" applyBorder="1" applyAlignment="1" applyProtection="1">
      <alignment horizontal="left"/>
    </xf>
    <xf numFmtId="0" fontId="5" fillId="20" borderId="43" xfId="0" applyFont="1" applyFill="1" applyBorder="1" applyAlignment="1" applyProtection="1">
      <alignment horizontal="left"/>
    </xf>
    <xf numFmtId="1" fontId="8" fillId="20" borderId="4" xfId="0" applyNumberFormat="1" applyFont="1" applyFill="1" applyBorder="1" applyAlignment="1" applyProtection="1">
      <alignment horizontal="center"/>
    </xf>
    <xf numFmtId="0" fontId="8" fillId="20" borderId="4" xfId="0" applyFont="1" applyFill="1" applyBorder="1" applyProtection="1"/>
    <xf numFmtId="166" fontId="14" fillId="20" borderId="60" xfId="0" applyNumberFormat="1" applyFont="1" applyFill="1" applyBorder="1" applyAlignment="1" applyProtection="1">
      <alignment horizontal="left"/>
    </xf>
    <xf numFmtId="166" fontId="20" fillId="20" borderId="64" xfId="0" applyNumberFormat="1" applyFont="1" applyFill="1" applyBorder="1" applyAlignment="1" applyProtection="1">
      <alignment horizontal="left"/>
    </xf>
    <xf numFmtId="0" fontId="14" fillId="20" borderId="114" xfId="0" applyFont="1" applyFill="1" applyBorder="1" applyProtection="1"/>
    <xf numFmtId="0" fontId="14" fillId="20" borderId="60" xfId="0" applyFont="1" applyFill="1" applyBorder="1" applyAlignment="1" applyProtection="1">
      <alignment horizontal="left"/>
    </xf>
    <xf numFmtId="0" fontId="14" fillId="20" borderId="64" xfId="0" applyFont="1" applyFill="1" applyBorder="1" applyProtection="1"/>
    <xf numFmtId="166" fontId="4" fillId="20" borderId="60" xfId="0" applyNumberFormat="1" applyFont="1" applyFill="1" applyBorder="1" applyAlignment="1" applyProtection="1">
      <alignment horizontal="left"/>
    </xf>
    <xf numFmtId="166" fontId="20" fillId="20" borderId="64" xfId="0" applyNumberFormat="1" applyFont="1" applyFill="1" applyBorder="1" applyProtection="1"/>
    <xf numFmtId="1" fontId="3" fillId="20" borderId="152" xfId="0" applyNumberFormat="1" applyFont="1" applyFill="1" applyBorder="1" applyAlignment="1" applyProtection="1">
      <alignment horizontal="left"/>
    </xf>
    <xf numFmtId="0" fontId="12" fillId="20" borderId="114" xfId="0" applyFont="1" applyFill="1" applyBorder="1" applyAlignment="1" applyProtection="1">
      <alignment horizontal="left"/>
    </xf>
    <xf numFmtId="0" fontId="5" fillId="20" borderId="12" xfId="0" applyFont="1" applyFill="1" applyBorder="1" applyAlignment="1" applyProtection="1">
      <alignment horizontal="left"/>
    </xf>
    <xf numFmtId="166" fontId="5" fillId="20" borderId="64" xfId="0" applyNumberFormat="1" applyFont="1" applyFill="1" applyBorder="1" applyAlignment="1" applyProtection="1">
      <alignment horizontal="left"/>
    </xf>
    <xf numFmtId="1" fontId="14" fillId="20" borderId="25" xfId="0" applyNumberFormat="1" applyFont="1" applyFill="1" applyBorder="1" applyAlignment="1" applyProtection="1">
      <alignment horizontal="center"/>
    </xf>
    <xf numFmtId="1" fontId="3" fillId="20" borderId="87" xfId="0" applyNumberFormat="1" applyFont="1" applyFill="1" applyBorder="1" applyAlignment="1" applyProtection="1">
      <alignment horizontal="center"/>
    </xf>
    <xf numFmtId="0" fontId="3" fillId="20" borderId="101" xfId="0" applyFont="1" applyFill="1" applyBorder="1" applyAlignment="1" applyProtection="1">
      <alignment horizontal="left" vertical="top" wrapText="1"/>
    </xf>
    <xf numFmtId="0" fontId="62" fillId="20" borderId="119" xfId="0" applyFont="1" applyFill="1" applyBorder="1" applyProtection="1"/>
    <xf numFmtId="0" fontId="4" fillId="20" borderId="92" xfId="0" applyFont="1" applyFill="1" applyBorder="1" applyAlignment="1" applyProtection="1"/>
    <xf numFmtId="0" fontId="91" fillId="20" borderId="92" xfId="0" applyFont="1" applyFill="1" applyBorder="1" applyAlignment="1"/>
    <xf numFmtId="0" fontId="3" fillId="20" borderId="158" xfId="0" applyFont="1" applyFill="1" applyBorder="1" applyAlignment="1" applyProtection="1">
      <alignment horizontal="left" vertical="top" wrapText="1"/>
    </xf>
    <xf numFmtId="1" fontId="3" fillId="20" borderId="101" xfId="0" applyNumberFormat="1" applyFont="1" applyFill="1" applyBorder="1" applyAlignment="1" applyProtection="1">
      <alignment horizontal="left"/>
    </xf>
    <xf numFmtId="0" fontId="3" fillId="20" borderId="117" xfId="0" applyFont="1" applyFill="1" applyBorder="1" applyAlignment="1" applyProtection="1">
      <alignment horizontal="left"/>
    </xf>
    <xf numFmtId="3" fontId="3" fillId="20" borderId="159" xfId="0" applyNumberFormat="1" applyFont="1" applyFill="1" applyBorder="1" applyAlignment="1" applyProtection="1">
      <alignment horizontal="left"/>
    </xf>
    <xf numFmtId="3" fontId="3" fillId="20" borderId="160" xfId="0" applyNumberFormat="1" applyFont="1" applyFill="1" applyBorder="1" applyProtection="1"/>
    <xf numFmtId="1" fontId="3" fillId="20" borderId="125" xfId="0" applyNumberFormat="1" applyFont="1" applyFill="1" applyBorder="1" applyAlignment="1" applyProtection="1">
      <alignment horizontal="left"/>
    </xf>
    <xf numFmtId="3" fontId="3" fillId="20" borderId="15" xfId="0" applyNumberFormat="1" applyFont="1" applyFill="1" applyBorder="1" applyAlignment="1" applyProtection="1">
      <alignment horizontal="left"/>
    </xf>
    <xf numFmtId="0" fontId="3" fillId="20" borderId="0" xfId="0" applyFont="1" applyFill="1" applyBorder="1" applyProtection="1"/>
    <xf numFmtId="3" fontId="3" fillId="20" borderId="15" xfId="0" applyNumberFormat="1" applyFont="1" applyFill="1" applyBorder="1" applyProtection="1"/>
    <xf numFmtId="0" fontId="7" fillId="20" borderId="114" xfId="0" applyFont="1" applyFill="1" applyBorder="1" applyProtection="1"/>
    <xf numFmtId="0" fontId="3" fillId="20" borderId="12" xfId="0" applyFont="1" applyFill="1" applyBorder="1" applyProtection="1"/>
    <xf numFmtId="0" fontId="3" fillId="20" borderId="43" xfId="0" applyFont="1" applyFill="1" applyBorder="1" applyProtection="1"/>
    <xf numFmtId="49" fontId="3" fillId="20" borderId="133" xfId="0" applyNumberFormat="1" applyFont="1" applyFill="1" applyBorder="1" applyAlignment="1" applyProtection="1">
      <alignment horizontal="left"/>
    </xf>
    <xf numFmtId="0" fontId="3" fillId="20" borderId="85" xfId="0" applyFont="1" applyFill="1" applyBorder="1" applyProtection="1"/>
    <xf numFmtId="49" fontId="3" fillId="20" borderId="137" xfId="0" applyNumberFormat="1" applyFont="1" applyFill="1" applyBorder="1" applyAlignment="1" applyProtection="1">
      <alignment horizontal="center"/>
    </xf>
    <xf numFmtId="49" fontId="8" fillId="20" borderId="132" xfId="0" applyNumberFormat="1" applyFont="1" applyFill="1" applyBorder="1" applyAlignment="1" applyProtection="1">
      <alignment horizontal="center"/>
    </xf>
    <xf numFmtId="49" fontId="3" fillId="20" borderId="134" xfId="0" applyNumberFormat="1" applyFont="1" applyFill="1" applyBorder="1" applyAlignment="1" applyProtection="1">
      <alignment horizontal="center"/>
    </xf>
    <xf numFmtId="0" fontId="5" fillId="20" borderId="74" xfId="0" applyFont="1" applyFill="1" applyBorder="1" applyProtection="1"/>
    <xf numFmtId="0" fontId="8" fillId="20" borderId="1" xfId="0" applyFont="1" applyFill="1" applyBorder="1" applyAlignment="1" applyProtection="1">
      <alignment wrapText="1"/>
    </xf>
    <xf numFmtId="49" fontId="8" fillId="20" borderId="129" xfId="0" applyNumberFormat="1" applyFont="1" applyFill="1" applyBorder="1" applyAlignment="1" applyProtection="1">
      <alignment horizontal="center"/>
    </xf>
    <xf numFmtId="0" fontId="14" fillId="20" borderId="43" xfId="0" applyFont="1" applyFill="1" applyBorder="1" applyAlignment="1" applyProtection="1">
      <alignment horizontal="left"/>
    </xf>
    <xf numFmtId="0" fontId="5" fillId="20" borderId="1" xfId="0" applyFont="1" applyFill="1" applyBorder="1" applyAlignment="1" applyProtection="1">
      <alignment horizontal="left" wrapText="1"/>
    </xf>
    <xf numFmtId="0" fontId="8" fillId="20" borderId="1" xfId="0" applyFont="1" applyFill="1" applyBorder="1" applyAlignment="1" applyProtection="1">
      <alignment horizontal="left"/>
    </xf>
    <xf numFmtId="49" fontId="8" fillId="20" borderId="139" xfId="0" applyNumberFormat="1" applyFont="1" applyFill="1" applyBorder="1" applyAlignment="1" applyProtection="1">
      <alignment horizontal="center"/>
    </xf>
    <xf numFmtId="0" fontId="8" fillId="20" borderId="13" xfId="0" applyFont="1" applyFill="1" applyBorder="1" applyProtection="1"/>
    <xf numFmtId="49" fontId="8" fillId="20" borderId="103" xfId="0" applyNumberFormat="1" applyFont="1" applyFill="1" applyBorder="1" applyAlignment="1" applyProtection="1">
      <alignment horizontal="center"/>
    </xf>
    <xf numFmtId="1" fontId="3" fillId="20" borderId="23" xfId="0" applyNumberFormat="1" applyFont="1" applyFill="1" applyBorder="1" applyAlignment="1" applyProtection="1">
      <alignment horizontal="left" vertical="top" wrapText="1"/>
    </xf>
    <xf numFmtId="0" fontId="3" fillId="20" borderId="161" xfId="0" applyFont="1" applyFill="1" applyBorder="1" applyAlignment="1" applyProtection="1">
      <alignment vertical="top"/>
    </xf>
    <xf numFmtId="0" fontId="8" fillId="20" borderId="162" xfId="0" applyFont="1" applyFill="1" applyBorder="1" applyProtection="1"/>
    <xf numFmtId="0" fontId="11" fillId="20" borderId="125" xfId="0" applyFont="1" applyFill="1" applyBorder="1" applyProtection="1"/>
    <xf numFmtId="0" fontId="8" fillId="20" borderId="44" xfId="0" applyFont="1" applyFill="1" applyBorder="1" applyProtection="1"/>
    <xf numFmtId="0" fontId="0" fillId="20" borderId="125" xfId="0" applyFill="1" applyBorder="1" applyProtection="1"/>
    <xf numFmtId="0" fontId="12" fillId="24" borderId="114" xfId="0" applyFont="1" applyFill="1" applyBorder="1" applyProtection="1"/>
    <xf numFmtId="49" fontId="11" fillId="24" borderId="57" xfId="0" applyNumberFormat="1" applyFont="1" applyFill="1" applyBorder="1" applyProtection="1"/>
    <xf numFmtId="0" fontId="19" fillId="20" borderId="163" xfId="0" applyFont="1" applyFill="1" applyBorder="1" applyProtection="1"/>
    <xf numFmtId="49" fontId="13" fillId="20" borderId="125" xfId="0" applyNumberFormat="1" applyFont="1" applyFill="1" applyBorder="1" applyAlignment="1" applyProtection="1">
      <alignment horizontal="left"/>
    </xf>
    <xf numFmtId="0" fontId="14" fillId="20" borderId="164" xfId="0" applyFont="1" applyFill="1" applyBorder="1" applyAlignment="1" applyProtection="1">
      <alignment wrapText="1"/>
    </xf>
    <xf numFmtId="0" fontId="8" fillId="20" borderId="2" xfId="0" applyFont="1" applyFill="1" applyBorder="1" applyAlignment="1" applyProtection="1"/>
    <xf numFmtId="0" fontId="8" fillId="20" borderId="5" xfId="0" applyFont="1" applyFill="1" applyBorder="1" applyProtection="1"/>
    <xf numFmtId="49" fontId="8" fillId="20" borderId="36" xfId="0" applyNumberFormat="1" applyFont="1" applyFill="1" applyBorder="1" applyAlignment="1" applyProtection="1">
      <alignment horizontal="center"/>
    </xf>
    <xf numFmtId="0" fontId="14" fillId="20" borderId="116" xfId="0" applyFont="1" applyFill="1" applyBorder="1" applyProtection="1"/>
    <xf numFmtId="0" fontId="8" fillId="20" borderId="2" xfId="0" applyFont="1" applyFill="1" applyBorder="1" applyProtection="1"/>
    <xf numFmtId="0" fontId="14" fillId="20" borderId="99" xfId="0" applyFont="1" applyFill="1" applyBorder="1" applyProtection="1"/>
    <xf numFmtId="49" fontId="8" fillId="20" borderId="125" xfId="0" applyNumberFormat="1" applyFont="1" applyFill="1" applyBorder="1" applyAlignment="1" applyProtection="1">
      <alignment horizontal="center"/>
    </xf>
    <xf numFmtId="0" fontId="14" fillId="20" borderId="44" xfId="0" applyFont="1" applyFill="1" applyBorder="1" applyProtection="1"/>
    <xf numFmtId="0" fontId="8" fillId="20" borderId="76" xfId="0" applyFont="1" applyFill="1" applyBorder="1" applyProtection="1"/>
    <xf numFmtId="0" fontId="14" fillId="20" borderId="164" xfId="0" applyFont="1" applyFill="1" applyBorder="1" applyProtection="1"/>
    <xf numFmtId="0" fontId="5" fillId="20" borderId="164" xfId="0" applyFont="1" applyFill="1" applyBorder="1" applyAlignment="1" applyProtection="1">
      <alignment wrapText="1"/>
    </xf>
    <xf numFmtId="49" fontId="8" fillId="20" borderId="37" xfId="0" applyNumberFormat="1" applyFont="1" applyFill="1" applyBorder="1" applyAlignment="1" applyProtection="1">
      <alignment horizontal="center"/>
    </xf>
    <xf numFmtId="0" fontId="3" fillId="20" borderId="5" xfId="0" applyFont="1" applyFill="1" applyBorder="1" applyProtection="1"/>
    <xf numFmtId="49" fontId="11" fillId="20" borderId="57" xfId="0" applyNumberFormat="1" applyFont="1" applyFill="1" applyBorder="1" applyProtection="1"/>
    <xf numFmtId="0" fontId="14" fillId="20" borderId="97" xfId="0" applyFont="1" applyFill="1" applyBorder="1" applyProtection="1"/>
    <xf numFmtId="49" fontId="3" fillId="20" borderId="2" xfId="0" applyNumberFormat="1" applyFont="1" applyFill="1" applyBorder="1" applyAlignment="1" applyProtection="1">
      <alignment horizontal="left"/>
    </xf>
    <xf numFmtId="49" fontId="3" fillId="20" borderId="95" xfId="0" applyNumberFormat="1" applyFont="1" applyFill="1" applyBorder="1" applyAlignment="1" applyProtection="1">
      <alignment horizontal="left"/>
    </xf>
    <xf numFmtId="49" fontId="8" fillId="20" borderId="128" xfId="0" applyNumberFormat="1" applyFont="1" applyFill="1" applyBorder="1" applyAlignment="1" applyProtection="1">
      <alignment horizontal="center"/>
    </xf>
    <xf numFmtId="0" fontId="14" fillId="20" borderId="97" xfId="0" applyFont="1" applyFill="1" applyBorder="1" applyAlignment="1" applyProtection="1">
      <alignment vertical="center" wrapText="1"/>
    </xf>
    <xf numFmtId="0" fontId="3" fillId="20" borderId="2" xfId="0" applyFont="1" applyFill="1" applyBorder="1" applyAlignment="1" applyProtection="1">
      <alignment wrapText="1"/>
    </xf>
    <xf numFmtId="0" fontId="14" fillId="20" borderId="97" xfId="0" applyFont="1" applyFill="1" applyBorder="1" applyAlignment="1" applyProtection="1"/>
    <xf numFmtId="0" fontId="3" fillId="20" borderId="2" xfId="0" applyFont="1" applyFill="1" applyBorder="1" applyProtection="1"/>
    <xf numFmtId="49" fontId="112" fillId="20" borderId="21" xfId="0" applyNumberFormat="1" applyFont="1" applyFill="1" applyBorder="1" applyAlignment="1" applyProtection="1">
      <alignment horizontal="center"/>
    </xf>
    <xf numFmtId="0" fontId="8" fillId="20" borderId="9" xfId="0" applyFont="1" applyFill="1" applyBorder="1" applyProtection="1"/>
    <xf numFmtId="0" fontId="8" fillId="20" borderId="102" xfId="0" applyFont="1" applyFill="1" applyBorder="1" applyProtection="1"/>
    <xf numFmtId="3" fontId="3" fillId="20" borderId="126" xfId="0" applyNumberFormat="1" applyFont="1" applyFill="1" applyBorder="1" applyAlignment="1" applyProtection="1">
      <alignment horizontal="left" vertical="top" wrapText="1"/>
    </xf>
    <xf numFmtId="3" fontId="3" fillId="20" borderId="15" xfId="0" applyNumberFormat="1" applyFont="1" applyFill="1" applyBorder="1" applyAlignment="1" applyProtection="1">
      <alignment horizontal="left" vertical="top"/>
    </xf>
    <xf numFmtId="3" fontId="3" fillId="20" borderId="72" xfId="0" applyNumberFormat="1" applyFont="1" applyFill="1" applyBorder="1" applyAlignment="1" applyProtection="1">
      <alignment horizontal="left" vertical="top" wrapText="1"/>
    </xf>
    <xf numFmtId="3" fontId="3" fillId="20" borderId="16" xfId="0" applyNumberFormat="1" applyFont="1" applyFill="1" applyBorder="1" applyAlignment="1" applyProtection="1">
      <alignment horizontal="left" vertical="top" wrapText="1"/>
    </xf>
    <xf numFmtId="3" fontId="3" fillId="20" borderId="60" xfId="0" applyNumberFormat="1" applyFont="1" applyFill="1" applyBorder="1" applyAlignment="1" applyProtection="1">
      <alignment horizontal="left" vertical="top" wrapText="1"/>
    </xf>
    <xf numFmtId="3" fontId="3" fillId="20" borderId="152" xfId="0" applyNumberFormat="1" applyFont="1" applyFill="1" applyBorder="1" applyProtection="1"/>
    <xf numFmtId="0" fontId="3" fillId="20" borderId="152" xfId="0" applyFont="1" applyFill="1" applyBorder="1" applyAlignment="1" applyProtection="1">
      <alignment horizontal="left" vertical="top" wrapText="1"/>
    </xf>
    <xf numFmtId="0" fontId="3" fillId="20" borderId="152" xfId="0" applyFont="1" applyFill="1" applyBorder="1" applyProtection="1"/>
    <xf numFmtId="3" fontId="8" fillId="20" borderId="16" xfId="0" applyNumberFormat="1" applyFont="1" applyFill="1" applyBorder="1" applyProtection="1"/>
    <xf numFmtId="0" fontId="8" fillId="20" borderId="145" xfId="0" applyFont="1" applyFill="1" applyBorder="1" applyProtection="1"/>
    <xf numFmtId="49" fontId="11" fillId="20" borderId="165" xfId="0" applyNumberFormat="1" applyFont="1" applyFill="1" applyBorder="1" applyProtection="1"/>
    <xf numFmtId="49" fontId="11" fillId="20" borderId="163" xfId="0" applyNumberFormat="1" applyFont="1" applyFill="1" applyBorder="1" applyProtection="1"/>
    <xf numFmtId="49" fontId="11" fillId="20" borderId="85" xfId="0" applyNumberFormat="1" applyFont="1" applyFill="1" applyBorder="1" applyProtection="1"/>
    <xf numFmtId="49" fontId="11" fillId="20" borderId="111" xfId="0" applyNumberFormat="1" applyFont="1" applyFill="1" applyBorder="1" applyProtection="1"/>
    <xf numFmtId="49" fontId="11" fillId="20" borderId="124" xfId="0" applyNumberFormat="1" applyFont="1" applyFill="1" applyBorder="1" applyProtection="1"/>
    <xf numFmtId="49" fontId="11" fillId="20" borderId="166" xfId="0" applyNumberFormat="1" applyFont="1" applyFill="1" applyBorder="1" applyProtection="1"/>
    <xf numFmtId="49" fontId="11" fillId="20" borderId="3" xfId="0" applyNumberFormat="1" applyFont="1" applyFill="1" applyBorder="1" applyProtection="1"/>
    <xf numFmtId="49" fontId="11" fillId="20" borderId="2" xfId="0" applyNumberFormat="1" applyFont="1" applyFill="1" applyBorder="1" applyProtection="1"/>
    <xf numFmtId="49" fontId="11" fillId="20" borderId="1" xfId="0" applyNumberFormat="1" applyFont="1" applyFill="1" applyBorder="1" applyProtection="1"/>
    <xf numFmtId="49" fontId="11" fillId="20" borderId="84" xfId="0" applyNumberFormat="1" applyFont="1" applyFill="1" applyBorder="1" applyProtection="1"/>
    <xf numFmtId="49" fontId="11" fillId="20" borderId="69" xfId="0" applyNumberFormat="1" applyFont="1" applyFill="1" applyBorder="1" applyProtection="1"/>
    <xf numFmtId="49" fontId="11" fillId="20" borderId="52" xfId="0" applyNumberFormat="1" applyFont="1" applyFill="1" applyBorder="1" applyProtection="1"/>
    <xf numFmtId="3" fontId="13" fillId="20" borderId="14" xfId="0" applyNumberFormat="1" applyFont="1" applyFill="1" applyBorder="1" applyAlignment="1" applyProtection="1">
      <alignment horizontal="right"/>
    </xf>
    <xf numFmtId="3" fontId="13" fillId="20" borderId="9" xfId="0" applyNumberFormat="1" applyFont="1" applyFill="1" applyBorder="1" applyAlignment="1" applyProtection="1">
      <alignment horizontal="right"/>
    </xf>
    <xf numFmtId="3" fontId="13" fillId="20" borderId="8" xfId="0" applyNumberFormat="1" applyFont="1" applyFill="1" applyBorder="1" applyAlignment="1" applyProtection="1">
      <alignment horizontal="right"/>
    </xf>
    <xf numFmtId="3" fontId="13" fillId="20" borderId="20" xfId="0" applyNumberFormat="1" applyFont="1" applyFill="1" applyBorder="1" applyAlignment="1" applyProtection="1">
      <alignment horizontal="right"/>
    </xf>
    <xf numFmtId="3" fontId="13" fillId="20" borderId="104" xfId="0" applyNumberFormat="1" applyFont="1" applyFill="1" applyBorder="1" applyAlignment="1" applyProtection="1">
      <alignment horizontal="right"/>
    </xf>
    <xf numFmtId="3" fontId="13" fillId="20" borderId="116" xfId="0" applyNumberFormat="1" applyFont="1" applyFill="1" applyBorder="1" applyAlignment="1" applyProtection="1">
      <alignment horizontal="right"/>
    </xf>
    <xf numFmtId="3" fontId="13" fillId="20" borderId="66" xfId="0" applyNumberFormat="1" applyFont="1" applyFill="1" applyBorder="1" applyAlignment="1" applyProtection="1">
      <alignment horizontal="right"/>
    </xf>
    <xf numFmtId="3" fontId="13" fillId="20" borderId="98" xfId="0" applyNumberFormat="1" applyFont="1" applyFill="1" applyBorder="1" applyAlignment="1" applyProtection="1">
      <alignment horizontal="right"/>
    </xf>
    <xf numFmtId="3" fontId="13" fillId="20" borderId="117" xfId="0" applyNumberFormat="1" applyFont="1" applyFill="1" applyBorder="1" applyAlignment="1" applyProtection="1">
      <alignment horizontal="right"/>
    </xf>
    <xf numFmtId="3" fontId="13" fillId="20" borderId="99" xfId="0" applyNumberFormat="1" applyFont="1" applyFill="1" applyBorder="1" applyAlignment="1" applyProtection="1">
      <alignment horizontal="right"/>
    </xf>
    <xf numFmtId="3" fontId="13" fillId="20" borderId="91" xfId="0" applyNumberFormat="1" applyFont="1" applyFill="1" applyBorder="1" applyAlignment="1" applyProtection="1">
      <alignment horizontal="right"/>
    </xf>
    <xf numFmtId="3" fontId="13" fillId="20" borderId="3" xfId="0" applyNumberFormat="1" applyFont="1" applyFill="1" applyBorder="1" applyAlignment="1" applyProtection="1">
      <alignment horizontal="right"/>
    </xf>
    <xf numFmtId="3" fontId="13" fillId="20" borderId="2" xfId="0" applyNumberFormat="1" applyFont="1" applyFill="1" applyBorder="1" applyAlignment="1" applyProtection="1">
      <alignment horizontal="right"/>
    </xf>
    <xf numFmtId="3" fontId="13" fillId="20" borderId="54" xfId="0" applyNumberFormat="1" applyFont="1" applyFill="1" applyBorder="1" applyAlignment="1" applyProtection="1">
      <alignment horizontal="right"/>
    </xf>
    <xf numFmtId="3" fontId="13" fillId="20" borderId="53" xfId="0" applyNumberFormat="1" applyFont="1" applyFill="1" applyBorder="1" applyAlignment="1" applyProtection="1">
      <alignment horizontal="right"/>
    </xf>
    <xf numFmtId="3" fontId="13" fillId="20" borderId="1" xfId="0" applyNumberFormat="1" applyFont="1" applyFill="1" applyBorder="1" applyAlignment="1" applyProtection="1">
      <alignment horizontal="right"/>
    </xf>
    <xf numFmtId="3" fontId="13" fillId="20" borderId="69" xfId="0" applyNumberFormat="1" applyFont="1" applyFill="1" applyBorder="1" applyAlignment="1" applyProtection="1">
      <alignment horizontal="right"/>
    </xf>
    <xf numFmtId="3" fontId="13" fillId="20" borderId="18" xfId="0" applyNumberFormat="1" applyFont="1" applyFill="1" applyBorder="1" applyAlignment="1" applyProtection="1">
      <alignment horizontal="right"/>
    </xf>
    <xf numFmtId="3" fontId="13" fillId="20" borderId="6" xfId="0" applyNumberFormat="1" applyFont="1" applyFill="1" applyBorder="1" applyAlignment="1" applyProtection="1">
      <alignment horizontal="right"/>
    </xf>
    <xf numFmtId="3" fontId="13" fillId="20" borderId="5" xfId="0" applyNumberFormat="1" applyFont="1" applyFill="1" applyBorder="1" applyAlignment="1" applyProtection="1">
      <alignment horizontal="right"/>
    </xf>
    <xf numFmtId="3" fontId="13" fillId="20" borderId="4" xfId="0" applyNumberFormat="1" applyFont="1" applyFill="1" applyBorder="1" applyAlignment="1" applyProtection="1">
      <alignment horizontal="right"/>
    </xf>
    <xf numFmtId="3" fontId="13" fillId="20" borderId="19" xfId="0" applyNumberFormat="1" applyFont="1" applyFill="1" applyBorder="1" applyAlignment="1" applyProtection="1">
      <alignment horizontal="right"/>
    </xf>
    <xf numFmtId="3" fontId="5" fillId="20" borderId="118" xfId="0" applyNumberFormat="1" applyFont="1" applyFill="1" applyBorder="1" applyAlignment="1" applyProtection="1">
      <alignment horizontal="left" vertical="top" wrapText="1"/>
    </xf>
    <xf numFmtId="3" fontId="3" fillId="20" borderId="125" xfId="0" applyNumberFormat="1" applyFont="1" applyFill="1" applyBorder="1" applyAlignment="1" applyProtection="1">
      <alignment horizontal="left" vertical="top" wrapText="1"/>
    </xf>
    <xf numFmtId="0" fontId="3" fillId="20" borderId="157" xfId="0" applyFont="1" applyFill="1" applyBorder="1" applyAlignment="1" applyProtection="1">
      <alignment horizontal="left" vertical="top" wrapText="1"/>
    </xf>
    <xf numFmtId="0" fontId="3" fillId="20" borderId="167" xfId="0" applyFont="1" applyFill="1" applyBorder="1" applyAlignment="1" applyProtection="1">
      <alignment horizontal="left" vertical="top" wrapText="1"/>
    </xf>
    <xf numFmtId="3" fontId="5" fillId="20" borderId="58" xfId="0" applyNumberFormat="1" applyFont="1" applyFill="1" applyBorder="1" applyAlignment="1" applyProtection="1">
      <alignment vertical="top" wrapText="1"/>
    </xf>
    <xf numFmtId="3" fontId="8" fillId="20" borderId="125" xfId="0" applyNumberFormat="1" applyFont="1" applyFill="1" applyBorder="1" applyProtection="1"/>
    <xf numFmtId="3" fontId="5" fillId="20" borderId="58" xfId="0" applyNumberFormat="1" applyFont="1" applyFill="1" applyBorder="1" applyProtection="1"/>
    <xf numFmtId="3" fontId="8" fillId="20" borderId="58" xfId="0" applyNumberFormat="1" applyFont="1" applyFill="1" applyBorder="1" applyProtection="1"/>
    <xf numFmtId="0" fontId="8" fillId="20" borderId="125" xfId="0" applyFont="1" applyFill="1" applyBorder="1" applyProtection="1"/>
    <xf numFmtId="0" fontId="8" fillId="20" borderId="114" xfId="0" applyFont="1" applyFill="1" applyBorder="1" applyProtection="1"/>
    <xf numFmtId="0" fontId="11" fillId="20" borderId="168" xfId="0" applyFont="1" applyFill="1" applyBorder="1" applyProtection="1"/>
    <xf numFmtId="49" fontId="11" fillId="20" borderId="133" xfId="0" applyNumberFormat="1" applyFont="1" applyFill="1" applyBorder="1" applyProtection="1"/>
    <xf numFmtId="49" fontId="11" fillId="20" borderId="169" xfId="0" applyNumberFormat="1" applyFont="1" applyFill="1" applyBorder="1" applyProtection="1"/>
    <xf numFmtId="49" fontId="11" fillId="20" borderId="21" xfId="0" applyNumberFormat="1" applyFont="1" applyFill="1" applyBorder="1" applyProtection="1"/>
    <xf numFmtId="49" fontId="11" fillId="20" borderId="115" xfId="0" applyNumberFormat="1" applyFont="1" applyFill="1" applyBorder="1" applyProtection="1"/>
    <xf numFmtId="3" fontId="13" fillId="20" borderId="23" xfId="0" applyNumberFormat="1" applyFont="1" applyFill="1" applyBorder="1" applyAlignment="1" applyProtection="1">
      <alignment horizontal="right"/>
    </xf>
    <xf numFmtId="3" fontId="13" fillId="20" borderId="101" xfId="0" applyNumberFormat="1" applyFont="1" applyFill="1" applyBorder="1" applyAlignment="1" applyProtection="1">
      <alignment horizontal="right"/>
    </xf>
    <xf numFmtId="3" fontId="13" fillId="20" borderId="21" xfId="0" applyNumberFormat="1" applyFont="1" applyFill="1" applyBorder="1" applyAlignment="1" applyProtection="1">
      <alignment horizontal="right"/>
    </xf>
    <xf numFmtId="3" fontId="13" fillId="20" borderId="22" xfId="0" applyNumberFormat="1" applyFont="1" applyFill="1" applyBorder="1" applyAlignment="1" applyProtection="1">
      <alignment horizontal="right"/>
    </xf>
    <xf numFmtId="3" fontId="3" fillId="20" borderId="128" xfId="0" applyNumberFormat="1" applyFont="1" applyFill="1" applyBorder="1" applyAlignment="1" applyProtection="1">
      <alignment horizontal="left" vertical="top" wrapText="1"/>
    </xf>
    <xf numFmtId="3" fontId="3" fillId="20" borderId="73" xfId="0" applyNumberFormat="1" applyFont="1" applyFill="1" applyBorder="1" applyAlignment="1" applyProtection="1">
      <alignment horizontal="left" vertical="top" wrapText="1"/>
    </xf>
    <xf numFmtId="3" fontId="5" fillId="20" borderId="118" xfId="0" applyNumberFormat="1" applyFont="1" applyFill="1" applyBorder="1" applyAlignment="1" applyProtection="1">
      <alignment horizontal="left" vertical="top"/>
    </xf>
    <xf numFmtId="3" fontId="5" fillId="20" borderId="58" xfId="0" applyNumberFormat="1" applyFont="1" applyFill="1" applyBorder="1" applyAlignment="1" applyProtection="1">
      <alignment horizontal="left" vertical="top" wrapText="1"/>
    </xf>
    <xf numFmtId="0" fontId="8" fillId="20" borderId="58" xfId="0" applyFont="1" applyFill="1" applyBorder="1" applyProtection="1"/>
    <xf numFmtId="0" fontId="8" fillId="20" borderId="168" xfId="0" applyFont="1" applyFill="1" applyBorder="1" applyProtection="1"/>
    <xf numFmtId="49" fontId="11" fillId="20" borderId="170" xfId="0" applyNumberFormat="1" applyFont="1" applyFill="1" applyBorder="1" applyProtection="1"/>
    <xf numFmtId="49" fontId="11" fillId="20" borderId="171" xfId="0" applyNumberFormat="1" applyFont="1" applyFill="1" applyBorder="1" applyProtection="1"/>
    <xf numFmtId="49" fontId="11" fillId="20" borderId="28" xfId="0" applyNumberFormat="1" applyFont="1" applyFill="1" applyBorder="1" applyProtection="1"/>
    <xf numFmtId="49" fontId="11" fillId="20" borderId="106" xfId="0" applyNumberFormat="1" applyFont="1" applyFill="1" applyBorder="1" applyProtection="1"/>
    <xf numFmtId="3" fontId="13" fillId="20" borderId="30" xfId="0" applyNumberFormat="1" applyFont="1" applyFill="1" applyBorder="1" applyAlignment="1" applyProtection="1">
      <alignment horizontal="right"/>
    </xf>
    <xf numFmtId="3" fontId="13" fillId="20" borderId="31" xfId="0" applyNumberFormat="1" applyFont="1" applyFill="1" applyBorder="1" applyAlignment="1" applyProtection="1">
      <alignment horizontal="right"/>
    </xf>
    <xf numFmtId="3" fontId="13" fillId="20" borderId="47" xfId="0" applyNumberFormat="1" applyFont="1" applyFill="1" applyBorder="1" applyAlignment="1" applyProtection="1">
      <alignment horizontal="right"/>
    </xf>
    <xf numFmtId="3" fontId="13" fillId="20" borderId="118" xfId="0" applyNumberFormat="1" applyFont="1" applyFill="1" applyBorder="1" applyAlignment="1" applyProtection="1">
      <alignment horizontal="right"/>
    </xf>
    <xf numFmtId="3" fontId="13" fillId="20" borderId="28" xfId="0" applyNumberFormat="1" applyFont="1" applyFill="1" applyBorder="1" applyAlignment="1" applyProtection="1">
      <alignment horizontal="right"/>
    </xf>
    <xf numFmtId="3" fontId="13" fillId="20" borderId="106" xfId="0" applyNumberFormat="1" applyFont="1" applyFill="1" applyBorder="1" applyAlignment="1" applyProtection="1">
      <alignment horizontal="right"/>
    </xf>
    <xf numFmtId="3" fontId="13" fillId="20" borderId="29" xfId="0" applyNumberFormat="1" applyFont="1" applyFill="1" applyBorder="1" applyAlignment="1" applyProtection="1">
      <alignment horizontal="right"/>
    </xf>
    <xf numFmtId="3" fontId="13" fillId="20" borderId="32" xfId="0" applyNumberFormat="1" applyFont="1" applyFill="1" applyBorder="1" applyAlignment="1" applyProtection="1">
      <alignment horizontal="right"/>
    </xf>
    <xf numFmtId="0" fontId="8" fillId="20" borderId="152" xfId="0" applyFont="1" applyFill="1" applyBorder="1" applyAlignment="1" applyProtection="1">
      <alignment horizontal="left"/>
    </xf>
    <xf numFmtId="0" fontId="3" fillId="20" borderId="152" xfId="0" applyFont="1" applyFill="1" applyBorder="1" applyAlignment="1" applyProtection="1">
      <alignment horizontal="left"/>
    </xf>
    <xf numFmtId="0" fontId="8" fillId="20" borderId="15" xfId="0" applyFont="1" applyFill="1" applyBorder="1" applyAlignment="1" applyProtection="1">
      <alignment horizontal="left"/>
    </xf>
    <xf numFmtId="0" fontId="8" fillId="20" borderId="152" xfId="0" applyFont="1" applyFill="1" applyBorder="1" applyProtection="1"/>
    <xf numFmtId="0" fontId="8" fillId="20" borderId="152" xfId="0" applyFont="1" applyFill="1" applyBorder="1" applyAlignment="1" applyProtection="1">
      <alignment horizontal="center"/>
    </xf>
    <xf numFmtId="0" fontId="19" fillId="20" borderId="12" xfId="0" applyFont="1" applyFill="1" applyBorder="1" applyProtection="1"/>
    <xf numFmtId="0" fontId="19" fillId="20" borderId="43" xfId="0" applyFont="1" applyFill="1" applyBorder="1" applyProtection="1"/>
    <xf numFmtId="0" fontId="4" fillId="20" borderId="43" xfId="0" applyFont="1" applyFill="1" applyBorder="1" applyProtection="1"/>
    <xf numFmtId="0" fontId="4" fillId="20" borderId="172" xfId="0" applyFont="1" applyFill="1" applyBorder="1" applyProtection="1"/>
    <xf numFmtId="0" fontId="22" fillId="20" borderId="152" xfId="0" applyFont="1" applyFill="1" applyBorder="1" applyProtection="1"/>
    <xf numFmtId="0" fontId="33" fillId="20" borderId="152" xfId="0" applyFont="1" applyFill="1" applyBorder="1" applyProtection="1"/>
    <xf numFmtId="0" fontId="33" fillId="20" borderId="44" xfId="0" applyFont="1" applyFill="1" applyBorder="1" applyProtection="1"/>
    <xf numFmtId="3" fontId="16" fillId="20" borderId="152" xfId="0" applyNumberFormat="1" applyFont="1" applyFill="1" applyBorder="1" applyProtection="1"/>
    <xf numFmtId="3" fontId="45" fillId="20" borderId="152" xfId="0" applyNumberFormat="1" applyFont="1" applyFill="1" applyBorder="1" applyProtection="1"/>
    <xf numFmtId="3" fontId="94" fillId="20" borderId="152" xfId="0" applyNumberFormat="1" applyFont="1" applyFill="1" applyBorder="1" applyProtection="1"/>
    <xf numFmtId="3" fontId="3" fillId="20" borderId="47" xfId="0" applyNumberFormat="1" applyFont="1" applyFill="1" applyBorder="1" applyAlignment="1" applyProtection="1">
      <alignment horizontal="left" vertical="top"/>
    </xf>
    <xf numFmtId="3" fontId="8" fillId="20" borderId="58" xfId="0" applyNumberFormat="1" applyFont="1" applyFill="1" applyBorder="1" applyAlignment="1" applyProtection="1">
      <alignment vertical="top" wrapText="1"/>
    </xf>
    <xf numFmtId="3" fontId="8" fillId="20" borderId="58" xfId="0" applyNumberFormat="1" applyFont="1" applyFill="1" applyBorder="1" applyAlignment="1" applyProtection="1">
      <alignment horizontal="left" wrapText="1"/>
    </xf>
    <xf numFmtId="168" fontId="42" fillId="20" borderId="173" xfId="0" applyNumberFormat="1" applyFont="1" applyFill="1" applyBorder="1" applyProtection="1"/>
    <xf numFmtId="3" fontId="33" fillId="20" borderId="168" xfId="0" applyNumberFormat="1" applyFont="1" applyFill="1" applyBorder="1" applyAlignment="1" applyProtection="1">
      <alignment wrapText="1"/>
    </xf>
    <xf numFmtId="3" fontId="42" fillId="20" borderId="155" xfId="0" applyNumberFormat="1" applyFont="1" applyFill="1" applyBorder="1" applyProtection="1"/>
    <xf numFmtId="0" fontId="35" fillId="20" borderId="0" xfId="0" applyFont="1" applyFill="1" applyBorder="1" applyProtection="1"/>
    <xf numFmtId="3" fontId="46" fillId="20" borderId="58" xfId="0" applyNumberFormat="1" applyFont="1" applyFill="1" applyBorder="1" applyProtection="1"/>
    <xf numFmtId="3" fontId="43" fillId="20" borderId="155" xfId="0" applyNumberFormat="1" applyFont="1" applyFill="1" applyBorder="1" applyProtection="1"/>
    <xf numFmtId="3" fontId="46" fillId="20" borderId="70" xfId="0" applyNumberFormat="1" applyFont="1" applyFill="1" applyBorder="1" applyProtection="1"/>
    <xf numFmtId="3" fontId="35" fillId="20" borderId="58" xfId="6" quotePrefix="1" applyNumberFormat="1" applyFont="1" applyFill="1" applyBorder="1" applyAlignment="1" applyProtection="1">
      <alignment horizontal="left"/>
    </xf>
    <xf numFmtId="3" fontId="44" fillId="20" borderId="152" xfId="0" applyNumberFormat="1" applyFont="1" applyFill="1" applyBorder="1" applyProtection="1"/>
    <xf numFmtId="3" fontId="46" fillId="20" borderId="58" xfId="10" applyNumberFormat="1" applyFont="1" applyFill="1" applyBorder="1" applyAlignment="1" applyProtection="1">
      <alignment horizontal="center"/>
    </xf>
    <xf numFmtId="3" fontId="48" fillId="20" borderId="152" xfId="0" applyNumberFormat="1" applyFont="1" applyFill="1" applyBorder="1" applyProtection="1"/>
    <xf numFmtId="3" fontId="46" fillId="20" borderId="106" xfId="13" applyNumberFormat="1" applyFont="1" applyFill="1" applyBorder="1" applyAlignment="1" applyProtection="1">
      <alignment horizontal="center"/>
    </xf>
    <xf numFmtId="3" fontId="46" fillId="20" borderId="4" xfId="0" applyNumberFormat="1" applyFont="1" applyFill="1" applyBorder="1" applyProtection="1"/>
    <xf numFmtId="3" fontId="46" fillId="20" borderId="3" xfId="0" applyNumberFormat="1" applyFont="1" applyFill="1" applyBorder="1" applyProtection="1"/>
    <xf numFmtId="3" fontId="46" fillId="20" borderId="84" xfId="0" applyNumberFormat="1" applyFont="1" applyFill="1" applyBorder="1" applyProtection="1"/>
    <xf numFmtId="3" fontId="44" fillId="20" borderId="94" xfId="0" applyNumberFormat="1" applyFont="1" applyFill="1" applyBorder="1" applyProtection="1"/>
    <xf numFmtId="3" fontId="45" fillId="20" borderId="153" xfId="0" applyNumberFormat="1" applyFont="1" applyFill="1" applyBorder="1" applyProtection="1"/>
    <xf numFmtId="3" fontId="94" fillId="20" borderId="153" xfId="0" applyNumberFormat="1" applyFont="1" applyFill="1" applyBorder="1" applyProtection="1"/>
    <xf numFmtId="3" fontId="13" fillId="25" borderId="106" xfId="0" applyNumberFormat="1" applyFont="1" applyFill="1" applyBorder="1" applyAlignment="1" applyProtection="1">
      <alignment horizontal="right"/>
    </xf>
    <xf numFmtId="0" fontId="23" fillId="20" borderId="104" xfId="0" applyFont="1" applyFill="1" applyBorder="1" applyProtection="1"/>
    <xf numFmtId="0" fontId="23" fillId="20" borderId="99" xfId="0" applyFont="1" applyFill="1" applyBorder="1" applyProtection="1"/>
    <xf numFmtId="0" fontId="23" fillId="20" borderId="119" xfId="0" applyFont="1" applyFill="1" applyBorder="1" applyProtection="1"/>
    <xf numFmtId="0" fontId="23" fillId="20" borderId="120" xfId="0" applyFont="1" applyFill="1" applyBorder="1" applyProtection="1"/>
    <xf numFmtId="0" fontId="23" fillId="20" borderId="3" xfId="0" applyFont="1" applyFill="1" applyBorder="1" applyProtection="1"/>
    <xf numFmtId="0" fontId="23" fillId="20" borderId="69" xfId="0" applyFont="1" applyFill="1" applyBorder="1" applyProtection="1"/>
    <xf numFmtId="0" fontId="23" fillId="20" borderId="84" xfId="0" applyFont="1" applyFill="1" applyBorder="1" applyProtection="1"/>
    <xf numFmtId="0" fontId="23" fillId="20" borderId="52" xfId="0" applyFont="1" applyFill="1" applyBorder="1" applyProtection="1"/>
    <xf numFmtId="3" fontId="79" fillId="20" borderId="58" xfId="10" applyNumberFormat="1" applyFont="1" applyFill="1" applyBorder="1" applyAlignment="1" applyProtection="1">
      <alignment horizontal="center"/>
    </xf>
    <xf numFmtId="3" fontId="2" fillId="20" borderId="15" xfId="0" applyNumberFormat="1" applyFont="1" applyFill="1" applyBorder="1" applyProtection="1"/>
    <xf numFmtId="3" fontId="108" fillId="20" borderId="106" xfId="13" applyNumberFormat="1" applyFont="1" applyFill="1" applyBorder="1" applyAlignment="1" applyProtection="1">
      <alignment horizontal="center"/>
    </xf>
    <xf numFmtId="3" fontId="46" fillId="20" borderId="1" xfId="0" applyNumberFormat="1" applyFont="1" applyFill="1" applyBorder="1" applyProtection="1"/>
    <xf numFmtId="3" fontId="46" fillId="20" borderId="152" xfId="0" applyNumberFormat="1" applyFont="1" applyFill="1" applyBorder="1" applyProtection="1"/>
    <xf numFmtId="3" fontId="103" fillId="20" borderId="3" xfId="0" applyNumberFormat="1" applyFont="1" applyFill="1" applyBorder="1" applyProtection="1"/>
    <xf numFmtId="3" fontId="103" fillId="20" borderId="4" xfId="0" applyNumberFormat="1" applyFont="1" applyFill="1" applyBorder="1" applyProtection="1"/>
    <xf numFmtId="9" fontId="103" fillId="20" borderId="5" xfId="0" applyNumberFormat="1" applyFont="1" applyFill="1" applyBorder="1" applyProtection="1"/>
    <xf numFmtId="3" fontId="46" fillId="20" borderId="7" xfId="0" applyNumberFormat="1" applyFont="1" applyFill="1" applyBorder="1" applyProtection="1"/>
    <xf numFmtId="3" fontId="2" fillId="21" borderId="28" xfId="0" applyNumberFormat="1" applyFont="1" applyFill="1" applyBorder="1" applyAlignment="1" applyProtection="1">
      <alignment horizontal="right"/>
    </xf>
    <xf numFmtId="3" fontId="108" fillId="20" borderId="58" xfId="10" applyNumberFormat="1" applyFont="1" applyFill="1" applyBorder="1" applyAlignment="1" applyProtection="1">
      <alignment horizontal="center"/>
    </xf>
    <xf numFmtId="3" fontId="16" fillId="20" borderId="152" xfId="0" applyNumberFormat="1" applyFont="1" applyFill="1" applyBorder="1" applyAlignment="1" applyProtection="1"/>
    <xf numFmtId="3" fontId="45" fillId="20" borderId="3" xfId="0" applyNumberFormat="1" applyFont="1" applyFill="1" applyBorder="1" applyProtection="1"/>
    <xf numFmtId="3" fontId="45" fillId="20" borderId="84" xfId="0" applyNumberFormat="1" applyFont="1" applyFill="1" applyBorder="1" applyProtection="1"/>
    <xf numFmtId="3" fontId="94" fillId="20" borderId="84" xfId="0" applyNumberFormat="1" applyFont="1" applyFill="1" applyBorder="1" applyProtection="1"/>
    <xf numFmtId="3" fontId="49" fillId="20" borderId="1" xfId="0" applyNumberFormat="1" applyFont="1" applyFill="1" applyBorder="1" applyAlignment="1" applyProtection="1">
      <alignment horizontal="right"/>
    </xf>
    <xf numFmtId="3" fontId="46" fillId="20" borderId="94" xfId="0" applyNumberFormat="1" applyFont="1" applyFill="1" applyBorder="1" applyProtection="1"/>
    <xf numFmtId="3" fontId="46" fillId="20" borderId="153" xfId="0" applyNumberFormat="1" applyFont="1" applyFill="1" applyBorder="1" applyProtection="1"/>
    <xf numFmtId="3" fontId="46" fillId="20" borderId="106" xfId="10" applyNumberFormat="1" applyFont="1" applyFill="1" applyBorder="1" applyAlignment="1" applyProtection="1">
      <alignment horizontal="center"/>
    </xf>
    <xf numFmtId="3" fontId="111" fillId="20" borderId="3" xfId="0" applyNumberFormat="1" applyFont="1" applyFill="1" applyBorder="1" applyProtection="1"/>
    <xf numFmtId="3" fontId="111" fillId="20" borderId="84" xfId="0" applyNumberFormat="1" applyFont="1" applyFill="1" applyBorder="1" applyProtection="1"/>
    <xf numFmtId="3" fontId="110" fillId="20" borderId="58" xfId="10" applyNumberFormat="1" applyFont="1" applyFill="1" applyBorder="1" applyAlignment="1" applyProtection="1">
      <alignment horizontal="center"/>
    </xf>
    <xf numFmtId="3" fontId="50" fillId="20" borderId="3" xfId="0" applyNumberFormat="1" applyFont="1" applyFill="1" applyBorder="1" applyProtection="1"/>
    <xf numFmtId="3" fontId="46" fillId="20" borderId="175" xfId="10" applyNumberFormat="1" applyFont="1" applyFill="1" applyBorder="1" applyAlignment="1" applyProtection="1">
      <alignment horizontal="center"/>
    </xf>
    <xf numFmtId="0" fontId="1" fillId="20" borderId="126" xfId="0" applyFont="1" applyFill="1" applyBorder="1" applyProtection="1"/>
    <xf numFmtId="3" fontId="50" fillId="20" borderId="176" xfId="0" applyNumberFormat="1" applyFont="1" applyFill="1" applyBorder="1" applyProtection="1"/>
    <xf numFmtId="3" fontId="45" fillId="20" borderId="70" xfId="0" applyNumberFormat="1" applyFont="1" applyFill="1" applyBorder="1" applyProtection="1"/>
    <xf numFmtId="3" fontId="94" fillId="20" borderId="70" xfId="0" applyNumberFormat="1" applyFont="1" applyFill="1" applyBorder="1" applyProtection="1"/>
    <xf numFmtId="3" fontId="45" fillId="20" borderId="94" xfId="0" applyNumberFormat="1" applyFont="1" applyFill="1" applyBorder="1" applyProtection="1"/>
    <xf numFmtId="3" fontId="45" fillId="20" borderId="177" xfId="0" applyNumberFormat="1" applyFont="1" applyFill="1" applyBorder="1" applyProtection="1"/>
    <xf numFmtId="3" fontId="45" fillId="20" borderId="40" xfId="0" applyNumberFormat="1" applyFont="1" applyFill="1" applyBorder="1" applyProtection="1"/>
    <xf numFmtId="3" fontId="94" fillId="20" borderId="40" xfId="0" applyNumberFormat="1" applyFont="1" applyFill="1" applyBorder="1" applyProtection="1"/>
    <xf numFmtId="3" fontId="46" fillId="20" borderId="178" xfId="0" applyNumberFormat="1" applyFont="1" applyFill="1" applyBorder="1" applyProtection="1"/>
    <xf numFmtId="3" fontId="3" fillId="20" borderId="30" xfId="0" applyNumberFormat="1" applyFont="1" applyFill="1" applyBorder="1" applyAlignment="1" applyProtection="1">
      <alignment horizontal="center"/>
    </xf>
    <xf numFmtId="3" fontId="3" fillId="20" borderId="49" xfId="0" applyNumberFormat="1" applyFont="1" applyFill="1" applyBorder="1" applyAlignment="1" applyProtection="1"/>
    <xf numFmtId="3" fontId="8" fillId="20" borderId="48" xfId="0" applyNumberFormat="1" applyFont="1" applyFill="1" applyBorder="1" applyAlignment="1" applyProtection="1">
      <alignment horizontal="left" vertical="top" wrapText="1"/>
    </xf>
    <xf numFmtId="3" fontId="8" fillId="20" borderId="161" xfId="0" applyNumberFormat="1" applyFont="1" applyFill="1" applyBorder="1" applyAlignment="1" applyProtection="1">
      <alignment horizontal="left" vertical="top" wrapText="1"/>
    </xf>
    <xf numFmtId="3" fontId="3" fillId="20" borderId="179" xfId="0" applyNumberFormat="1" applyFont="1" applyFill="1" applyBorder="1" applyAlignment="1" applyProtection="1">
      <alignment horizontal="center"/>
    </xf>
    <xf numFmtId="3" fontId="3" fillId="20" borderId="29" xfId="0" applyNumberFormat="1" applyFont="1" applyFill="1" applyBorder="1" applyAlignment="1" applyProtection="1">
      <alignment horizontal="center"/>
    </xf>
    <xf numFmtId="3" fontId="3" fillId="20" borderId="180" xfId="0" applyNumberFormat="1" applyFont="1" applyFill="1" applyBorder="1" applyAlignment="1" applyProtection="1"/>
    <xf numFmtId="3" fontId="8" fillId="20" borderId="181" xfId="0" applyNumberFormat="1" applyFont="1" applyFill="1" applyBorder="1" applyAlignment="1" applyProtection="1"/>
    <xf numFmtId="3" fontId="8" fillId="20" borderId="182" xfId="0" applyNumberFormat="1" applyFont="1" applyFill="1" applyBorder="1" applyAlignment="1" applyProtection="1"/>
    <xf numFmtId="3" fontId="3" fillId="20" borderId="45" xfId="0" applyNumberFormat="1" applyFont="1" applyFill="1" applyBorder="1" applyAlignment="1" applyProtection="1">
      <alignment horizontal="center"/>
    </xf>
    <xf numFmtId="3" fontId="5" fillId="20" borderId="81" xfId="0" applyNumberFormat="1" applyFont="1" applyFill="1" applyBorder="1" applyAlignment="1" applyProtection="1"/>
    <xf numFmtId="3" fontId="8" fillId="20" borderId="82" xfId="0" applyNumberFormat="1" applyFont="1" applyFill="1" applyBorder="1" applyAlignment="1" applyProtection="1"/>
    <xf numFmtId="3" fontId="8" fillId="20" borderId="183" xfId="0" applyNumberFormat="1" applyFont="1" applyFill="1" applyBorder="1" applyAlignment="1" applyProtection="1"/>
    <xf numFmtId="3" fontId="3" fillId="20" borderId="184" xfId="0" applyNumberFormat="1" applyFont="1" applyFill="1" applyBorder="1" applyAlignment="1" applyProtection="1">
      <alignment vertical="center"/>
    </xf>
    <xf numFmtId="3" fontId="8" fillId="20" borderId="184" xfId="0" applyNumberFormat="1" applyFont="1" applyFill="1" applyBorder="1" applyProtection="1"/>
    <xf numFmtId="3" fontId="3" fillId="20" borderId="121" xfId="0" applyNumberFormat="1" applyFont="1" applyFill="1" applyBorder="1" applyAlignment="1" applyProtection="1">
      <alignment vertical="center"/>
    </xf>
    <xf numFmtId="3" fontId="8" fillId="20" borderId="79" xfId="0" applyNumberFormat="1" applyFont="1" applyFill="1" applyBorder="1" applyProtection="1"/>
    <xf numFmtId="3" fontId="8" fillId="20" borderId="95" xfId="0" applyNumberFormat="1" applyFont="1" applyFill="1" applyBorder="1" applyProtection="1"/>
    <xf numFmtId="3" fontId="3" fillId="20" borderId="185" xfId="0" applyNumberFormat="1" applyFont="1" applyFill="1" applyBorder="1" applyAlignment="1" applyProtection="1"/>
    <xf numFmtId="3" fontId="8" fillId="20" borderId="54" xfId="0" applyNumberFormat="1" applyFont="1" applyFill="1" applyBorder="1" applyAlignment="1" applyProtection="1"/>
    <xf numFmtId="3" fontId="8" fillId="20" borderId="44" xfId="0" applyNumberFormat="1" applyFont="1" applyFill="1" applyBorder="1" applyAlignment="1" applyProtection="1"/>
    <xf numFmtId="3" fontId="3" fillId="20" borderId="121" xfId="0" applyNumberFormat="1" applyFont="1" applyFill="1" applyBorder="1" applyProtection="1"/>
    <xf numFmtId="3" fontId="8" fillId="20" borderId="121" xfId="0" applyNumberFormat="1" applyFont="1" applyFill="1" applyBorder="1" applyProtection="1"/>
    <xf numFmtId="3" fontId="8" fillId="20" borderId="82" xfId="0" applyNumberFormat="1" applyFont="1" applyFill="1" applyBorder="1" applyProtection="1"/>
    <xf numFmtId="3" fontId="8" fillId="20" borderId="183" xfId="0" applyNumberFormat="1" applyFont="1" applyFill="1" applyBorder="1" applyProtection="1"/>
    <xf numFmtId="0" fontId="3" fillId="20" borderId="186" xfId="0" applyFont="1" applyFill="1" applyBorder="1" applyAlignment="1" applyProtection="1">
      <alignment vertical="top" wrapText="1"/>
    </xf>
    <xf numFmtId="0" fontId="3" fillId="20" borderId="133" xfId="0" applyFont="1" applyFill="1" applyBorder="1" applyAlignment="1" applyProtection="1">
      <alignment horizontal="left" vertical="top" wrapText="1"/>
    </xf>
    <xf numFmtId="0" fontId="3" fillId="20" borderId="111" xfId="0" applyFont="1" applyFill="1" applyBorder="1" applyAlignment="1" applyProtection="1">
      <alignment horizontal="left" vertical="top" wrapText="1"/>
    </xf>
    <xf numFmtId="0" fontId="3" fillId="20" borderId="85" xfId="0" applyFont="1" applyFill="1" applyBorder="1" applyAlignment="1" applyProtection="1">
      <alignment horizontal="left" vertical="top" wrapText="1"/>
    </xf>
    <xf numFmtId="0" fontId="3" fillId="20" borderId="186" xfId="0" applyFont="1" applyFill="1" applyBorder="1" applyAlignment="1" applyProtection="1">
      <alignment horizontal="left" vertical="top" wrapText="1"/>
    </xf>
    <xf numFmtId="0" fontId="3" fillId="20" borderId="60" xfId="0" applyFont="1" applyFill="1" applyBorder="1" applyProtection="1"/>
    <xf numFmtId="0" fontId="7" fillId="20" borderId="64" xfId="0" applyFont="1" applyFill="1" applyBorder="1" applyProtection="1"/>
    <xf numFmtId="0" fontId="3" fillId="20" borderId="44" xfId="0" applyFont="1" applyFill="1" applyBorder="1" applyProtection="1"/>
    <xf numFmtId="0" fontId="3" fillId="20" borderId="165" xfId="0" applyFont="1" applyFill="1" applyBorder="1" applyAlignment="1" applyProtection="1">
      <alignment horizontal="left" vertical="top" wrapText="1"/>
    </xf>
    <xf numFmtId="0" fontId="3" fillId="20" borderId="125" xfId="0" applyFont="1" applyFill="1" applyBorder="1" applyProtection="1"/>
    <xf numFmtId="0" fontId="5" fillId="20" borderId="125" xfId="0" applyFont="1" applyFill="1" applyBorder="1" applyProtection="1"/>
    <xf numFmtId="0" fontId="3" fillId="20" borderId="16" xfId="0" applyFont="1" applyFill="1" applyBorder="1" applyProtection="1"/>
    <xf numFmtId="0" fontId="3" fillId="20" borderId="132" xfId="0" applyFont="1" applyFill="1" applyBorder="1" applyProtection="1"/>
    <xf numFmtId="0" fontId="3" fillId="20" borderId="68" xfId="0" applyFont="1" applyFill="1" applyBorder="1" applyProtection="1"/>
    <xf numFmtId="0" fontId="3" fillId="20" borderId="72" xfId="0" applyFont="1" applyFill="1" applyBorder="1" applyProtection="1"/>
    <xf numFmtId="0" fontId="3" fillId="20" borderId="142" xfId="0" applyFont="1" applyFill="1" applyBorder="1" applyProtection="1"/>
    <xf numFmtId="0" fontId="3" fillId="20" borderId="112" xfId="0" applyFont="1" applyFill="1" applyBorder="1" applyProtection="1"/>
    <xf numFmtId="0" fontId="47" fillId="20" borderId="187" xfId="0" applyFont="1" applyFill="1" applyBorder="1" applyProtection="1"/>
    <xf numFmtId="0" fontId="5" fillId="20" borderId="16" xfId="0" applyFont="1" applyFill="1" applyBorder="1" applyProtection="1"/>
    <xf numFmtId="49" fontId="7" fillId="20" borderId="125" xfId="0" applyNumberFormat="1" applyFont="1" applyFill="1" applyBorder="1" applyAlignment="1" applyProtection="1">
      <alignment horizontal="left"/>
    </xf>
    <xf numFmtId="3" fontId="36" fillId="20" borderId="15" xfId="0" applyNumberFormat="1" applyFont="1" applyFill="1" applyBorder="1" applyAlignment="1" applyProtection="1"/>
    <xf numFmtId="3" fontId="36" fillId="20" borderId="55" xfId="0" applyNumberFormat="1" applyFont="1" applyFill="1" applyBorder="1" applyAlignment="1" applyProtection="1"/>
    <xf numFmtId="49" fontId="5" fillId="20" borderId="152" xfId="0" applyNumberFormat="1" applyFont="1" applyFill="1" applyBorder="1" applyAlignment="1" applyProtection="1"/>
    <xf numFmtId="49" fontId="5" fillId="20" borderId="0" xfId="0" applyNumberFormat="1" applyFont="1" applyFill="1" applyBorder="1" applyAlignment="1" applyProtection="1"/>
    <xf numFmtId="49" fontId="5" fillId="20" borderId="123" xfId="0" applyNumberFormat="1" applyFont="1" applyFill="1" applyBorder="1" applyAlignment="1" applyProtection="1"/>
    <xf numFmtId="49" fontId="5" fillId="20" borderId="27" xfId="0" applyNumberFormat="1" applyFont="1" applyFill="1" applyBorder="1" applyAlignment="1" applyProtection="1"/>
    <xf numFmtId="3" fontId="2" fillId="20" borderId="15" xfId="0" applyNumberFormat="1" applyFont="1" applyFill="1" applyBorder="1" applyAlignment="1" applyProtection="1">
      <alignment horizontal="right"/>
    </xf>
    <xf numFmtId="3" fontId="10" fillId="20" borderId="15" xfId="0" applyNumberFormat="1" applyFont="1" applyFill="1" applyBorder="1" applyProtection="1"/>
    <xf numFmtId="3" fontId="10" fillId="20" borderId="55" xfId="0" applyNumberFormat="1" applyFont="1" applyFill="1" applyBorder="1" applyProtection="1"/>
    <xf numFmtId="3" fontId="10" fillId="20" borderId="0" xfId="0" applyNumberFormat="1" applyFont="1" applyFill="1" applyBorder="1" applyProtection="1"/>
    <xf numFmtId="49" fontId="3" fillId="20" borderId="40" xfId="0" applyNumberFormat="1" applyFont="1" applyFill="1" applyBorder="1" applyAlignment="1" applyProtection="1"/>
    <xf numFmtId="49" fontId="5" fillId="20" borderId="10" xfId="0" applyNumberFormat="1" applyFont="1" applyFill="1" applyBorder="1" applyAlignment="1" applyProtection="1"/>
    <xf numFmtId="3" fontId="36" fillId="20" borderId="60" xfId="0" applyNumberFormat="1" applyFont="1" applyFill="1" applyBorder="1" applyAlignment="1" applyProtection="1"/>
    <xf numFmtId="49" fontId="5" fillId="20" borderId="56" xfId="0" applyNumberFormat="1" applyFont="1" applyFill="1" applyBorder="1" applyAlignment="1" applyProtection="1"/>
    <xf numFmtId="3" fontId="36" fillId="20" borderId="0" xfId="0" applyNumberFormat="1" applyFont="1" applyFill="1" applyBorder="1" applyAlignment="1" applyProtection="1"/>
    <xf numFmtId="3" fontId="2" fillId="20" borderId="72" xfId="0" applyNumberFormat="1" applyFont="1" applyFill="1" applyBorder="1" applyAlignment="1" applyProtection="1">
      <alignment horizontal="right"/>
    </xf>
    <xf numFmtId="49" fontId="5" fillId="20" borderId="40" xfId="0" applyNumberFormat="1" applyFont="1" applyFill="1" applyBorder="1" applyAlignment="1" applyProtection="1"/>
    <xf numFmtId="3" fontId="36" fillId="20" borderId="56" xfId="0" applyNumberFormat="1" applyFont="1" applyFill="1" applyBorder="1" applyAlignment="1" applyProtection="1"/>
    <xf numFmtId="49" fontId="5" fillId="20" borderId="177" xfId="0" applyNumberFormat="1" applyFont="1" applyFill="1" applyBorder="1" applyAlignment="1" applyProtection="1"/>
    <xf numFmtId="49" fontId="5" fillId="20" borderId="59" xfId="0" applyNumberFormat="1" applyFont="1" applyFill="1" applyBorder="1" applyAlignment="1" applyProtection="1"/>
    <xf numFmtId="3" fontId="36" fillId="20" borderId="15" xfId="0" applyNumberFormat="1" applyFont="1" applyFill="1" applyBorder="1" applyProtection="1"/>
    <xf numFmtId="49" fontId="5" fillId="20" borderId="70" xfId="0" applyNumberFormat="1" applyFont="1" applyFill="1" applyBorder="1" applyAlignment="1" applyProtection="1"/>
    <xf numFmtId="3" fontId="2" fillId="26" borderId="17" xfId="0" applyNumberFormat="1" applyFont="1" applyFill="1" applyBorder="1" applyAlignment="1" applyProtection="1">
      <alignment horizontal="right"/>
    </xf>
    <xf numFmtId="49" fontId="3" fillId="20" borderId="132" xfId="0" applyNumberFormat="1" applyFont="1" applyFill="1" applyBorder="1" applyAlignment="1" applyProtection="1">
      <alignment horizontal="left"/>
    </xf>
    <xf numFmtId="0" fontId="5" fillId="20" borderId="68" xfId="0" applyFont="1" applyFill="1" applyBorder="1" applyProtection="1"/>
    <xf numFmtId="49" fontId="3" fillId="20" borderId="22" xfId="0" applyNumberFormat="1" applyFont="1" applyFill="1" applyBorder="1" applyAlignment="1" applyProtection="1">
      <alignment horizontal="left"/>
    </xf>
    <xf numFmtId="49" fontId="3" fillId="20" borderId="95" xfId="0" applyNumberFormat="1" applyFont="1" applyFill="1" applyBorder="1" applyProtection="1"/>
    <xf numFmtId="49" fontId="3" fillId="20" borderId="95" xfId="0" applyNumberFormat="1" applyFont="1" applyFill="1" applyBorder="1" applyAlignment="1" applyProtection="1">
      <alignment wrapText="1"/>
    </xf>
    <xf numFmtId="49" fontId="3" fillId="20" borderId="21" xfId="0" applyNumberFormat="1" applyFont="1" applyFill="1" applyBorder="1" applyAlignment="1" applyProtection="1">
      <alignment horizontal="left"/>
    </xf>
    <xf numFmtId="49" fontId="3" fillId="20" borderId="54" xfId="0" applyNumberFormat="1" applyFont="1" applyFill="1" applyBorder="1" applyAlignment="1" applyProtection="1">
      <alignment wrapText="1"/>
    </xf>
    <xf numFmtId="49" fontId="3" fillId="20" borderId="23" xfId="0" applyNumberFormat="1" applyFont="1" applyFill="1" applyBorder="1" applyAlignment="1" applyProtection="1">
      <alignment horizontal="left"/>
    </xf>
    <xf numFmtId="0" fontId="5" fillId="20" borderId="48" xfId="0" applyFont="1" applyFill="1" applyBorder="1" applyProtection="1"/>
    <xf numFmtId="49" fontId="3" fillId="20" borderId="80" xfId="0" applyNumberFormat="1" applyFont="1" applyFill="1" applyBorder="1" applyProtection="1"/>
    <xf numFmtId="49" fontId="3" fillId="20" borderId="80" xfId="0" applyNumberFormat="1" applyFont="1" applyFill="1" applyBorder="1" applyAlignment="1" applyProtection="1">
      <alignment wrapText="1"/>
    </xf>
    <xf numFmtId="49" fontId="3" fillId="20" borderId="69" xfId="0" applyNumberFormat="1" applyFont="1" applyFill="1" applyBorder="1" applyAlignment="1" applyProtection="1">
      <alignment wrapText="1"/>
    </xf>
    <xf numFmtId="0" fontId="5" fillId="20" borderId="161" xfId="0" applyFont="1" applyFill="1" applyBorder="1" applyProtection="1"/>
    <xf numFmtId="49" fontId="3" fillId="20" borderId="54" xfId="0" applyNumberFormat="1" applyFont="1" applyFill="1" applyBorder="1" applyProtection="1"/>
    <xf numFmtId="49" fontId="3" fillId="20" borderId="10" xfId="0" applyNumberFormat="1" applyFont="1" applyFill="1" applyBorder="1" applyAlignment="1" applyProtection="1">
      <alignment wrapText="1"/>
    </xf>
    <xf numFmtId="49" fontId="3" fillId="20" borderId="5" xfId="0" applyNumberFormat="1" applyFont="1" applyFill="1" applyBorder="1" applyAlignment="1" applyProtection="1">
      <alignment wrapText="1"/>
    </xf>
    <xf numFmtId="49" fontId="3" fillId="20" borderId="2" xfId="0" applyNumberFormat="1" applyFont="1" applyFill="1" applyBorder="1" applyAlignment="1" applyProtection="1">
      <alignment wrapText="1"/>
    </xf>
    <xf numFmtId="49" fontId="3" fillId="20" borderId="187" xfId="0" applyNumberFormat="1" applyFont="1" applyFill="1" applyBorder="1" applyAlignment="1" applyProtection="1">
      <alignment wrapText="1"/>
    </xf>
    <xf numFmtId="0" fontId="5" fillId="20" borderId="188" xfId="0" applyFont="1" applyFill="1" applyBorder="1" applyProtection="1"/>
    <xf numFmtId="49" fontId="3" fillId="20" borderId="11" xfId="0" applyNumberFormat="1" applyFont="1" applyFill="1" applyBorder="1" applyProtection="1"/>
    <xf numFmtId="49" fontId="3" fillId="20" borderId="53" xfId="0" applyNumberFormat="1" applyFont="1" applyFill="1" applyBorder="1" applyProtection="1"/>
    <xf numFmtId="49" fontId="3" fillId="20" borderId="53" xfId="0" applyNumberFormat="1" applyFont="1" applyFill="1" applyBorder="1" applyAlignment="1" applyProtection="1">
      <alignment wrapText="1"/>
    </xf>
    <xf numFmtId="49" fontId="3" fillId="20" borderId="5" xfId="12" applyNumberFormat="1" applyFont="1" applyFill="1" applyBorder="1" applyAlignment="1" applyProtection="1"/>
    <xf numFmtId="49" fontId="3" fillId="20" borderId="128" xfId="0" applyNumberFormat="1" applyFont="1" applyFill="1" applyBorder="1" applyAlignment="1" applyProtection="1">
      <alignment horizontal="left"/>
    </xf>
    <xf numFmtId="49" fontId="3" fillId="20" borderId="167" xfId="12" applyNumberFormat="1" applyFont="1" applyFill="1" applyBorder="1" applyAlignment="1" applyProtection="1"/>
    <xf numFmtId="49" fontId="3" fillId="20" borderId="125" xfId="0" applyNumberFormat="1" applyFont="1" applyFill="1" applyBorder="1" applyAlignment="1" applyProtection="1">
      <alignment horizontal="left"/>
    </xf>
    <xf numFmtId="49" fontId="3" fillId="20" borderId="55" xfId="12" applyNumberFormat="1" applyFont="1" applyFill="1" applyBorder="1" applyAlignment="1" applyProtection="1"/>
    <xf numFmtId="49" fontId="3" fillId="20" borderId="164" xfId="12" applyNumberFormat="1" applyFont="1" applyFill="1" applyBorder="1" applyAlignment="1" applyProtection="1"/>
    <xf numFmtId="49" fontId="3" fillId="20" borderId="187" xfId="12" applyNumberFormat="1" applyFont="1" applyFill="1" applyBorder="1" applyAlignment="1" applyProtection="1"/>
    <xf numFmtId="49" fontId="3" fillId="20" borderId="5" xfId="0" applyNumberFormat="1" applyFont="1" applyFill="1" applyBorder="1" applyProtection="1"/>
    <xf numFmtId="49" fontId="3" fillId="20" borderId="95" xfId="12" applyNumberFormat="1" applyFont="1" applyFill="1" applyBorder="1" applyAlignment="1" applyProtection="1"/>
    <xf numFmtId="49" fontId="3" fillId="20" borderId="24" xfId="0" applyNumberFormat="1" applyFont="1" applyFill="1" applyBorder="1" applyAlignment="1" applyProtection="1">
      <alignment horizontal="left"/>
    </xf>
    <xf numFmtId="49" fontId="3" fillId="20" borderId="76" xfId="12" applyNumberFormat="1" applyFont="1" applyFill="1" applyBorder="1" applyAlignment="1" applyProtection="1"/>
    <xf numFmtId="49" fontId="3" fillId="20" borderId="11" xfId="12" applyNumberFormat="1" applyFont="1" applyFill="1" applyBorder="1" applyAlignment="1" applyProtection="1"/>
    <xf numFmtId="0" fontId="3" fillId="20" borderId="0" xfId="0" applyFont="1" applyFill="1" applyBorder="1" applyAlignment="1" applyProtection="1">
      <alignment horizontal="center"/>
    </xf>
    <xf numFmtId="3" fontId="46" fillId="21" borderId="189" xfId="0" applyNumberFormat="1" applyFont="1" applyFill="1" applyBorder="1" applyProtection="1"/>
    <xf numFmtId="3" fontId="3" fillId="20" borderId="56" xfId="0" applyNumberFormat="1" applyFont="1" applyFill="1" applyBorder="1" applyProtection="1"/>
    <xf numFmtId="3" fontId="46" fillId="21" borderId="29" xfId="0" applyNumberFormat="1" applyFont="1" applyFill="1" applyBorder="1" applyProtection="1"/>
    <xf numFmtId="0" fontId="9" fillId="20" borderId="0" xfId="0" applyFont="1" applyFill="1" applyBorder="1" applyProtection="1"/>
    <xf numFmtId="0" fontId="2" fillId="20" borderId="40" xfId="0" applyFont="1" applyFill="1" applyBorder="1" applyProtection="1"/>
    <xf numFmtId="3" fontId="46" fillId="21" borderId="155" xfId="0" applyNumberFormat="1" applyFont="1" applyFill="1" applyBorder="1" applyProtection="1"/>
    <xf numFmtId="9" fontId="35" fillId="20" borderId="177" xfId="13" applyFont="1" applyFill="1" applyBorder="1" applyProtection="1"/>
    <xf numFmtId="3" fontId="46" fillId="21" borderId="30" xfId="0" applyNumberFormat="1" applyFont="1" applyFill="1" applyBorder="1" applyProtection="1"/>
    <xf numFmtId="3" fontId="46" fillId="21" borderId="28" xfId="0" applyNumberFormat="1" applyFont="1" applyFill="1" applyBorder="1" applyProtection="1"/>
    <xf numFmtId="0" fontId="3" fillId="20" borderId="57" xfId="0" applyFont="1" applyFill="1" applyBorder="1" applyProtection="1"/>
    <xf numFmtId="0" fontId="9" fillId="20" borderId="40" xfId="0" applyFont="1" applyFill="1" applyBorder="1" applyProtection="1"/>
    <xf numFmtId="3" fontId="46" fillId="21" borderId="190" xfId="0" applyNumberFormat="1" applyFont="1" applyFill="1" applyBorder="1" applyProtection="1"/>
    <xf numFmtId="3" fontId="3" fillId="20" borderId="59" xfId="0" applyNumberFormat="1" applyFont="1" applyFill="1" applyBorder="1" applyProtection="1"/>
    <xf numFmtId="0" fontId="35" fillId="20" borderId="191" xfId="0" applyFont="1" applyFill="1" applyBorder="1" applyProtection="1"/>
    <xf numFmtId="3" fontId="46" fillId="21" borderId="46" xfId="0" applyNumberFormat="1" applyFont="1" applyFill="1" applyBorder="1" applyProtection="1"/>
    <xf numFmtId="3" fontId="46" fillId="21" borderId="45" xfId="0" applyNumberFormat="1" applyFont="1" applyFill="1" applyBorder="1" applyProtection="1"/>
    <xf numFmtId="0" fontId="35" fillId="20" borderId="177" xfId="0" applyFont="1" applyFill="1" applyBorder="1" applyProtection="1"/>
    <xf numFmtId="3" fontId="46" fillId="21" borderId="47" xfId="0" applyNumberFormat="1" applyFont="1" applyFill="1" applyBorder="1" applyProtection="1"/>
    <xf numFmtId="0" fontId="2" fillId="20" borderId="0" xfId="0" applyFont="1" applyFill="1" applyBorder="1" applyProtection="1"/>
    <xf numFmtId="0" fontId="9" fillId="20" borderId="139" xfId="0" applyFont="1" applyFill="1" applyBorder="1" applyProtection="1"/>
    <xf numFmtId="0" fontId="2" fillId="20" borderId="66" xfId="0" applyFont="1" applyFill="1" applyBorder="1" applyProtection="1"/>
    <xf numFmtId="0" fontId="7" fillId="20" borderId="0" xfId="0" applyFont="1" applyFill="1" applyBorder="1" applyProtection="1"/>
    <xf numFmtId="0" fontId="7" fillId="20" borderId="0" xfId="0" applyFont="1" applyFill="1" applyBorder="1" applyAlignment="1" applyProtection="1">
      <alignment horizontal="left" vertical="top" wrapText="1"/>
    </xf>
    <xf numFmtId="0" fontId="2" fillId="20" borderId="0" xfId="0" applyFont="1" applyFill="1" applyBorder="1" applyAlignment="1" applyProtection="1">
      <alignment horizontal="left" vertical="top" wrapText="1"/>
    </xf>
    <xf numFmtId="3" fontId="46" fillId="20" borderId="46" xfId="0" applyNumberFormat="1" applyFont="1" applyFill="1" applyBorder="1" applyProtection="1"/>
    <xf numFmtId="3" fontId="46" fillId="20" borderId="45" xfId="0" applyNumberFormat="1" applyFont="1" applyFill="1" applyBorder="1" applyProtection="1"/>
    <xf numFmtId="0" fontId="9" fillId="20" borderId="27" xfId="0" applyFont="1" applyFill="1" applyBorder="1" applyProtection="1"/>
    <xf numFmtId="49" fontId="3" fillId="20" borderId="36" xfId="6" applyNumberFormat="1" applyFont="1" applyFill="1" applyBorder="1" applyAlignment="1" applyProtection="1">
      <alignment horizontal="left"/>
    </xf>
    <xf numFmtId="0" fontId="3" fillId="20" borderId="117" xfId="6" applyFont="1" applyFill="1" applyBorder="1" applyAlignment="1" applyProtection="1"/>
    <xf numFmtId="3" fontId="3" fillId="20" borderId="154" xfId="6" applyNumberFormat="1" applyFont="1" applyFill="1" applyBorder="1" applyProtection="1"/>
    <xf numFmtId="0" fontId="3" fillId="20" borderId="119" xfId="6" applyFont="1" applyFill="1" applyBorder="1" applyProtection="1"/>
    <xf numFmtId="49" fontId="3" fillId="20" borderId="57" xfId="6" applyNumberFormat="1" applyFont="1" applyFill="1" applyBorder="1" applyAlignment="1" applyProtection="1">
      <alignment horizontal="left" vertical="top"/>
    </xf>
    <xf numFmtId="0" fontId="3" fillId="20" borderId="15" xfId="6" applyFont="1" applyFill="1" applyBorder="1" applyProtection="1"/>
    <xf numFmtId="3" fontId="5" fillId="20" borderId="156" xfId="6" applyNumberFormat="1" applyFont="1" applyFill="1" applyBorder="1" applyProtection="1"/>
    <xf numFmtId="3" fontId="3" fillId="20" borderId="55" xfId="6" applyNumberFormat="1" applyFont="1" applyFill="1" applyBorder="1" applyProtection="1"/>
    <xf numFmtId="3" fontId="3" fillId="20" borderId="156" xfId="6" applyNumberFormat="1" applyFont="1" applyFill="1" applyBorder="1" applyProtection="1"/>
    <xf numFmtId="0" fontId="3" fillId="20" borderId="156" xfId="6" applyFont="1" applyFill="1" applyBorder="1" applyProtection="1"/>
    <xf numFmtId="49" fontId="3" fillId="20" borderId="57" xfId="6" applyNumberFormat="1" applyFont="1" applyFill="1" applyBorder="1" applyAlignment="1" applyProtection="1">
      <alignment horizontal="left"/>
    </xf>
    <xf numFmtId="0" fontId="3" fillId="20" borderId="55" xfId="6" applyFont="1" applyFill="1" applyBorder="1" applyProtection="1"/>
    <xf numFmtId="49" fontId="7" fillId="20" borderId="57" xfId="6" applyNumberFormat="1" applyFont="1" applyFill="1" applyBorder="1" applyAlignment="1" applyProtection="1">
      <alignment horizontal="left"/>
    </xf>
    <xf numFmtId="0" fontId="3" fillId="20" borderId="164" xfId="6" applyFont="1" applyFill="1" applyBorder="1" applyProtection="1"/>
    <xf numFmtId="0" fontId="3" fillId="20" borderId="55" xfId="6" applyFont="1" applyFill="1" applyBorder="1" applyAlignment="1" applyProtection="1">
      <alignment horizontal="left"/>
    </xf>
    <xf numFmtId="0" fontId="3" fillId="20" borderId="156" xfId="6" applyFont="1" applyFill="1" applyBorder="1" applyAlignment="1" applyProtection="1">
      <alignment horizontal="left"/>
    </xf>
    <xf numFmtId="0" fontId="5" fillId="20" borderId="164" xfId="6" applyFont="1" applyFill="1" applyBorder="1" applyProtection="1"/>
    <xf numFmtId="1" fontId="3" fillId="20" borderId="55" xfId="6" applyNumberFormat="1" applyFont="1" applyFill="1" applyBorder="1" applyAlignment="1" applyProtection="1">
      <alignment horizontal="left"/>
    </xf>
    <xf numFmtId="49" fontId="5" fillId="20" borderId="57" xfId="6" applyNumberFormat="1" applyFont="1" applyFill="1" applyBorder="1" applyAlignment="1" applyProtection="1">
      <alignment horizontal="left"/>
    </xf>
    <xf numFmtId="0" fontId="7" fillId="20" borderId="192" xfId="6" applyFont="1" applyFill="1" applyBorder="1" applyProtection="1"/>
    <xf numFmtId="0" fontId="3" fillId="20" borderId="172" xfId="6" applyFont="1" applyFill="1" applyBorder="1" applyProtection="1"/>
    <xf numFmtId="168" fontId="42" fillId="20" borderId="142" xfId="6" applyNumberFormat="1" applyFont="1" applyFill="1" applyBorder="1" applyProtection="1"/>
    <xf numFmtId="168" fontId="42" fillId="20" borderId="192" xfId="6" applyNumberFormat="1" applyFont="1" applyFill="1" applyBorder="1" applyProtection="1"/>
    <xf numFmtId="0" fontId="5" fillId="20" borderId="35" xfId="6" applyFont="1" applyFill="1" applyBorder="1" applyAlignment="1" applyProtection="1">
      <alignment horizontal="left"/>
    </xf>
    <xf numFmtId="0" fontId="5" fillId="20" borderId="35" xfId="6" applyFont="1" applyFill="1" applyBorder="1" applyProtection="1"/>
    <xf numFmtId="0" fontId="3" fillId="20" borderId="1" xfId="6" applyFont="1" applyFill="1" applyBorder="1" applyAlignment="1" applyProtection="1">
      <alignment horizontal="left"/>
    </xf>
    <xf numFmtId="0" fontId="3" fillId="20" borderId="1" xfId="6" applyFont="1" applyFill="1" applyBorder="1" applyProtection="1"/>
    <xf numFmtId="0" fontId="3" fillId="20" borderId="4" xfId="6" applyFont="1" applyFill="1" applyBorder="1" applyProtection="1"/>
    <xf numFmtId="1" fontId="5" fillId="20" borderId="50" xfId="6" applyNumberFormat="1" applyFont="1" applyFill="1" applyBorder="1" applyAlignment="1" applyProtection="1">
      <alignment horizontal="left"/>
    </xf>
    <xf numFmtId="0" fontId="5" fillId="20" borderId="4" xfId="6" applyFont="1" applyFill="1" applyBorder="1" applyProtection="1"/>
    <xf numFmtId="1" fontId="3" fillId="20" borderId="39" xfId="6" applyNumberFormat="1" applyFont="1" applyFill="1" applyBorder="1" applyAlignment="1" applyProtection="1">
      <alignment horizontal="left"/>
    </xf>
    <xf numFmtId="0" fontId="35" fillId="20" borderId="25" xfId="6" applyFont="1" applyFill="1" applyBorder="1" applyProtection="1"/>
    <xf numFmtId="0" fontId="5" fillId="20" borderId="1" xfId="6" applyFont="1" applyFill="1" applyBorder="1" applyAlignment="1" applyProtection="1">
      <alignment horizontal="left"/>
    </xf>
    <xf numFmtId="0" fontId="5" fillId="20" borderId="1" xfId="6" applyFont="1" applyFill="1" applyBorder="1" applyAlignment="1" applyProtection="1">
      <alignment wrapText="1"/>
    </xf>
    <xf numFmtId="0" fontId="5" fillId="20" borderId="4" xfId="6" applyFont="1" applyFill="1" applyBorder="1" applyAlignment="1" applyProtection="1">
      <alignment wrapText="1"/>
    </xf>
    <xf numFmtId="1" fontId="3" fillId="20" borderId="39" xfId="6" applyNumberFormat="1" applyFont="1" applyFill="1" applyBorder="1" applyProtection="1"/>
    <xf numFmtId="0" fontId="60" fillId="20" borderId="25" xfId="6" applyFont="1" applyFill="1" applyBorder="1" applyProtection="1"/>
    <xf numFmtId="1" fontId="5" fillId="20" borderId="193" xfId="6" applyNumberFormat="1" applyFont="1" applyFill="1" applyBorder="1" applyAlignment="1" applyProtection="1">
      <alignment horizontal="left"/>
    </xf>
    <xf numFmtId="0" fontId="5" fillId="20" borderId="8" xfId="6" applyFont="1" applyFill="1" applyBorder="1" applyProtection="1"/>
    <xf numFmtId="1" fontId="3" fillId="20" borderId="50" xfId="6" applyNumberFormat="1" applyFont="1" applyFill="1" applyBorder="1" applyAlignment="1" applyProtection="1">
      <alignment horizontal="left"/>
    </xf>
    <xf numFmtId="49" fontId="3" fillId="20" borderId="4" xfId="6" applyNumberFormat="1" applyFont="1" applyFill="1" applyBorder="1" applyAlignment="1" applyProtection="1">
      <alignment horizontal="left"/>
    </xf>
    <xf numFmtId="0" fontId="3" fillId="20" borderId="5" xfId="6" applyFont="1" applyFill="1" applyBorder="1" applyAlignment="1" applyProtection="1">
      <alignment wrapText="1"/>
    </xf>
    <xf numFmtId="3" fontId="46" fillId="20" borderId="85" xfId="6" quotePrefix="1" applyNumberFormat="1" applyFont="1" applyFill="1" applyBorder="1" applyAlignment="1" applyProtection="1">
      <alignment horizontal="right"/>
    </xf>
    <xf numFmtId="0" fontId="3" fillId="20" borderId="117" xfId="6" applyFont="1" applyFill="1" applyBorder="1" applyProtection="1"/>
    <xf numFmtId="0" fontId="3" fillId="20" borderId="152" xfId="6" applyFont="1" applyFill="1" applyBorder="1" applyProtection="1"/>
    <xf numFmtId="1" fontId="5" fillId="20" borderId="194" xfId="6" applyNumberFormat="1" applyFont="1" applyFill="1" applyBorder="1" applyAlignment="1" applyProtection="1">
      <alignment horizontal="left"/>
    </xf>
    <xf numFmtId="0" fontId="5" fillId="20" borderId="163" xfId="6" applyFont="1" applyFill="1" applyBorder="1" applyProtection="1"/>
    <xf numFmtId="0" fontId="3" fillId="20" borderId="2" xfId="6" applyFont="1" applyFill="1" applyBorder="1" applyProtection="1"/>
    <xf numFmtId="0" fontId="3" fillId="20" borderId="5" xfId="6" applyFont="1" applyFill="1" applyBorder="1" applyProtection="1"/>
    <xf numFmtId="1" fontId="3" fillId="20" borderId="137" xfId="6" applyNumberFormat="1" applyFont="1" applyFill="1" applyBorder="1" applyAlignment="1" applyProtection="1">
      <alignment horizontal="left"/>
    </xf>
    <xf numFmtId="1" fontId="5" fillId="20" borderId="57" xfId="6" applyNumberFormat="1" applyFont="1" applyFill="1" applyBorder="1" applyAlignment="1" applyProtection="1">
      <alignment horizontal="left"/>
    </xf>
    <xf numFmtId="1" fontId="3" fillId="20" borderId="57" xfId="6" applyNumberFormat="1" applyFont="1" applyFill="1" applyBorder="1" applyAlignment="1" applyProtection="1">
      <alignment horizontal="left"/>
    </xf>
    <xf numFmtId="1" fontId="5" fillId="20" borderId="134" xfId="6" applyNumberFormat="1" applyFont="1" applyFill="1" applyBorder="1" applyAlignment="1" applyProtection="1">
      <alignment horizontal="left"/>
    </xf>
    <xf numFmtId="0" fontId="5" fillId="20" borderId="112" xfId="6" applyFont="1" applyFill="1" applyBorder="1" applyProtection="1"/>
    <xf numFmtId="0" fontId="3" fillId="20" borderId="76" xfId="6" applyFont="1" applyFill="1" applyBorder="1" applyProtection="1"/>
    <xf numFmtId="3" fontId="3" fillId="20" borderId="154" xfId="0" applyNumberFormat="1" applyFont="1" applyFill="1" applyBorder="1" applyProtection="1"/>
    <xf numFmtId="3" fontId="3" fillId="20" borderId="55" xfId="0" applyNumberFormat="1" applyFont="1" applyFill="1" applyBorder="1" applyProtection="1"/>
    <xf numFmtId="49" fontId="7" fillId="20" borderId="57" xfId="0" applyNumberFormat="1" applyFont="1" applyFill="1" applyBorder="1" applyAlignment="1" applyProtection="1">
      <alignment horizontal="left"/>
    </xf>
    <xf numFmtId="3" fontId="3" fillId="20" borderId="156" xfId="0" applyNumberFormat="1" applyFont="1" applyFill="1" applyBorder="1" applyProtection="1"/>
    <xf numFmtId="0" fontId="5" fillId="20" borderId="54" xfId="0" applyFont="1" applyFill="1" applyBorder="1" applyProtection="1"/>
    <xf numFmtId="0" fontId="3" fillId="20" borderId="117" xfId="0" applyFont="1" applyFill="1" applyBorder="1" applyProtection="1"/>
    <xf numFmtId="0" fontId="3" fillId="20" borderId="55" xfId="0" applyFont="1" applyFill="1" applyBorder="1" applyProtection="1"/>
    <xf numFmtId="0" fontId="3" fillId="20" borderId="164" xfId="0" applyFont="1" applyFill="1" applyBorder="1" applyProtection="1"/>
    <xf numFmtId="49" fontId="12" fillId="20" borderId="57" xfId="0" applyNumberFormat="1" applyFont="1" applyFill="1" applyBorder="1" applyAlignment="1" applyProtection="1">
      <alignment horizontal="left"/>
    </xf>
    <xf numFmtId="1" fontId="5" fillId="20" borderId="132" xfId="0" applyNumberFormat="1" applyFont="1" applyFill="1" applyBorder="1" applyAlignment="1" applyProtection="1">
      <alignment horizontal="left"/>
    </xf>
    <xf numFmtId="0" fontId="5" fillId="20" borderId="53" xfId="0" applyFont="1" applyFill="1" applyBorder="1" applyProtection="1"/>
    <xf numFmtId="1" fontId="3" fillId="20" borderId="22" xfId="0" applyNumberFormat="1" applyFont="1" applyFill="1" applyBorder="1" applyAlignment="1" applyProtection="1">
      <alignment horizontal="left"/>
    </xf>
    <xf numFmtId="1" fontId="5" fillId="20" borderId="22" xfId="0" applyNumberFormat="1" applyFont="1" applyFill="1" applyBorder="1" applyAlignment="1" applyProtection="1">
      <alignment horizontal="left"/>
    </xf>
    <xf numFmtId="1" fontId="3" fillId="20" borderId="24" xfId="0" applyNumberFormat="1" applyFont="1" applyFill="1" applyBorder="1" applyAlignment="1" applyProtection="1">
      <alignment horizontal="left"/>
    </xf>
    <xf numFmtId="0" fontId="60" fillId="20" borderId="195" xfId="0" applyFont="1" applyFill="1" applyBorder="1" applyProtection="1"/>
    <xf numFmtId="1" fontId="5" fillId="20" borderId="57" xfId="0" applyNumberFormat="1" applyFont="1" applyFill="1" applyBorder="1" applyAlignment="1" applyProtection="1">
      <alignment horizontal="left"/>
    </xf>
    <xf numFmtId="0" fontId="60" fillId="20" borderId="25" xfId="0" applyFont="1" applyFill="1" applyBorder="1" applyProtection="1"/>
    <xf numFmtId="1" fontId="5" fillId="20" borderId="127" xfId="0" applyNumberFormat="1" applyFont="1" applyFill="1" applyBorder="1" applyAlignment="1" applyProtection="1">
      <alignment horizontal="left"/>
    </xf>
    <xf numFmtId="1" fontId="5" fillId="20" borderId="128" xfId="0" applyNumberFormat="1" applyFont="1" applyFill="1" applyBorder="1" applyAlignment="1" applyProtection="1">
      <alignment horizontal="left"/>
    </xf>
    <xf numFmtId="0" fontId="35" fillId="20" borderId="25" xfId="0" applyFont="1" applyFill="1" applyBorder="1" applyProtection="1"/>
    <xf numFmtId="0" fontId="3" fillId="20" borderId="191" xfId="0" applyFont="1" applyFill="1" applyBorder="1" applyProtection="1"/>
    <xf numFmtId="3" fontId="5" fillId="20" borderId="99" xfId="0" applyNumberFormat="1" applyFont="1" applyFill="1" applyBorder="1" applyProtection="1"/>
    <xf numFmtId="0" fontId="3" fillId="20" borderId="154" xfId="0" applyFont="1" applyFill="1" applyBorder="1" applyProtection="1"/>
    <xf numFmtId="3" fontId="3" fillId="20" borderId="44" xfId="0" applyNumberFormat="1" applyFont="1" applyFill="1" applyBorder="1" applyProtection="1"/>
    <xf numFmtId="3" fontId="3" fillId="20" borderId="0" xfId="0" applyNumberFormat="1" applyFont="1" applyFill="1" applyBorder="1" applyProtection="1"/>
    <xf numFmtId="0" fontId="3" fillId="20" borderId="156" xfId="0" applyFont="1" applyFill="1" applyBorder="1" applyProtection="1"/>
    <xf numFmtId="0" fontId="2" fillId="20" borderId="156" xfId="0" applyFont="1" applyFill="1" applyBorder="1" applyProtection="1"/>
    <xf numFmtId="0" fontId="2" fillId="20" borderId="56" xfId="0" applyFont="1" applyFill="1" applyBorder="1" applyAlignment="1" applyProtection="1">
      <alignment wrapText="1"/>
    </xf>
    <xf numFmtId="0" fontId="9" fillId="20" borderId="192" xfId="0" applyFont="1" applyFill="1" applyBorder="1" applyAlignment="1" applyProtection="1">
      <alignment horizontal="left" wrapText="1"/>
    </xf>
    <xf numFmtId="168" fontId="3" fillId="20" borderId="192" xfId="0" applyNumberFormat="1" applyFont="1" applyFill="1" applyBorder="1" applyProtection="1"/>
    <xf numFmtId="0" fontId="9" fillId="20" borderId="192" xfId="0" applyFont="1" applyFill="1" applyBorder="1" applyAlignment="1" applyProtection="1">
      <alignment horizontal="left"/>
    </xf>
    <xf numFmtId="0" fontId="9" fillId="20" borderId="56" xfId="0" applyFont="1" applyFill="1" applyBorder="1" applyAlignment="1" applyProtection="1">
      <alignment horizontal="left" wrapText="1"/>
    </xf>
    <xf numFmtId="3" fontId="2" fillId="20" borderId="85" xfId="0" applyNumberFormat="1" applyFont="1" applyFill="1" applyBorder="1" applyAlignment="1" applyProtection="1">
      <alignment horizontal="right"/>
    </xf>
    <xf numFmtId="3" fontId="46" fillId="20" borderId="35" xfId="0" quotePrefix="1" applyNumberFormat="1" applyFont="1" applyFill="1" applyBorder="1" applyAlignment="1" applyProtection="1">
      <alignment horizontal="right"/>
    </xf>
    <xf numFmtId="3" fontId="3" fillId="20" borderId="166" xfId="0" applyNumberFormat="1" applyFont="1" applyFill="1" applyBorder="1" applyAlignment="1" applyProtection="1">
      <alignment horizontal="left"/>
    </xf>
    <xf numFmtId="3" fontId="2" fillId="20" borderId="4" xfId="0" applyNumberFormat="1" applyFont="1" applyFill="1" applyBorder="1" applyAlignment="1" applyProtection="1">
      <alignment horizontal="right"/>
    </xf>
    <xf numFmtId="3" fontId="46" fillId="20" borderId="1" xfId="0" applyNumberFormat="1" applyFont="1" applyFill="1" applyBorder="1" applyAlignment="1" applyProtection="1">
      <alignment horizontal="right"/>
    </xf>
    <xf numFmtId="3" fontId="42" fillId="20" borderId="56" xfId="0" applyNumberFormat="1" applyFont="1" applyFill="1" applyBorder="1" applyAlignment="1" applyProtection="1">
      <alignment horizontal="left"/>
    </xf>
    <xf numFmtId="3" fontId="46" fillId="20" borderId="4" xfId="0" applyNumberFormat="1" applyFont="1" applyFill="1" applyBorder="1" applyAlignment="1" applyProtection="1">
      <alignment horizontal="right"/>
    </xf>
    <xf numFmtId="3" fontId="2" fillId="20" borderId="167" xfId="0" applyNumberFormat="1" applyFont="1" applyFill="1" applyBorder="1" applyAlignment="1" applyProtection="1">
      <alignment horizontal="right"/>
    </xf>
    <xf numFmtId="3" fontId="46" fillId="20" borderId="10" xfId="0" applyNumberFormat="1" applyFont="1" applyFill="1" applyBorder="1" applyAlignment="1" applyProtection="1">
      <alignment horizontal="right"/>
    </xf>
    <xf numFmtId="3" fontId="2" fillId="20" borderId="88" xfId="0" applyNumberFormat="1" applyFont="1" applyFill="1" applyBorder="1" applyAlignment="1" applyProtection="1">
      <alignment horizontal="right"/>
    </xf>
    <xf numFmtId="3" fontId="46" fillId="20" borderId="40" xfId="0" applyNumberFormat="1" applyFont="1" applyFill="1" applyBorder="1" applyAlignment="1" applyProtection="1">
      <alignment horizontal="right"/>
    </xf>
    <xf numFmtId="3" fontId="2" fillId="20" borderId="1" xfId="0" applyNumberFormat="1" applyFont="1" applyFill="1" applyBorder="1" applyAlignment="1" applyProtection="1">
      <alignment horizontal="right"/>
    </xf>
    <xf numFmtId="3" fontId="3" fillId="20" borderId="120" xfId="0" applyNumberFormat="1" applyFont="1" applyFill="1" applyBorder="1" applyAlignment="1" applyProtection="1">
      <alignment horizontal="left"/>
    </xf>
    <xf numFmtId="3" fontId="42" fillId="20" borderId="59" xfId="0" applyNumberFormat="1" applyFont="1" applyFill="1" applyBorder="1" applyAlignment="1" applyProtection="1">
      <alignment horizontal="left"/>
    </xf>
    <xf numFmtId="3" fontId="2" fillId="20" borderId="25" xfId="0" applyNumberFormat="1" applyFont="1" applyFill="1" applyBorder="1" applyAlignment="1" applyProtection="1">
      <alignment horizontal="right"/>
    </xf>
    <xf numFmtId="3" fontId="46" fillId="20" borderId="13" xfId="0" quotePrefix="1" applyNumberFormat="1" applyFont="1" applyFill="1" applyBorder="1" applyAlignment="1" applyProtection="1">
      <alignment horizontal="right"/>
    </xf>
    <xf numFmtId="3" fontId="3" fillId="20" borderId="56" xfId="0" applyNumberFormat="1" applyFont="1" applyFill="1" applyBorder="1" applyAlignment="1" applyProtection="1">
      <alignment horizontal="left"/>
    </xf>
    <xf numFmtId="3" fontId="43" fillId="20" borderId="15" xfId="0" applyNumberFormat="1" applyFont="1" applyFill="1" applyBorder="1" applyAlignment="1" applyProtection="1">
      <alignment horizontal="right"/>
    </xf>
    <xf numFmtId="3" fontId="46" fillId="20" borderId="15" xfId="0" applyNumberFormat="1" applyFont="1" applyFill="1" applyBorder="1" applyAlignment="1" applyProtection="1">
      <alignment horizontal="right"/>
    </xf>
    <xf numFmtId="3" fontId="3" fillId="20" borderId="56" xfId="0" applyNumberFormat="1" applyFont="1" applyFill="1" applyBorder="1" applyAlignment="1" applyProtection="1">
      <alignment horizontal="right"/>
    </xf>
    <xf numFmtId="3" fontId="43" fillId="20" borderId="25" xfId="0" applyNumberFormat="1" applyFont="1" applyFill="1" applyBorder="1" applyAlignment="1" applyProtection="1">
      <alignment horizontal="right"/>
    </xf>
    <xf numFmtId="3" fontId="46" fillId="20" borderId="25" xfId="0" applyNumberFormat="1" applyFont="1" applyFill="1" applyBorder="1" applyAlignment="1" applyProtection="1">
      <alignment horizontal="right"/>
    </xf>
    <xf numFmtId="3" fontId="42" fillId="20" borderId="59" xfId="0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Protection="1"/>
    <xf numFmtId="3" fontId="2" fillId="9" borderId="19" xfId="0" applyNumberFormat="1" applyFont="1" applyFill="1" applyBorder="1" applyProtection="1"/>
    <xf numFmtId="0" fontId="114" fillId="0" borderId="0" xfId="5" applyFont="1" applyFill="1" applyBorder="1" applyAlignment="1" applyProtection="1"/>
    <xf numFmtId="49" fontId="114" fillId="0" borderId="0" xfId="5" applyNumberFormat="1" applyFont="1" applyAlignment="1" applyProtection="1">
      <alignment horizontal="left"/>
    </xf>
    <xf numFmtId="0" fontId="114" fillId="0" borderId="0" xfId="5" applyFont="1" applyFill="1" applyAlignment="1" applyProtection="1"/>
    <xf numFmtId="0" fontId="114" fillId="2" borderId="0" xfId="5" applyFont="1" applyFill="1" applyAlignment="1" applyProtection="1">
      <alignment vertical="top"/>
    </xf>
    <xf numFmtId="172" fontId="35" fillId="0" borderId="0" xfId="0" applyNumberFormat="1" applyFont="1" applyFill="1" applyBorder="1" applyAlignment="1" applyProtection="1">
      <alignment horizontal="left" vertical="justify" wrapText="1"/>
    </xf>
    <xf numFmtId="0" fontId="0" fillId="0" borderId="0" xfId="0" applyAlignment="1"/>
    <xf numFmtId="0" fontId="3" fillId="20" borderId="117" xfId="0" applyFont="1" applyFill="1" applyBorder="1" applyAlignment="1" applyProtection="1">
      <alignment horizontal="right"/>
    </xf>
    <xf numFmtId="0" fontId="8" fillId="20" borderId="101" xfId="0" applyFont="1" applyFill="1" applyBorder="1" applyAlignment="1" applyProtection="1">
      <alignment horizontal="center"/>
    </xf>
    <xf numFmtId="0" fontId="8" fillId="20" borderId="125" xfId="0" applyFont="1" applyFill="1" applyBorder="1" applyAlignment="1" applyProtection="1">
      <alignment horizontal="center"/>
    </xf>
    <xf numFmtId="0" fontId="8" fillId="20" borderId="128" xfId="0" applyFont="1" applyFill="1" applyBorder="1" applyAlignment="1" applyProtection="1">
      <alignment horizontal="center"/>
    </xf>
    <xf numFmtId="0" fontId="3" fillId="20" borderId="101" xfId="0" applyFont="1" applyFill="1" applyBorder="1" applyAlignment="1" applyProtection="1">
      <alignment horizontal="center"/>
    </xf>
    <xf numFmtId="0" fontId="8" fillId="0" borderId="66" xfId="0" applyFont="1" applyFill="1" applyBorder="1" applyAlignment="1" applyProtection="1">
      <alignment horizontal="center"/>
    </xf>
    <xf numFmtId="0" fontId="3" fillId="0" borderId="66" xfId="0" applyFont="1" applyFill="1" applyBorder="1" applyAlignment="1" applyProtection="1">
      <alignment horizontal="right"/>
    </xf>
    <xf numFmtId="9" fontId="3" fillId="0" borderId="66" xfId="0" applyNumberFormat="1" applyFont="1" applyFill="1" applyBorder="1" applyAlignment="1" applyProtection="1">
      <alignment horizontal="right"/>
    </xf>
    <xf numFmtId="0" fontId="121" fillId="0" borderId="66" xfId="0" applyFont="1" applyFill="1" applyBorder="1" applyAlignment="1" applyProtection="1">
      <alignment horizontal="right"/>
    </xf>
    <xf numFmtId="0" fontId="35" fillId="0" borderId="0" xfId="0" applyFont="1" applyFill="1" applyAlignment="1" applyProtection="1">
      <alignment horizontal="right"/>
    </xf>
    <xf numFmtId="0" fontId="0" fillId="0" borderId="0" xfId="0" applyBorder="1" applyAlignment="1"/>
    <xf numFmtId="49" fontId="22" fillId="2" borderId="66" xfId="0" applyNumberFormat="1" applyFont="1" applyFill="1" applyBorder="1" applyProtection="1"/>
    <xf numFmtId="0" fontId="22" fillId="2" borderId="66" xfId="0" applyFont="1" applyFill="1" applyBorder="1" applyProtection="1"/>
    <xf numFmtId="0" fontId="8" fillId="2" borderId="66" xfId="0" applyFont="1" applyFill="1" applyBorder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/>
    <xf numFmtId="0" fontId="22" fillId="2" borderId="0" xfId="0" applyFont="1" applyFill="1" applyBorder="1" applyAlignment="1" applyProtection="1">
      <alignment vertical="top"/>
    </xf>
    <xf numFmtId="0" fontId="0" fillId="0" borderId="0" xfId="0" applyBorder="1" applyAlignment="1">
      <alignment vertical="top"/>
    </xf>
    <xf numFmtId="0" fontId="2" fillId="0" borderId="71" xfId="0" applyFont="1" applyFill="1" applyBorder="1" applyAlignment="1" applyProtection="1">
      <alignment vertical="top"/>
    </xf>
    <xf numFmtId="0" fontId="2" fillId="0" borderId="12" xfId="0" applyFont="1" applyFill="1" applyBorder="1" applyAlignment="1" applyProtection="1">
      <alignment vertical="top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36" fillId="0" borderId="57" xfId="0" applyFont="1" applyFill="1" applyBorder="1" applyProtection="1"/>
    <xf numFmtId="0" fontId="36" fillId="0" borderId="0" xfId="0" applyFont="1" applyFill="1" applyProtection="1"/>
    <xf numFmtId="0" fontId="121" fillId="0" borderId="0" xfId="0" applyFont="1" applyFill="1" applyProtection="1"/>
    <xf numFmtId="0" fontId="5" fillId="20" borderId="43" xfId="0" applyFont="1" applyFill="1" applyBorder="1" applyAlignment="1" applyProtection="1">
      <alignment wrapText="1"/>
    </xf>
    <xf numFmtId="3" fontId="37" fillId="0" borderId="0" xfId="0" applyNumberFormat="1" applyFont="1" applyFill="1" applyBorder="1" applyProtection="1"/>
    <xf numFmtId="3" fontId="2" fillId="27" borderId="18" xfId="0" applyNumberFormat="1" applyFont="1" applyFill="1" applyBorder="1" applyAlignment="1" applyProtection="1">
      <alignment horizontal="right"/>
    </xf>
    <xf numFmtId="0" fontId="122" fillId="0" borderId="66" xfId="0" applyFont="1" applyFill="1" applyBorder="1" applyProtection="1"/>
    <xf numFmtId="3" fontId="2" fillId="20" borderId="196" xfId="0" applyNumberFormat="1" applyFont="1" applyFill="1" applyBorder="1" applyAlignment="1" applyProtection="1">
      <alignment horizontal="right"/>
    </xf>
    <xf numFmtId="3" fontId="2" fillId="20" borderId="117" xfId="0" applyNumberFormat="1" applyFont="1" applyFill="1" applyBorder="1" applyAlignment="1" applyProtection="1">
      <alignment horizontal="right"/>
    </xf>
    <xf numFmtId="3" fontId="2" fillId="20" borderId="13" xfId="0" applyNumberFormat="1" applyFont="1" applyFill="1" applyBorder="1" applyAlignment="1" applyProtection="1">
      <alignment horizontal="right"/>
    </xf>
    <xf numFmtId="0" fontId="123" fillId="0" borderId="0" xfId="0" applyFont="1" applyFill="1" applyProtection="1"/>
    <xf numFmtId="0" fontId="124" fillId="2" borderId="0" xfId="0" applyFont="1" applyFill="1" applyAlignment="1" applyProtection="1">
      <alignment horizontal="left"/>
    </xf>
    <xf numFmtId="0" fontId="123" fillId="2" borderId="40" xfId="0" applyNumberFormat="1" applyFont="1" applyFill="1" applyBorder="1" applyAlignment="1" applyProtection="1">
      <alignment horizontal="left"/>
    </xf>
    <xf numFmtId="0" fontId="9" fillId="0" borderId="0" xfId="0" applyFont="1" applyProtection="1"/>
    <xf numFmtId="0" fontId="35" fillId="20" borderId="0" xfId="0" applyFont="1" applyFill="1" applyBorder="1" applyAlignment="1" applyProtection="1"/>
    <xf numFmtId="0" fontId="35" fillId="20" borderId="40" xfId="0" applyFont="1" applyFill="1" applyBorder="1" applyAlignment="1" applyProtection="1"/>
    <xf numFmtId="0" fontId="35" fillId="20" borderId="27" xfId="0" applyFont="1" applyFill="1" applyBorder="1" applyProtection="1"/>
    <xf numFmtId="49" fontId="2" fillId="10" borderId="197" xfId="0" applyNumberFormat="1" applyFont="1" applyFill="1" applyBorder="1" applyAlignment="1" applyProtection="1"/>
    <xf numFmtId="0" fontId="35" fillId="20" borderId="57" xfId="0" applyFont="1" applyFill="1" applyBorder="1" applyProtection="1"/>
    <xf numFmtId="0" fontId="125" fillId="7" borderId="0" xfId="0" applyFont="1" applyFill="1" applyProtection="1"/>
    <xf numFmtId="1" fontId="3" fillId="20" borderId="198" xfId="0" applyNumberFormat="1" applyFont="1" applyFill="1" applyBorder="1" applyAlignment="1" applyProtection="1">
      <alignment horizontal="center" wrapText="1"/>
    </xf>
    <xf numFmtId="0" fontId="1" fillId="0" borderId="0" xfId="0" applyFont="1" applyFill="1" applyProtection="1"/>
    <xf numFmtId="0" fontId="41" fillId="0" borderId="0" xfId="0" applyFont="1" applyFill="1" applyBorder="1" applyAlignment="1" applyProtection="1">
      <alignment horizontal="center"/>
    </xf>
    <xf numFmtId="3" fontId="79" fillId="0" borderId="0" xfId="0" applyNumberFormat="1" applyFont="1" applyFill="1" applyBorder="1" applyAlignment="1" applyProtection="1">
      <alignment horizontal="center"/>
    </xf>
    <xf numFmtId="0" fontId="39" fillId="0" borderId="0" xfId="0" applyFont="1" applyFill="1" applyProtection="1"/>
    <xf numFmtId="3" fontId="12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1" fontId="5" fillId="0" borderId="0" xfId="0" applyNumberFormat="1" applyFont="1" applyFill="1" applyBorder="1" applyAlignment="1" applyProtection="1">
      <alignment horizontal="left"/>
    </xf>
    <xf numFmtId="0" fontId="95" fillId="0" borderId="0" xfId="0" applyFont="1" applyFill="1" applyProtection="1"/>
    <xf numFmtId="0" fontId="121" fillId="2" borderId="0" xfId="0" applyFont="1" applyFill="1" applyProtection="1"/>
    <xf numFmtId="0" fontId="5" fillId="20" borderId="74" xfId="0" applyFont="1" applyFill="1" applyBorder="1" applyAlignment="1" applyProtection="1">
      <alignment horizontal="left"/>
    </xf>
    <xf numFmtId="166" fontId="46" fillId="20" borderId="0" xfId="0" applyNumberFormat="1" applyFont="1" applyFill="1" applyBorder="1" applyProtection="1"/>
    <xf numFmtId="3" fontId="46" fillId="21" borderId="0" xfId="0" applyNumberFormat="1" applyFont="1" applyFill="1" applyBorder="1" applyAlignment="1" applyProtection="1">
      <alignment horizontal="right"/>
    </xf>
    <xf numFmtId="3" fontId="46" fillId="22" borderId="0" xfId="0" applyNumberFormat="1" applyFont="1" applyFill="1" applyBorder="1" applyProtection="1"/>
    <xf numFmtId="166" fontId="46" fillId="0" borderId="0" xfId="0" applyNumberFormat="1" applyFont="1" applyFill="1" applyBorder="1" applyProtection="1"/>
    <xf numFmtId="3" fontId="46" fillId="0" borderId="0" xfId="0" applyNumberFormat="1" applyFont="1" applyFill="1" applyBorder="1" applyAlignment="1" applyProtection="1">
      <alignment horizontal="right"/>
    </xf>
    <xf numFmtId="3" fontId="46" fillId="0" borderId="0" xfId="0" applyNumberFormat="1" applyFont="1" applyFill="1" applyBorder="1" applyProtection="1"/>
    <xf numFmtId="3" fontId="10" fillId="0" borderId="9" xfId="0" applyNumberFormat="1" applyFont="1" applyFill="1" applyBorder="1" applyAlignment="1" applyProtection="1">
      <alignment horizontal="right"/>
      <protection locked="0"/>
    </xf>
    <xf numFmtId="3" fontId="13" fillId="0" borderId="76" xfId="0" applyNumberFormat="1" applyFont="1" applyFill="1" applyBorder="1" applyAlignment="1" applyProtection="1">
      <alignment horizontal="right"/>
      <protection locked="0"/>
    </xf>
    <xf numFmtId="49" fontId="8" fillId="20" borderId="199" xfId="0" applyNumberFormat="1" applyFont="1" applyFill="1" applyBorder="1" applyAlignment="1" applyProtection="1">
      <alignment horizontal="center"/>
    </xf>
    <xf numFmtId="1" fontId="8" fillId="20" borderId="200" xfId="0" applyNumberFormat="1" applyFont="1" applyFill="1" applyBorder="1" applyAlignment="1" applyProtection="1">
      <alignment horizontal="center"/>
    </xf>
    <xf numFmtId="1" fontId="8" fillId="20" borderId="200" xfId="0" applyNumberFormat="1" applyFont="1" applyFill="1" applyBorder="1" applyAlignment="1" applyProtection="1">
      <alignment horizontal="left"/>
    </xf>
    <xf numFmtId="3" fontId="13" fillId="2" borderId="201" xfId="0" applyNumberFormat="1" applyFont="1" applyFill="1" applyBorder="1" applyAlignment="1" applyProtection="1">
      <alignment horizontal="right"/>
      <protection locked="0"/>
    </xf>
    <xf numFmtId="0" fontId="3" fillId="20" borderId="84" xfId="0" applyFont="1" applyFill="1" applyBorder="1" applyAlignment="1" applyProtection="1">
      <alignment horizontal="left" wrapText="1"/>
    </xf>
    <xf numFmtId="0" fontId="33" fillId="20" borderId="164" xfId="0" applyFont="1" applyFill="1" applyBorder="1" applyAlignment="1" applyProtection="1">
      <alignment horizontal="left" vertical="top" wrapText="1"/>
    </xf>
    <xf numFmtId="0" fontId="22" fillId="20" borderId="155" xfId="0" applyFont="1" applyFill="1" applyBorder="1" applyAlignment="1" applyProtection="1">
      <alignment horizontal="left" wrapText="1"/>
    </xf>
    <xf numFmtId="0" fontId="3" fillId="20" borderId="154" xfId="0" applyFont="1" applyFill="1" applyBorder="1" applyAlignment="1" applyProtection="1">
      <alignment vertical="top" wrapText="1"/>
    </xf>
    <xf numFmtId="0" fontId="3" fillId="20" borderId="85" xfId="0" applyFont="1" applyFill="1" applyBorder="1" applyAlignment="1" applyProtection="1">
      <alignment horizontal="left" vertical="top" wrapText="1"/>
    </xf>
    <xf numFmtId="49" fontId="3" fillId="20" borderId="131" xfId="0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Alignment="1" applyProtection="1">
      <alignment horizontal="center"/>
    </xf>
    <xf numFmtId="3" fontId="2" fillId="3" borderId="41" xfId="0" applyNumberFormat="1" applyFont="1" applyFill="1" applyBorder="1" applyProtection="1"/>
    <xf numFmtId="3" fontId="3" fillId="20" borderId="157" xfId="0" applyNumberFormat="1" applyFont="1" applyFill="1" applyBorder="1" applyAlignment="1" applyProtection="1">
      <alignment horizontal="left" vertical="top" wrapText="1"/>
    </xf>
    <xf numFmtId="3" fontId="3" fillId="20" borderId="4" xfId="0" applyNumberFormat="1" applyFont="1" applyFill="1" applyBorder="1" applyAlignment="1" applyProtection="1">
      <alignment vertical="top" wrapText="1"/>
    </xf>
    <xf numFmtId="3" fontId="3" fillId="20" borderId="95" xfId="0" applyNumberFormat="1" applyFont="1" applyFill="1" applyBorder="1" applyAlignment="1" applyProtection="1">
      <alignment vertical="top" wrapText="1"/>
    </xf>
    <xf numFmtId="0" fontId="3" fillId="20" borderId="55" xfId="0" applyFont="1" applyFill="1" applyBorder="1" applyAlignment="1" applyProtection="1">
      <alignment vertical="top" wrapText="1"/>
    </xf>
    <xf numFmtId="0" fontId="3" fillId="20" borderId="62" xfId="0" applyFont="1" applyFill="1" applyBorder="1" applyProtection="1"/>
    <xf numFmtId="3" fontId="3" fillId="20" borderId="155" xfId="0" applyNumberFormat="1" applyFont="1" applyFill="1" applyBorder="1" applyAlignment="1" applyProtection="1">
      <alignment vertical="top" wrapText="1"/>
    </xf>
    <xf numFmtId="3" fontId="3" fillId="20" borderId="16" xfId="0" applyNumberFormat="1" applyFont="1" applyFill="1" applyBorder="1" applyAlignment="1" applyProtection="1">
      <alignment vertical="top" wrapText="1"/>
    </xf>
    <xf numFmtId="0" fontId="3" fillId="20" borderId="101" xfId="0" applyFont="1" applyFill="1" applyBorder="1" applyAlignment="1" applyProtection="1">
      <alignment vertical="top"/>
    </xf>
    <xf numFmtId="0" fontId="3" fillId="20" borderId="66" xfId="0" applyFont="1" applyFill="1" applyBorder="1" applyAlignment="1" applyProtection="1">
      <alignment vertical="top"/>
    </xf>
    <xf numFmtId="0" fontId="3" fillId="20" borderId="105" xfId="0" applyFont="1" applyFill="1" applyBorder="1" applyAlignment="1" applyProtection="1">
      <alignment vertical="top"/>
    </xf>
    <xf numFmtId="0" fontId="3" fillId="20" borderId="99" xfId="0" applyFont="1" applyFill="1" applyBorder="1" applyAlignment="1" applyProtection="1">
      <alignment vertical="top"/>
    </xf>
    <xf numFmtId="0" fontId="5" fillId="20" borderId="160" xfId="0" applyFont="1" applyFill="1" applyBorder="1" applyAlignment="1" applyProtection="1">
      <alignment vertical="top"/>
    </xf>
    <xf numFmtId="0" fontId="3" fillId="20" borderId="160" xfId="0" applyFont="1" applyFill="1" applyBorder="1" applyAlignment="1" applyProtection="1">
      <alignment vertical="top"/>
    </xf>
    <xf numFmtId="0" fontId="3" fillId="20" borderId="202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5" fillId="20" borderId="191" xfId="0" applyFont="1" applyFill="1" applyBorder="1" applyAlignment="1" applyProtection="1">
      <alignment vertical="center"/>
    </xf>
    <xf numFmtId="0" fontId="5" fillId="20" borderId="203" xfId="0" applyFont="1" applyFill="1" applyBorder="1" applyAlignment="1" applyProtection="1">
      <alignment vertical="center"/>
    </xf>
    <xf numFmtId="1" fontId="8" fillId="20" borderId="128" xfId="0" applyNumberFormat="1" applyFont="1" applyFill="1" applyBorder="1" applyAlignment="1" applyProtection="1">
      <alignment horizontal="left"/>
    </xf>
    <xf numFmtId="1" fontId="8" fillId="20" borderId="97" xfId="0" applyNumberFormat="1" applyFont="1" applyFill="1" applyBorder="1" applyAlignment="1" applyProtection="1">
      <alignment horizontal="left"/>
    </xf>
    <xf numFmtId="3" fontId="8" fillId="20" borderId="22" xfId="0" applyNumberFormat="1" applyFont="1" applyFill="1" applyBorder="1" applyProtection="1"/>
    <xf numFmtId="3" fontId="8" fillId="20" borderId="6" xfId="0" applyNumberFormat="1" applyFont="1" applyFill="1" applyBorder="1" applyProtection="1"/>
    <xf numFmtId="9" fontId="46" fillId="20" borderId="35" xfId="0" quotePrefix="1" applyNumberFormat="1" applyFont="1" applyFill="1" applyBorder="1" applyAlignment="1" applyProtection="1">
      <alignment horizontal="right"/>
    </xf>
    <xf numFmtId="9" fontId="46" fillId="20" borderId="4" xfId="0" quotePrefix="1" applyNumberFormat="1" applyFont="1" applyFill="1" applyBorder="1" applyAlignment="1" applyProtection="1">
      <alignment horizontal="right"/>
    </xf>
    <xf numFmtId="9" fontId="46" fillId="20" borderId="8" xfId="0" quotePrefix="1" applyNumberFormat="1" applyFont="1" applyFill="1" applyBorder="1" applyAlignment="1" applyProtection="1">
      <alignment horizontal="right"/>
    </xf>
    <xf numFmtId="9" fontId="46" fillId="20" borderId="25" xfId="0" quotePrefix="1" applyNumberFormat="1" applyFont="1" applyFill="1" applyBorder="1" applyAlignment="1" applyProtection="1">
      <alignment horizontal="right"/>
    </xf>
    <xf numFmtId="0" fontId="3" fillId="20" borderId="55" xfId="6" applyFont="1" applyFill="1" applyBorder="1" applyAlignment="1" applyProtection="1">
      <alignment horizontal="right"/>
    </xf>
    <xf numFmtId="3" fontId="2" fillId="0" borderId="0" xfId="0" applyNumberFormat="1" applyFont="1" applyFill="1" applyBorder="1" applyProtection="1"/>
    <xf numFmtId="0" fontId="19" fillId="0" borderId="0" xfId="6" applyFont="1" applyFill="1" applyBorder="1" applyAlignment="1" applyProtection="1">
      <alignment horizontal="left"/>
    </xf>
    <xf numFmtId="0" fontId="9" fillId="0" borderId="0" xfId="6" applyFont="1" applyFill="1" applyProtection="1"/>
    <xf numFmtId="0" fontId="19" fillId="2" borderId="0" xfId="6" applyNumberFormat="1" applyFont="1" applyFill="1" applyAlignment="1" applyProtection="1">
      <alignment horizontal="left"/>
    </xf>
    <xf numFmtId="0" fontId="9" fillId="0" borderId="0" xfId="6" applyFont="1" applyFill="1" applyBorder="1" applyAlignment="1" applyProtection="1">
      <alignment horizontal="left"/>
    </xf>
    <xf numFmtId="0" fontId="9" fillId="2" borderId="0" xfId="6" applyNumberFormat="1" applyFont="1" applyFill="1" applyAlignment="1" applyProtection="1">
      <alignment horizontal="left"/>
    </xf>
    <xf numFmtId="0" fontId="19" fillId="0" borderId="0" xfId="6" applyFont="1" applyFill="1" applyProtection="1"/>
    <xf numFmtId="3" fontId="13" fillId="2" borderId="182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right"/>
    </xf>
    <xf numFmtId="0" fontId="121" fillId="0" borderId="0" xfId="0" applyNumberFormat="1" applyFont="1" applyFill="1" applyProtection="1"/>
    <xf numFmtId="0" fontId="121" fillId="0" borderId="40" xfId="0" applyNumberFormat="1" applyFont="1" applyFill="1" applyBorder="1" applyAlignment="1" applyProtection="1">
      <alignment horizontal="left"/>
    </xf>
    <xf numFmtId="0" fontId="124" fillId="0" borderId="0" xfId="0" applyFont="1" applyFill="1" applyAlignment="1" applyProtection="1">
      <alignment horizontal="left"/>
    </xf>
    <xf numFmtId="3" fontId="5" fillId="20" borderId="156" xfId="6" applyNumberFormat="1" applyFont="1" applyFill="1" applyBorder="1" applyAlignment="1" applyProtection="1">
      <alignment vertical="top"/>
    </xf>
    <xf numFmtId="3" fontId="115" fillId="20" borderId="15" xfId="0" applyNumberFormat="1" applyFont="1" applyFill="1" applyBorder="1" applyAlignment="1" applyProtection="1">
      <alignment vertical="center"/>
    </xf>
    <xf numFmtId="3" fontId="115" fillId="20" borderId="55" xfId="0" applyNumberFormat="1" applyFont="1" applyFill="1" applyBorder="1" applyAlignment="1" applyProtection="1">
      <alignment vertical="center"/>
    </xf>
    <xf numFmtId="0" fontId="5" fillId="20" borderId="66" xfId="0" applyFont="1" applyFill="1" applyBorder="1" applyProtection="1"/>
    <xf numFmtId="49" fontId="5" fillId="20" borderId="101" xfId="0" applyNumberFormat="1" applyFont="1" applyFill="1" applyBorder="1" applyAlignment="1" applyProtection="1">
      <alignment horizontal="left"/>
    </xf>
    <xf numFmtId="49" fontId="5" fillId="20" borderId="125" xfId="0" applyNumberFormat="1" applyFont="1" applyFill="1" applyBorder="1" applyAlignment="1" applyProtection="1">
      <alignment horizontal="left" vertical="top"/>
    </xf>
    <xf numFmtId="49" fontId="2" fillId="10" borderId="155" xfId="0" applyNumberFormat="1" applyFont="1" applyFill="1" applyBorder="1" applyAlignment="1" applyProtection="1"/>
    <xf numFmtId="49" fontId="3" fillId="20" borderId="195" xfId="0" applyNumberFormat="1" applyFont="1" applyFill="1" applyBorder="1" applyProtection="1"/>
    <xf numFmtId="0" fontId="47" fillId="0" borderId="0" xfId="0" applyNumberFormat="1" applyFont="1" applyFill="1" applyBorder="1" applyAlignment="1" applyProtection="1">
      <alignment horizontal="right"/>
    </xf>
    <xf numFmtId="3" fontId="47" fillId="17" borderId="40" xfId="0" applyNumberFormat="1" applyFont="1" applyFill="1" applyBorder="1" applyAlignment="1" applyProtection="1">
      <alignment horizontal="right"/>
    </xf>
    <xf numFmtId="0" fontId="37" fillId="2" borderId="77" xfId="6" applyFont="1" applyFill="1" applyBorder="1" applyProtection="1"/>
    <xf numFmtId="0" fontId="0" fillId="0" borderId="0" xfId="0" applyFill="1" applyAlignment="1" applyProtection="1">
      <alignment vertical="top"/>
    </xf>
    <xf numFmtId="0" fontId="121" fillId="0" borderId="0" xfId="0" applyFont="1" applyFill="1" applyBorder="1" applyAlignment="1" applyProtection="1">
      <alignment horizontal="right"/>
    </xf>
    <xf numFmtId="0" fontId="98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121" fillId="0" borderId="0" xfId="0" applyFont="1" applyFill="1" applyBorder="1" applyAlignment="1" applyProtection="1">
      <alignment horizontal="left"/>
    </xf>
    <xf numFmtId="9" fontId="121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04" fillId="0" borderId="0" xfId="0" applyFont="1" applyFill="1" applyBorder="1" applyProtection="1"/>
    <xf numFmtId="0" fontId="7" fillId="0" borderId="0" xfId="0" applyFont="1" applyFill="1" applyBorder="1" applyAlignment="1" applyProtection="1"/>
    <xf numFmtId="3" fontId="5" fillId="0" borderId="0" xfId="0" applyNumberFormat="1" applyFont="1" applyFill="1" applyBorder="1" applyProtection="1"/>
    <xf numFmtId="3" fontId="5" fillId="0" borderId="0" xfId="0" applyNumberFormat="1" applyFont="1" applyFill="1" applyBorder="1" applyAlignment="1" applyProtection="1">
      <alignment horizontal="center" vertical="center" wrapText="1"/>
    </xf>
    <xf numFmtId="49" fontId="3" fillId="20" borderId="8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left"/>
    </xf>
    <xf numFmtId="3" fontId="13" fillId="0" borderId="0" xfId="0" applyNumberFormat="1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3" fontId="10" fillId="0" borderId="0" xfId="0" applyNumberFormat="1" applyFont="1" applyFill="1" applyBorder="1" applyAlignment="1" applyProtection="1">
      <alignment horizontal="right"/>
      <protection locked="0"/>
    </xf>
    <xf numFmtId="3" fontId="3" fillId="20" borderId="79" xfId="0" applyNumberFormat="1" applyFont="1" applyFill="1" applyBorder="1" applyAlignment="1" applyProtection="1"/>
    <xf numFmtId="3" fontId="8" fillId="20" borderId="80" xfId="0" applyNumberFormat="1" applyFont="1" applyFill="1" applyBorder="1" applyAlignment="1" applyProtection="1"/>
    <xf numFmtId="3" fontId="8" fillId="20" borderId="95" xfId="0" applyNumberFormat="1" applyFont="1" applyFill="1" applyBorder="1" applyAlignment="1" applyProtection="1"/>
    <xf numFmtId="3" fontId="2" fillId="0" borderId="204" xfId="0" applyNumberFormat="1" applyFont="1" applyFill="1" applyBorder="1" applyAlignment="1" applyProtection="1">
      <alignment horizontal="right"/>
      <protection locked="0"/>
    </xf>
    <xf numFmtId="49" fontId="3" fillId="0" borderId="0" xfId="10" applyNumberFormat="1" applyFont="1" applyFill="1" applyAlignment="1" applyProtection="1">
      <alignment horizontal="left"/>
    </xf>
    <xf numFmtId="0" fontId="3" fillId="20" borderId="205" xfId="0" applyFont="1" applyFill="1" applyBorder="1" applyAlignment="1" applyProtection="1">
      <alignment horizontal="left"/>
    </xf>
    <xf numFmtId="1" fontId="3" fillId="20" borderId="25" xfId="0" applyNumberFormat="1" applyFont="1" applyFill="1" applyBorder="1" applyAlignment="1" applyProtection="1">
      <alignment horizontal="left"/>
    </xf>
    <xf numFmtId="0" fontId="8" fillId="20" borderId="87" xfId="0" applyFont="1" applyFill="1" applyBorder="1" applyProtection="1"/>
    <xf numFmtId="0" fontId="3" fillId="20" borderId="74" xfId="0" applyFont="1" applyFill="1" applyBorder="1" applyProtection="1"/>
    <xf numFmtId="0" fontId="5" fillId="20" borderId="13" xfId="0" applyFont="1" applyFill="1" applyBorder="1" applyAlignment="1" applyProtection="1">
      <alignment vertical="top" wrapText="1"/>
    </xf>
    <xf numFmtId="0" fontId="14" fillId="20" borderId="25" xfId="0" applyFont="1" applyFill="1" applyBorder="1" applyProtection="1"/>
    <xf numFmtId="0" fontId="5" fillId="20" borderId="87" xfId="0" applyFont="1" applyFill="1" applyBorder="1" applyAlignment="1" applyProtection="1">
      <alignment wrapText="1"/>
    </xf>
    <xf numFmtId="1" fontId="3" fillId="20" borderId="13" xfId="0" applyNumberFormat="1" applyFont="1" applyFill="1" applyBorder="1" applyAlignment="1" applyProtection="1">
      <alignment horizontal="center"/>
    </xf>
    <xf numFmtId="0" fontId="3" fillId="20" borderId="13" xfId="0" applyFont="1" applyFill="1" applyBorder="1" applyProtection="1"/>
    <xf numFmtId="1" fontId="8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7" xfId="0" applyFont="1" applyFill="1" applyBorder="1" applyAlignment="1" applyProtection="1">
      <alignment horizontal="center"/>
    </xf>
    <xf numFmtId="0" fontId="3" fillId="0" borderId="57" xfId="0" applyFont="1" applyFill="1" applyBorder="1" applyAlignment="1" applyProtection="1">
      <alignment horizontal="left"/>
    </xf>
    <xf numFmtId="0" fontId="14" fillId="0" borderId="57" xfId="0" applyFont="1" applyFill="1" applyBorder="1" applyProtection="1"/>
    <xf numFmtId="1" fontId="8" fillId="0" borderId="57" xfId="0" applyNumberFormat="1" applyFont="1" applyFill="1" applyBorder="1" applyAlignment="1" applyProtection="1">
      <alignment horizontal="center"/>
    </xf>
    <xf numFmtId="1" fontId="3" fillId="0" borderId="57" xfId="0" applyNumberFormat="1" applyFont="1" applyFill="1" applyBorder="1" applyAlignment="1" applyProtection="1">
      <alignment horizontal="center"/>
    </xf>
    <xf numFmtId="0" fontId="126" fillId="2" borderId="0" xfId="0" applyFont="1" applyFill="1" applyBorder="1" applyProtection="1"/>
    <xf numFmtId="0" fontId="126" fillId="28" borderId="0" xfId="0" applyFont="1" applyFill="1" applyProtection="1"/>
    <xf numFmtId="0" fontId="126" fillId="2" borderId="0" xfId="0" applyFont="1" applyFill="1" applyProtection="1"/>
    <xf numFmtId="3" fontId="3" fillId="20" borderId="43" xfId="0" applyNumberFormat="1" applyFont="1" applyFill="1" applyBorder="1" applyAlignment="1" applyProtection="1">
      <alignment horizontal="left" vertical="top"/>
    </xf>
    <xf numFmtId="0" fontId="5" fillId="20" borderId="191" xfId="6" applyFont="1" applyFill="1" applyBorder="1" applyProtection="1"/>
    <xf numFmtId="0" fontId="3" fillId="20" borderId="16" xfId="6" applyFont="1" applyFill="1" applyBorder="1" applyAlignment="1" applyProtection="1">
      <alignment vertical="top" wrapText="1"/>
    </xf>
    <xf numFmtId="0" fontId="5" fillId="20" borderId="6" xfId="6" applyFont="1" applyFill="1" applyBorder="1" applyAlignment="1" applyProtection="1">
      <alignment vertical="top"/>
    </xf>
    <xf numFmtId="3" fontId="5" fillId="20" borderId="156" xfId="0" applyNumberFormat="1" applyFont="1" applyFill="1" applyBorder="1" applyAlignment="1" applyProtection="1">
      <alignment vertical="top"/>
    </xf>
    <xf numFmtId="3" fontId="5" fillId="20" borderId="44" xfId="0" applyNumberFormat="1" applyFont="1" applyFill="1" applyBorder="1" applyProtection="1"/>
    <xf numFmtId="3" fontId="3" fillId="20" borderId="206" xfId="6" applyNumberFormat="1" applyFont="1" applyFill="1" applyBorder="1" applyAlignment="1" applyProtection="1"/>
    <xf numFmtId="3" fontId="3" fillId="20" borderId="25" xfId="0" applyNumberFormat="1" applyFont="1" applyFill="1" applyBorder="1" applyProtection="1"/>
    <xf numFmtId="0" fontId="3" fillId="20" borderId="153" xfId="0" applyFont="1" applyFill="1" applyBorder="1" applyAlignment="1" applyProtection="1">
      <alignment horizontal="left" vertical="top" wrapText="1"/>
    </xf>
    <xf numFmtId="0" fontId="3" fillId="20" borderId="94" xfId="0" applyFont="1" applyFill="1" applyBorder="1" applyAlignment="1" applyProtection="1">
      <alignment horizontal="left" vertical="top"/>
    </xf>
    <xf numFmtId="3" fontId="8" fillId="20" borderId="26" xfId="0" applyNumberFormat="1" applyFont="1" applyFill="1" applyBorder="1" applyProtection="1"/>
    <xf numFmtId="3" fontId="3" fillId="20" borderId="25" xfId="0" applyNumberFormat="1" applyFont="1" applyFill="1" applyBorder="1" applyAlignment="1" applyProtection="1">
      <alignment vertical="top"/>
    </xf>
    <xf numFmtId="3" fontId="3" fillId="20" borderId="26" xfId="0" applyNumberFormat="1" applyFont="1" applyFill="1" applyBorder="1" applyAlignment="1" applyProtection="1">
      <alignment vertical="top" wrapText="1"/>
    </xf>
    <xf numFmtId="0" fontId="15" fillId="20" borderId="156" xfId="0" applyFont="1" applyFill="1" applyBorder="1" applyAlignment="1" applyProtection="1">
      <alignment vertical="top" wrapText="1"/>
    </xf>
    <xf numFmtId="0" fontId="3" fillId="20" borderId="170" xfId="0" applyFont="1" applyFill="1" applyBorder="1" applyAlignment="1" applyProtection="1">
      <alignment horizontal="left" wrapText="1"/>
    </xf>
    <xf numFmtId="0" fontId="15" fillId="20" borderId="155" xfId="0" applyFont="1" applyFill="1" applyBorder="1" applyAlignment="1" applyProtection="1">
      <alignment vertical="top" wrapText="1"/>
    </xf>
    <xf numFmtId="0" fontId="9" fillId="20" borderId="177" xfId="0" applyFont="1" applyFill="1" applyBorder="1" applyProtection="1"/>
    <xf numFmtId="0" fontId="34" fillId="2" borderId="0" xfId="0" applyNumberFormat="1" applyFont="1" applyFill="1" applyBorder="1" applyAlignment="1" applyProtection="1">
      <alignment horizontal="center"/>
    </xf>
    <xf numFmtId="0" fontId="3" fillId="20" borderId="24" xfId="0" applyFont="1" applyFill="1" applyBorder="1" applyAlignment="1" applyProtection="1">
      <alignment vertical="top"/>
    </xf>
    <xf numFmtId="0" fontId="5" fillId="20" borderId="172" xfId="6" applyFont="1" applyFill="1" applyBorder="1" applyProtection="1"/>
    <xf numFmtId="0" fontId="122" fillId="2" borderId="0" xfId="0" applyFont="1" applyFill="1" applyProtection="1"/>
    <xf numFmtId="3" fontId="3" fillId="20" borderId="157" xfId="0" applyNumberFormat="1" applyFont="1" applyFill="1" applyBorder="1" applyAlignment="1" applyProtection="1">
      <alignment horizontal="left" vertical="top"/>
    </xf>
    <xf numFmtId="1" fontId="3" fillId="20" borderId="85" xfId="0" applyNumberFormat="1" applyFont="1" applyFill="1" applyBorder="1" applyAlignment="1" applyProtection="1">
      <alignment horizontal="left"/>
    </xf>
    <xf numFmtId="3" fontId="13" fillId="2" borderId="124" xfId="0" applyNumberFormat="1" applyFon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3" fontId="2" fillId="3" borderId="2" xfId="0" applyNumberFormat="1" applyFont="1" applyFill="1" applyBorder="1" applyAlignment="1" applyProtection="1">
      <alignment horizontal="right"/>
    </xf>
    <xf numFmtId="3" fontId="2" fillId="2" borderId="28" xfId="0" applyNumberFormat="1" applyFont="1" applyFill="1" applyBorder="1" applyAlignment="1" applyProtection="1">
      <alignment horizontal="right"/>
      <protection locked="0"/>
    </xf>
    <xf numFmtId="3" fontId="2" fillId="3" borderId="106" xfId="0" applyNumberFormat="1" applyFont="1" applyFill="1" applyBorder="1" applyAlignment="1" applyProtection="1">
      <alignment horizontal="right"/>
    </xf>
    <xf numFmtId="3" fontId="3" fillId="20" borderId="82" xfId="0" applyNumberFormat="1" applyFont="1" applyFill="1" applyBorder="1" applyProtection="1"/>
    <xf numFmtId="3" fontId="5" fillId="0" borderId="57" xfId="0" applyNumberFormat="1" applyFont="1" applyFill="1" applyBorder="1" applyProtection="1"/>
    <xf numFmtId="0" fontId="22" fillId="2" borderId="57" xfId="0" applyFont="1" applyFill="1" applyBorder="1" applyProtection="1"/>
    <xf numFmtId="3" fontId="46" fillId="21" borderId="129" xfId="0" applyNumberFormat="1" applyFont="1" applyFill="1" applyBorder="1" applyProtection="1"/>
    <xf numFmtId="0" fontId="3" fillId="20" borderId="174" xfId="0" applyFont="1" applyFill="1" applyBorder="1" applyProtection="1"/>
    <xf numFmtId="0" fontId="3" fillId="20" borderId="27" xfId="0" applyFont="1" applyFill="1" applyBorder="1" applyProtection="1"/>
    <xf numFmtId="3" fontId="2" fillId="21" borderId="0" xfId="0" applyNumberFormat="1" applyFont="1" applyFill="1" applyBorder="1" applyAlignment="1" applyProtection="1">
      <alignment horizontal="right"/>
    </xf>
    <xf numFmtId="0" fontId="2" fillId="20" borderId="56" xfId="0" applyFont="1" applyFill="1" applyBorder="1" applyProtection="1"/>
    <xf numFmtId="0" fontId="3" fillId="20" borderId="56" xfId="0" applyFont="1" applyFill="1" applyBorder="1" applyAlignment="1" applyProtection="1">
      <alignment horizontal="center"/>
    </xf>
    <xf numFmtId="0" fontId="2" fillId="21" borderId="0" xfId="0" applyFont="1" applyFill="1" applyBorder="1" applyProtection="1"/>
    <xf numFmtId="0" fontId="2" fillId="21" borderId="56" xfId="0" applyFont="1" applyFill="1" applyBorder="1" applyProtection="1"/>
    <xf numFmtId="14" fontId="3" fillId="20" borderId="66" xfId="0" applyNumberFormat="1" applyFont="1" applyFill="1" applyBorder="1" applyAlignment="1" applyProtection="1">
      <alignment horizontal="center"/>
    </xf>
    <xf numFmtId="14" fontId="3" fillId="20" borderId="120" xfId="0" applyNumberFormat="1" applyFont="1" applyFill="1" applyBorder="1" applyAlignment="1" applyProtection="1">
      <alignment horizontal="center"/>
    </xf>
    <xf numFmtId="3" fontId="2" fillId="21" borderId="40" xfId="0" applyNumberFormat="1" applyFont="1" applyFill="1" applyBorder="1" applyAlignment="1" applyProtection="1">
      <alignment horizontal="right"/>
    </xf>
    <xf numFmtId="0" fontId="2" fillId="21" borderId="40" xfId="0" applyFont="1" applyFill="1" applyBorder="1" applyProtection="1"/>
    <xf numFmtId="0" fontId="2" fillId="21" borderId="59" xfId="0" applyFont="1" applyFill="1" applyBorder="1" applyProtection="1"/>
    <xf numFmtId="0" fontId="2" fillId="20" borderId="59" xfId="0" applyFont="1" applyFill="1" applyBorder="1" applyProtection="1"/>
    <xf numFmtId="14" fontId="3" fillId="20" borderId="0" xfId="0" applyNumberFormat="1" applyFont="1" applyFill="1" applyBorder="1" applyAlignment="1" applyProtection="1">
      <alignment horizontal="center"/>
    </xf>
    <xf numFmtId="0" fontId="3" fillId="20" borderId="40" xfId="0" applyFont="1" applyFill="1" applyBorder="1" applyProtection="1"/>
    <xf numFmtId="0" fontId="3" fillId="20" borderId="71" xfId="0" applyFont="1" applyFill="1" applyBorder="1" applyProtection="1"/>
    <xf numFmtId="0" fontId="3" fillId="20" borderId="166" xfId="0" applyFont="1" applyFill="1" applyBorder="1" applyProtection="1"/>
    <xf numFmtId="0" fontId="2" fillId="20" borderId="27" xfId="0" applyFont="1" applyFill="1" applyBorder="1" applyProtection="1"/>
    <xf numFmtId="14" fontId="3" fillId="20" borderId="56" xfId="0" applyNumberFormat="1" applyFont="1" applyFill="1" applyBorder="1" applyAlignment="1" applyProtection="1">
      <alignment horizontal="center"/>
    </xf>
    <xf numFmtId="14" fontId="3" fillId="20" borderId="40" xfId="0" applyNumberFormat="1" applyFont="1" applyFill="1" applyBorder="1" applyAlignment="1" applyProtection="1">
      <alignment horizontal="center"/>
    </xf>
    <xf numFmtId="49" fontId="2" fillId="10" borderId="37" xfId="0" applyNumberFormat="1" applyFont="1" applyFill="1" applyBorder="1" applyAlignment="1" applyProtection="1"/>
    <xf numFmtId="0" fontId="3" fillId="20" borderId="72" xfId="0" applyFont="1" applyFill="1" applyBorder="1" applyAlignment="1" applyProtection="1">
      <alignment wrapText="1"/>
    </xf>
    <xf numFmtId="3" fontId="2" fillId="9" borderId="111" xfId="6" applyNumberFormat="1" applyFont="1" applyFill="1" applyBorder="1" applyProtection="1">
      <protection locked="0"/>
    </xf>
    <xf numFmtId="0" fontId="3" fillId="20" borderId="156" xfId="0" applyFont="1" applyFill="1" applyBorder="1" applyAlignment="1" applyProtection="1">
      <alignment vertical="top" wrapText="1"/>
    </xf>
    <xf numFmtId="1" fontId="3" fillId="20" borderId="1" xfId="0" applyNumberFormat="1" applyFont="1" applyFill="1" applyBorder="1" applyAlignment="1" applyProtection="1">
      <alignment horizontal="center" vertical="center" wrapText="1"/>
    </xf>
    <xf numFmtId="0" fontId="3" fillId="20" borderId="38" xfId="0" applyFont="1" applyFill="1" applyBorder="1" applyAlignment="1" applyProtection="1">
      <alignment horizontal="center"/>
    </xf>
    <xf numFmtId="49" fontId="3" fillId="20" borderId="131" xfId="0" applyNumberFormat="1" applyFont="1" applyFill="1" applyBorder="1" applyAlignment="1" applyProtection="1">
      <alignment horizontal="center" wrapText="1"/>
    </xf>
    <xf numFmtId="1" fontId="5" fillId="20" borderId="117" xfId="0" applyNumberFormat="1" applyFont="1" applyFill="1" applyBorder="1" applyAlignment="1" applyProtection="1">
      <alignment horizontal="left"/>
    </xf>
    <xf numFmtId="49" fontId="127" fillId="20" borderId="4" xfId="0" applyNumberFormat="1" applyFont="1" applyFill="1" applyBorder="1" applyAlignment="1" applyProtection="1">
      <alignment horizontal="center"/>
    </xf>
    <xf numFmtId="49" fontId="3" fillId="20" borderId="43" xfId="0" applyNumberFormat="1" applyFont="1" applyFill="1" applyBorder="1" applyAlignment="1" applyProtection="1">
      <alignment horizontal="center" wrapText="1"/>
    </xf>
    <xf numFmtId="49" fontId="3" fillId="20" borderId="130" xfId="0" applyNumberFormat="1" applyFont="1" applyFill="1" applyBorder="1" applyAlignment="1" applyProtection="1">
      <alignment horizontal="center"/>
    </xf>
    <xf numFmtId="49" fontId="3" fillId="20" borderId="131" xfId="0" applyNumberFormat="1" applyFont="1" applyFill="1" applyBorder="1" applyAlignment="1" applyProtection="1">
      <alignment horizontal="center"/>
    </xf>
    <xf numFmtId="0" fontId="3" fillId="20" borderId="196" xfId="0" applyFont="1" applyFill="1" applyBorder="1" applyAlignment="1" applyProtection="1">
      <alignment horizontal="center"/>
    </xf>
    <xf numFmtId="0" fontId="3" fillId="20" borderId="4" xfId="0" applyFont="1" applyFill="1" applyBorder="1" applyAlignment="1" applyProtection="1">
      <alignment horizontal="center" wrapText="1"/>
    </xf>
    <xf numFmtId="49" fontId="3" fillId="20" borderId="34" xfId="0" applyNumberFormat="1" applyFont="1" applyFill="1" applyBorder="1" applyAlignment="1" applyProtection="1">
      <alignment horizontal="center"/>
    </xf>
    <xf numFmtId="49" fontId="3" fillId="20" borderId="35" xfId="0" applyNumberFormat="1" applyFont="1" applyFill="1" applyBorder="1" applyAlignment="1" applyProtection="1">
      <alignment horizontal="center"/>
    </xf>
    <xf numFmtId="49" fontId="3" fillId="20" borderId="109" xfId="0" applyNumberFormat="1" applyFont="1" applyFill="1" applyBorder="1" applyAlignment="1" applyProtection="1">
      <alignment horizontal="center"/>
    </xf>
    <xf numFmtId="1" fontId="3" fillId="20" borderId="74" xfId="0" applyNumberFormat="1" applyFont="1" applyFill="1" applyBorder="1" applyAlignment="1" applyProtection="1">
      <alignment horizontal="center"/>
    </xf>
    <xf numFmtId="1" fontId="3" fillId="20" borderId="1" xfId="0" applyNumberFormat="1" applyFont="1" applyFill="1" applyBorder="1" applyAlignment="1" applyProtection="1">
      <alignment horizontal="center" wrapText="1"/>
    </xf>
    <xf numFmtId="1" fontId="116" fillId="20" borderId="1" xfId="0" applyNumberFormat="1" applyFont="1" applyFill="1" applyBorder="1" applyAlignment="1" applyProtection="1">
      <alignment horizontal="center" wrapText="1"/>
    </xf>
    <xf numFmtId="0" fontId="3" fillId="20" borderId="80" xfId="0" applyFont="1" applyFill="1" applyBorder="1" applyAlignment="1" applyProtection="1">
      <alignment horizontal="center" wrapText="1"/>
    </xf>
    <xf numFmtId="0" fontId="8" fillId="0" borderId="0" xfId="0" applyFont="1" applyFill="1" applyProtection="1"/>
    <xf numFmtId="1" fontId="3" fillId="20" borderId="92" xfId="0" applyNumberFormat="1" applyFont="1" applyFill="1" applyBorder="1" applyAlignment="1" applyProtection="1">
      <alignment horizontal="center"/>
    </xf>
    <xf numFmtId="49" fontId="3" fillId="20" borderId="14" xfId="0" applyNumberFormat="1" applyFont="1" applyFill="1" applyBorder="1" applyAlignment="1" applyProtection="1">
      <alignment horizontal="center"/>
    </xf>
    <xf numFmtId="49" fontId="3" fillId="20" borderId="8" xfId="0" applyNumberFormat="1" applyFont="1" applyFill="1" applyBorder="1" applyAlignment="1" applyProtection="1">
      <alignment horizontal="center"/>
    </xf>
    <xf numFmtId="0" fontId="3" fillId="20" borderId="94" xfId="0" applyFont="1" applyFill="1" applyBorder="1" applyAlignment="1" applyProtection="1">
      <alignment horizontal="center"/>
    </xf>
    <xf numFmtId="1" fontId="3" fillId="20" borderId="25" xfId="0" applyNumberFormat="1" applyFont="1" applyFill="1" applyBorder="1" applyAlignment="1" applyProtection="1">
      <alignment horizontal="center"/>
    </xf>
    <xf numFmtId="49" fontId="3" fillId="20" borderId="165" xfId="0" applyNumberFormat="1" applyFont="1" applyFill="1" applyBorder="1" applyAlignment="1" applyProtection="1">
      <alignment horizontal="center"/>
    </xf>
    <xf numFmtId="1" fontId="8" fillId="20" borderId="85" xfId="0" applyNumberFormat="1" applyFont="1" applyFill="1" applyBorder="1" applyAlignment="1" applyProtection="1">
      <alignment horizontal="center"/>
    </xf>
    <xf numFmtId="0" fontId="3" fillId="20" borderId="94" xfId="0" applyFont="1" applyFill="1" applyBorder="1" applyAlignment="1" applyProtection="1">
      <alignment horizontal="left" vertical="top" wrapText="1"/>
    </xf>
    <xf numFmtId="3" fontId="3" fillId="20" borderId="25" xfId="0" applyNumberFormat="1" applyFont="1" applyFill="1" applyBorder="1" applyAlignment="1" applyProtection="1">
      <alignment horizontal="left" vertical="top" wrapText="1"/>
    </xf>
    <xf numFmtId="3" fontId="3" fillId="20" borderId="80" xfId="0" applyNumberFormat="1" applyFont="1" applyFill="1" applyBorder="1" applyAlignment="1" applyProtection="1"/>
    <xf numFmtId="3" fontId="3" fillId="20" borderId="95" xfId="0" applyNumberFormat="1" applyFont="1" applyFill="1" applyBorder="1" applyAlignment="1" applyProtection="1"/>
    <xf numFmtId="0" fontId="7" fillId="29" borderId="156" xfId="0" applyFont="1" applyFill="1" applyBorder="1" applyProtection="1"/>
    <xf numFmtId="0" fontId="0" fillId="29" borderId="192" xfId="0" applyFill="1" applyBorder="1" applyAlignment="1" applyProtection="1">
      <alignment vertical="top" wrapText="1"/>
    </xf>
    <xf numFmtId="0" fontId="7" fillId="29" borderId="43" xfId="0" applyFont="1" applyFill="1" applyBorder="1" applyProtection="1"/>
    <xf numFmtId="0" fontId="3" fillId="20" borderId="81" xfId="0" applyFont="1" applyFill="1" applyBorder="1" applyAlignment="1" applyProtection="1">
      <alignment vertical="top"/>
    </xf>
    <xf numFmtId="0" fontId="3" fillId="20" borderId="25" xfId="0" applyFont="1" applyFill="1" applyBorder="1" applyAlignment="1" applyProtection="1">
      <alignment horizontal="left" vertical="top" wrapText="1"/>
    </xf>
    <xf numFmtId="0" fontId="3" fillId="29" borderId="60" xfId="0" applyFont="1" applyFill="1" applyBorder="1" applyProtection="1"/>
    <xf numFmtId="0" fontId="5" fillId="29" borderId="155" xfId="0" applyFont="1" applyFill="1" applyBorder="1" applyAlignment="1" applyProtection="1">
      <alignment vertical="top" wrapText="1"/>
    </xf>
    <xf numFmtId="0" fontId="7" fillId="29" borderId="64" xfId="0" applyFont="1" applyFill="1" applyBorder="1" applyProtection="1"/>
    <xf numFmtId="0" fontId="0" fillId="29" borderId="173" xfId="0" applyFill="1" applyBorder="1" applyAlignment="1" applyProtection="1">
      <alignment wrapText="1"/>
    </xf>
    <xf numFmtId="0" fontId="3" fillId="20" borderId="24" xfId="0" applyFont="1" applyFill="1" applyBorder="1" applyAlignment="1" applyProtection="1">
      <alignment horizontal="left" vertical="top" wrapText="1"/>
    </xf>
    <xf numFmtId="0" fontId="3" fillId="20" borderId="26" xfId="0" applyFont="1" applyFill="1" applyBorder="1" applyAlignment="1" applyProtection="1">
      <alignment horizontal="left" vertical="top" wrapText="1"/>
    </xf>
    <xf numFmtId="0" fontId="3" fillId="29" borderId="117" xfId="0" applyFont="1" applyFill="1" applyBorder="1" applyProtection="1"/>
    <xf numFmtId="0" fontId="3" fillId="20" borderId="4" xfId="0" applyFont="1" applyFill="1" applyBorder="1" applyAlignment="1" applyProtection="1">
      <alignment vertical="top"/>
    </xf>
    <xf numFmtId="0" fontId="3" fillId="20" borderId="4" xfId="0" applyFont="1" applyFill="1" applyBorder="1" applyAlignment="1" applyProtection="1">
      <alignment horizontal="left" vertical="top" wrapText="1"/>
    </xf>
    <xf numFmtId="171" fontId="35" fillId="0" borderId="0" xfId="0" applyNumberFormat="1" applyFont="1" applyFill="1" applyBorder="1" applyAlignment="1" applyProtection="1">
      <alignment horizontal="left" vertical="top" wrapText="1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2" fillId="2" borderId="0" xfId="0" applyNumberFormat="1" applyFont="1" applyFill="1" applyBorder="1" applyAlignment="1" applyProtection="1">
      <alignment horizontal="right"/>
    </xf>
    <xf numFmtId="49" fontId="8" fillId="0" borderId="66" xfId="0" applyNumberFormat="1" applyFont="1" applyFill="1" applyBorder="1" applyAlignment="1" applyProtection="1">
      <alignment horizontal="center"/>
    </xf>
    <xf numFmtId="0" fontId="14" fillId="0" borderId="66" xfId="0" applyFont="1" applyFill="1" applyBorder="1" applyProtection="1"/>
    <xf numFmtId="3" fontId="2" fillId="0" borderId="66" xfId="0" applyNumberFormat="1" applyFont="1" applyFill="1" applyBorder="1" applyAlignment="1" applyProtection="1">
      <alignment horizontal="right"/>
    </xf>
    <xf numFmtId="0" fontId="35" fillId="0" borderId="0" xfId="0" applyFont="1" applyFill="1" applyBorder="1" applyAlignment="1" applyProtection="1">
      <alignment horizontal="right"/>
    </xf>
    <xf numFmtId="0" fontId="5" fillId="20" borderId="188" xfId="0" applyFont="1" applyFill="1" applyBorder="1" applyAlignment="1" applyProtection="1">
      <alignment horizontal="left"/>
    </xf>
    <xf numFmtId="0" fontId="3" fillId="20" borderId="35" xfId="0" applyFont="1" applyFill="1" applyBorder="1" applyAlignment="1" applyProtection="1">
      <alignment horizontal="left"/>
    </xf>
    <xf numFmtId="3" fontId="2" fillId="2" borderId="41" xfId="0" applyNumberFormat="1" applyFont="1" applyFill="1" applyBorder="1" applyAlignment="1" applyProtection="1">
      <alignment horizontal="right"/>
      <protection locked="0"/>
    </xf>
    <xf numFmtId="0" fontId="3" fillId="20" borderId="11" xfId="0" applyFont="1" applyFill="1" applyBorder="1" applyAlignment="1" applyProtection="1">
      <alignment horizontal="left"/>
    </xf>
    <xf numFmtId="0" fontId="5" fillId="20" borderId="25" xfId="0" applyFont="1" applyFill="1" applyBorder="1" applyAlignment="1" applyProtection="1">
      <alignment horizontal="left"/>
    </xf>
    <xf numFmtId="3" fontId="2" fillId="2" borderId="207" xfId="0" applyNumberFormat="1" applyFont="1" applyFill="1" applyBorder="1" applyAlignment="1" applyProtection="1">
      <alignment horizontal="right"/>
      <protection locked="0"/>
    </xf>
    <xf numFmtId="0" fontId="3" fillId="20" borderId="159" xfId="0" applyFont="1" applyFill="1" applyBorder="1" applyAlignment="1" applyProtection="1">
      <alignment horizontal="left" wrapText="1"/>
    </xf>
    <xf numFmtId="49" fontId="8" fillId="0" borderId="208" xfId="0" applyNumberFormat="1" applyFont="1" applyFill="1" applyBorder="1" applyAlignment="1" applyProtection="1">
      <alignment horizontal="center"/>
    </xf>
    <xf numFmtId="49" fontId="3" fillId="0" borderId="208" xfId="0" applyNumberFormat="1" applyFont="1" applyFill="1" applyBorder="1" applyAlignment="1" applyProtection="1">
      <alignment horizontal="center" wrapText="1"/>
    </xf>
    <xf numFmtId="49" fontId="3" fillId="0" borderId="208" xfId="0" applyNumberFormat="1" applyFont="1" applyFill="1" applyBorder="1" applyAlignment="1" applyProtection="1">
      <alignment horizontal="left"/>
    </xf>
    <xf numFmtId="3" fontId="3" fillId="20" borderId="15" xfId="0" applyNumberFormat="1" applyFont="1" applyFill="1" applyBorder="1" applyAlignment="1" applyProtection="1">
      <alignment horizontal="left" wrapText="1"/>
    </xf>
    <xf numFmtId="3" fontId="3" fillId="20" borderId="60" xfId="0" applyNumberFormat="1" applyFont="1" applyFill="1" applyBorder="1" applyAlignment="1" applyProtection="1">
      <alignment horizontal="left" vertical="top"/>
    </xf>
    <xf numFmtId="0" fontId="4" fillId="0" borderId="0" xfId="0" applyFont="1" applyFill="1" applyAlignment="1" applyProtection="1">
      <alignment vertical="center"/>
    </xf>
    <xf numFmtId="0" fontId="73" fillId="2" borderId="0" xfId="0" applyFont="1" applyFill="1" applyAlignment="1" applyProtection="1"/>
    <xf numFmtId="0" fontId="128" fillId="0" borderId="0" xfId="0" applyNumberFormat="1" applyFont="1" applyFill="1" applyBorder="1" applyAlignment="1" applyProtection="1">
      <alignment horizontal="left"/>
    </xf>
    <xf numFmtId="3" fontId="5" fillId="20" borderId="117" xfId="0" applyNumberFormat="1" applyFont="1" applyFill="1" applyBorder="1" applyAlignment="1" applyProtection="1">
      <alignment horizontal="left"/>
    </xf>
    <xf numFmtId="3" fontId="5" fillId="20" borderId="15" xfId="0" applyNumberFormat="1" applyFont="1" applyFill="1" applyBorder="1" applyAlignment="1" applyProtection="1">
      <alignment horizontal="left" vertical="top" wrapText="1"/>
    </xf>
    <xf numFmtId="49" fontId="3" fillId="20" borderId="43" xfId="0" applyNumberFormat="1" applyFont="1" applyFill="1" applyBorder="1" applyAlignment="1" applyProtection="1">
      <alignment horizontal="left"/>
    </xf>
    <xf numFmtId="3" fontId="13" fillId="9" borderId="63" xfId="0" applyNumberFormat="1" applyFont="1" applyFill="1" applyBorder="1" applyProtection="1"/>
    <xf numFmtId="3" fontId="2" fillId="9" borderId="63" xfId="0" applyNumberFormat="1" applyFont="1" applyFill="1" applyBorder="1" applyProtection="1"/>
    <xf numFmtId="0" fontId="9" fillId="0" borderId="0" xfId="0" applyFont="1" applyFill="1" applyProtection="1"/>
    <xf numFmtId="3" fontId="121" fillId="0" borderId="0" xfId="0" applyNumberFormat="1" applyFont="1" applyFill="1" applyBorder="1" applyProtection="1"/>
    <xf numFmtId="3" fontId="10" fillId="0" borderId="4" xfId="0" quotePrefix="1" applyNumberFormat="1" applyFont="1" applyFill="1" applyBorder="1" applyAlignment="1" applyProtection="1">
      <alignment horizontal="right"/>
      <protection locked="0"/>
    </xf>
    <xf numFmtId="3" fontId="10" fillId="0" borderId="51" xfId="0" quotePrefix="1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 applyProtection="1"/>
    <xf numFmtId="0" fontId="35" fillId="28" borderId="0" xfId="0" applyFont="1" applyFill="1" applyProtection="1"/>
    <xf numFmtId="3" fontId="129" fillId="20" borderId="0" xfId="0" applyNumberFormat="1" applyFont="1" applyFill="1" applyBorder="1" applyAlignment="1" applyProtection="1"/>
    <xf numFmtId="3" fontId="129" fillId="20" borderId="44" xfId="0" applyNumberFormat="1" applyFont="1" applyFill="1" applyBorder="1" applyAlignment="1" applyProtection="1"/>
    <xf numFmtId="0" fontId="129" fillId="2" borderId="0" xfId="0" applyFont="1" applyFill="1" applyProtection="1"/>
    <xf numFmtId="0" fontId="9" fillId="2" borderId="209" xfId="0" applyFont="1" applyFill="1" applyBorder="1" applyProtection="1">
      <protection locked="0"/>
    </xf>
    <xf numFmtId="165" fontId="7" fillId="0" borderId="12" xfId="0" applyNumberFormat="1" applyFont="1" applyFill="1" applyBorder="1" applyAlignment="1" applyProtection="1">
      <alignment horizontal="center" vertical="center"/>
    </xf>
    <xf numFmtId="0" fontId="0" fillId="2" borderId="12" xfId="0" applyFill="1" applyBorder="1" applyProtection="1"/>
    <xf numFmtId="0" fontId="3" fillId="2" borderId="12" xfId="0" applyFont="1" applyFill="1" applyBorder="1" applyProtection="1"/>
    <xf numFmtId="0" fontId="3" fillId="20" borderId="35" xfId="0" applyFont="1" applyFill="1" applyBorder="1" applyProtection="1"/>
    <xf numFmtId="3" fontId="9" fillId="2" borderId="112" xfId="0" applyNumberFormat="1" applyFont="1" applyFill="1" applyBorder="1" applyProtection="1">
      <protection locked="0"/>
    </xf>
    <xf numFmtId="3" fontId="9" fillId="2" borderId="75" xfId="0" applyNumberFormat="1" applyFont="1" applyFill="1" applyBorder="1" applyProtection="1">
      <protection locked="0"/>
    </xf>
    <xf numFmtId="0" fontId="3" fillId="20" borderId="15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/>
    <xf numFmtId="0" fontId="3" fillId="0" borderId="0" xfId="6" applyFont="1" applyFill="1" applyBorder="1" applyProtection="1"/>
    <xf numFmtId="0" fontId="1" fillId="0" borderId="0" xfId="0" applyFont="1" applyBorder="1" applyProtection="1"/>
    <xf numFmtId="0" fontId="8" fillId="2" borderId="0" xfId="0" applyFont="1" applyFill="1" applyBorder="1" applyAlignment="1" applyProtection="1"/>
    <xf numFmtId="49" fontId="64" fillId="0" borderId="0" xfId="0" applyNumberFormat="1" applyFont="1" applyFill="1" applyBorder="1" applyAlignment="1" applyProtection="1"/>
    <xf numFmtId="0" fontId="66" fillId="2" borderId="0" xfId="0" applyFont="1" applyFill="1" applyBorder="1" applyAlignment="1" applyProtection="1"/>
    <xf numFmtId="0" fontId="71" fillId="2" borderId="0" xfId="0" applyFont="1" applyFill="1" applyBorder="1" applyProtection="1"/>
    <xf numFmtId="0" fontId="37" fillId="2" borderId="0" xfId="0" applyFont="1" applyFill="1" applyBorder="1" applyProtection="1"/>
    <xf numFmtId="0" fontId="18" fillId="0" borderId="0" xfId="0" applyFont="1" applyFill="1" applyBorder="1" applyAlignment="1" applyProtection="1">
      <alignment horizontal="left"/>
    </xf>
    <xf numFmtId="0" fontId="113" fillId="0" borderId="0" xfId="5" applyFont="1" applyFill="1" applyBorder="1" applyAlignment="1" applyProtection="1"/>
    <xf numFmtId="0" fontId="30" fillId="0" borderId="0" xfId="0" applyFont="1" applyFill="1" applyBorder="1" applyProtection="1"/>
    <xf numFmtId="0" fontId="23" fillId="0" borderId="0" xfId="0" applyFont="1" applyFill="1" applyBorder="1" applyProtection="1"/>
    <xf numFmtId="0" fontId="57" fillId="0" borderId="0" xfId="0" applyFont="1" applyFill="1" applyBorder="1" applyAlignment="1" applyProtection="1">
      <alignment vertical="top"/>
    </xf>
    <xf numFmtId="0" fontId="86" fillId="0" borderId="0" xfId="0" applyFont="1" applyFill="1" applyBorder="1" applyProtection="1"/>
    <xf numFmtId="0" fontId="63" fillId="0" borderId="0" xfId="0" applyFont="1" applyFill="1" applyBorder="1" applyProtection="1"/>
    <xf numFmtId="49" fontId="130" fillId="0" borderId="0" xfId="0" applyNumberFormat="1" applyFont="1" applyFill="1" applyBorder="1" applyAlignment="1" applyProtection="1">
      <alignment horizontal="right"/>
    </xf>
    <xf numFmtId="0" fontId="40" fillId="0" borderId="0" xfId="0" applyFont="1" applyFill="1" applyBorder="1" applyAlignment="1" applyProtection="1">
      <alignment horizontal="center"/>
    </xf>
    <xf numFmtId="0" fontId="51" fillId="0" borderId="0" xfId="0" applyNumberFormat="1" applyFont="1" applyFill="1" applyBorder="1" applyProtection="1"/>
    <xf numFmtId="0" fontId="0" fillId="0" borderId="0" xfId="0" applyFill="1" applyBorder="1" applyAlignment="1">
      <alignment vertical="top" wrapText="1"/>
    </xf>
    <xf numFmtId="0" fontId="34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/>
    </xf>
    <xf numFmtId="3" fontId="3" fillId="20" borderId="27" xfId="6" applyNumberFormat="1" applyFont="1" applyFill="1" applyBorder="1" applyProtection="1"/>
    <xf numFmtId="3" fontId="3" fillId="20" borderId="66" xfId="0" applyNumberFormat="1" applyFont="1" applyFill="1" applyBorder="1" applyAlignment="1" applyProtection="1">
      <alignment wrapText="1"/>
    </xf>
    <xf numFmtId="0" fontId="5" fillId="20" borderId="117" xfId="0" applyFont="1" applyFill="1" applyBorder="1" applyAlignment="1" applyProtection="1">
      <alignment horizontal="left"/>
    </xf>
    <xf numFmtId="3" fontId="46" fillId="22" borderId="22" xfId="0" applyNumberFormat="1" applyFont="1" applyFill="1" applyBorder="1" applyProtection="1"/>
    <xf numFmtId="0" fontId="5" fillId="20" borderId="148" xfId="0" applyFont="1" applyFill="1" applyBorder="1" applyAlignment="1" applyProtection="1">
      <alignment horizontal="center" vertical="center" wrapText="1"/>
    </xf>
    <xf numFmtId="3" fontId="46" fillId="21" borderId="150" xfId="0" applyNumberFormat="1" applyFont="1" applyFill="1" applyBorder="1" applyProtection="1"/>
    <xf numFmtId="3" fontId="46" fillId="22" borderId="197" xfId="0" applyNumberFormat="1" applyFont="1" applyFill="1" applyBorder="1" applyProtection="1"/>
    <xf numFmtId="3" fontId="46" fillId="21" borderId="122" xfId="0" applyNumberFormat="1" applyFont="1" applyFill="1" applyBorder="1" applyProtection="1"/>
    <xf numFmtId="0" fontId="3" fillId="20" borderId="132" xfId="0" applyFont="1" applyFill="1" applyBorder="1" applyAlignment="1" applyProtection="1">
      <alignment horizontal="center"/>
    </xf>
    <xf numFmtId="0" fontId="3" fillId="20" borderId="210" xfId="0" applyFont="1" applyFill="1" applyBorder="1" applyAlignment="1" applyProtection="1">
      <alignment horizontal="center"/>
    </xf>
    <xf numFmtId="0" fontId="5" fillId="20" borderId="117" xfId="0" applyFont="1" applyFill="1" applyBorder="1" applyAlignment="1" applyProtection="1"/>
    <xf numFmtId="49" fontId="3" fillId="20" borderId="145" xfId="0" applyNumberFormat="1" applyFont="1" applyFill="1" applyBorder="1" applyAlignment="1" applyProtection="1">
      <alignment horizontal="center"/>
    </xf>
    <xf numFmtId="49" fontId="3" fillId="20" borderId="157" xfId="0" applyNumberFormat="1" applyFont="1" applyFill="1" applyBorder="1" applyAlignment="1" applyProtection="1">
      <alignment horizontal="center"/>
    </xf>
    <xf numFmtId="1" fontId="3" fillId="20" borderId="74" xfId="0" applyNumberFormat="1" applyFont="1" applyFill="1" applyBorder="1" applyAlignment="1" applyProtection="1">
      <alignment horizontal="center" vertical="top" wrapText="1"/>
    </xf>
    <xf numFmtId="0" fontId="3" fillId="20" borderId="35" xfId="0" applyFont="1" applyFill="1" applyBorder="1" applyAlignment="1" applyProtection="1">
      <alignment horizontal="center"/>
    </xf>
    <xf numFmtId="0" fontId="3" fillId="20" borderId="74" xfId="0" applyFont="1" applyFill="1" applyBorder="1" applyAlignment="1" applyProtection="1">
      <alignment horizontal="center"/>
    </xf>
    <xf numFmtId="0" fontId="3" fillId="20" borderId="202" xfId="0" applyFont="1" applyFill="1" applyBorder="1" applyProtection="1"/>
    <xf numFmtId="3" fontId="5" fillId="2" borderId="66" xfId="0" applyNumberFormat="1" applyFont="1" applyFill="1" applyBorder="1" applyProtection="1"/>
    <xf numFmtId="3" fontId="94" fillId="20" borderId="97" xfId="0" applyNumberFormat="1" applyFont="1" applyFill="1" applyBorder="1" applyProtection="1"/>
    <xf numFmtId="3" fontId="16" fillId="20" borderId="164" xfId="0" applyNumberFormat="1" applyFont="1" applyFill="1" applyBorder="1" applyProtection="1"/>
    <xf numFmtId="0" fontId="33" fillId="20" borderId="164" xfId="0" applyFont="1" applyFill="1" applyBorder="1" applyProtection="1"/>
    <xf numFmtId="3" fontId="16" fillId="20" borderId="16" xfId="0" applyNumberFormat="1" applyFont="1" applyFill="1" applyBorder="1" applyProtection="1"/>
    <xf numFmtId="0" fontId="8" fillId="20" borderId="16" xfId="0" applyFont="1" applyFill="1" applyBorder="1" applyAlignment="1" applyProtection="1">
      <alignment horizontal="left"/>
    </xf>
    <xf numFmtId="0" fontId="8" fillId="20" borderId="164" xfId="0" applyFont="1" applyFill="1" applyBorder="1" applyAlignment="1" applyProtection="1">
      <alignment horizontal="left"/>
    </xf>
    <xf numFmtId="3" fontId="45" fillId="20" borderId="164" xfId="0" applyNumberFormat="1" applyFont="1" applyFill="1" applyBorder="1" applyProtection="1"/>
    <xf numFmtId="0" fontId="22" fillId="20" borderId="72" xfId="0" applyFont="1" applyFill="1" applyBorder="1" applyProtection="1"/>
    <xf numFmtId="0" fontId="5" fillId="20" borderId="21" xfId="0" applyFont="1" applyFill="1" applyBorder="1" applyAlignment="1" applyProtection="1">
      <alignment horizontal="center"/>
    </xf>
    <xf numFmtId="0" fontId="5" fillId="20" borderId="104" xfId="0" applyFont="1" applyFill="1" applyBorder="1" applyProtection="1"/>
    <xf numFmtId="0" fontId="3" fillId="20" borderId="117" xfId="0" applyFont="1" applyFill="1" applyBorder="1" applyAlignment="1" applyProtection="1">
      <alignment vertical="top" wrapText="1"/>
    </xf>
    <xf numFmtId="0" fontId="3" fillId="20" borderId="91" xfId="0" applyFont="1" applyFill="1" applyBorder="1" applyAlignment="1" applyProtection="1">
      <alignment vertical="top" wrapText="1"/>
    </xf>
    <xf numFmtId="49" fontId="3" fillId="10" borderId="47" xfId="0" applyNumberFormat="1" applyFont="1" applyFill="1" applyBorder="1" applyAlignment="1" applyProtection="1">
      <alignment vertical="top" wrapText="1"/>
    </xf>
    <xf numFmtId="3" fontId="35" fillId="20" borderId="56" xfId="0" applyNumberFormat="1" applyFont="1" applyFill="1" applyBorder="1" applyProtection="1"/>
    <xf numFmtId="0" fontId="3" fillId="20" borderId="56" xfId="6" applyFont="1" applyFill="1" applyBorder="1" applyAlignment="1" applyProtection="1">
      <alignment wrapText="1"/>
    </xf>
    <xf numFmtId="0" fontId="7" fillId="20" borderId="27" xfId="6" applyFont="1" applyFill="1" applyBorder="1" applyAlignment="1" applyProtection="1">
      <alignment horizontal="left"/>
    </xf>
    <xf numFmtId="3" fontId="42" fillId="20" borderId="27" xfId="6" applyNumberFormat="1" applyFont="1" applyFill="1" applyBorder="1" applyProtection="1"/>
    <xf numFmtId="3" fontId="3" fillId="20" borderId="120" xfId="0" applyNumberFormat="1" applyFont="1" applyFill="1" applyBorder="1" applyAlignment="1" applyProtection="1">
      <alignment wrapText="1"/>
    </xf>
    <xf numFmtId="0" fontId="5" fillId="20" borderId="66" xfId="0" applyFont="1" applyFill="1" applyBorder="1" applyAlignment="1" applyProtection="1">
      <alignment horizontal="center"/>
    </xf>
    <xf numFmtId="0" fontId="5" fillId="20" borderId="0" xfId="0" applyFont="1" applyFill="1" applyBorder="1" applyAlignment="1" applyProtection="1">
      <alignment horizontal="center"/>
    </xf>
    <xf numFmtId="0" fontId="5" fillId="20" borderId="12" xfId="0" applyFont="1" applyFill="1" applyBorder="1" applyAlignment="1" applyProtection="1">
      <alignment horizontal="center"/>
    </xf>
    <xf numFmtId="0" fontId="121" fillId="20" borderId="211" xfId="0" applyFont="1" applyFill="1" applyBorder="1" applyAlignment="1" applyProtection="1">
      <alignment horizontal="left"/>
    </xf>
    <xf numFmtId="0" fontId="121" fillId="20" borderId="66" xfId="0" applyFont="1" applyFill="1" applyBorder="1" applyAlignment="1" applyProtection="1">
      <alignment horizontal="left"/>
    </xf>
    <xf numFmtId="0" fontId="121" fillId="20" borderId="0" xfId="0" applyFont="1" applyFill="1" applyBorder="1" applyAlignment="1" applyProtection="1">
      <alignment horizontal="left"/>
    </xf>
    <xf numFmtId="0" fontId="121" fillId="20" borderId="54" xfId="0" applyFont="1" applyFill="1" applyBorder="1" applyAlignment="1" applyProtection="1">
      <alignment horizontal="left"/>
    </xf>
    <xf numFmtId="0" fontId="121" fillId="20" borderId="82" xfId="0" applyFont="1" applyFill="1" applyBorder="1" applyAlignment="1" applyProtection="1">
      <alignment horizontal="left"/>
    </xf>
    <xf numFmtId="0" fontId="121" fillId="20" borderId="10" xfId="0" applyFont="1" applyFill="1" applyBorder="1" applyAlignment="1" applyProtection="1">
      <alignment horizontal="left"/>
    </xf>
    <xf numFmtId="0" fontId="121" fillId="20" borderId="40" xfId="0" applyFont="1" applyFill="1" applyBorder="1" applyAlignment="1" applyProtection="1">
      <alignment horizontal="left"/>
    </xf>
    <xf numFmtId="0" fontId="121" fillId="20" borderId="80" xfId="0" applyFont="1" applyFill="1" applyBorder="1" applyAlignment="1" applyProtection="1">
      <alignment horizontal="left"/>
    </xf>
    <xf numFmtId="9" fontId="3" fillId="20" borderId="212" xfId="0" applyNumberFormat="1" applyFont="1" applyFill="1" applyBorder="1" applyAlignment="1" applyProtection="1">
      <alignment horizontal="right"/>
    </xf>
    <xf numFmtId="9" fontId="3" fillId="20" borderId="91" xfId="0" applyNumberFormat="1" applyFont="1" applyFill="1" applyBorder="1" applyAlignment="1" applyProtection="1">
      <alignment horizontal="right"/>
    </xf>
    <xf numFmtId="9" fontId="3" fillId="20" borderId="60" xfId="0" applyNumberFormat="1" applyFont="1" applyFill="1" applyBorder="1" applyAlignment="1" applyProtection="1">
      <alignment horizontal="right"/>
    </xf>
    <xf numFmtId="9" fontId="3" fillId="20" borderId="18" xfId="0" applyNumberFormat="1" applyFont="1" applyFill="1" applyBorder="1" applyAlignment="1" applyProtection="1">
      <alignment horizontal="right"/>
    </xf>
    <xf numFmtId="9" fontId="3" fillId="20" borderId="26" xfId="0" applyNumberFormat="1" applyFont="1" applyFill="1" applyBorder="1" applyAlignment="1" applyProtection="1">
      <alignment horizontal="right"/>
    </xf>
    <xf numFmtId="9" fontId="3" fillId="20" borderId="73" xfId="0" applyNumberFormat="1" applyFont="1" applyFill="1" applyBorder="1" applyAlignment="1" applyProtection="1">
      <alignment horizontal="right"/>
    </xf>
    <xf numFmtId="9" fontId="3" fillId="20" borderId="65" xfId="0" applyNumberFormat="1" applyFont="1" applyFill="1" applyBorder="1" applyAlignment="1" applyProtection="1">
      <alignment horizontal="right"/>
    </xf>
    <xf numFmtId="9" fontId="3" fillId="20" borderId="19" xfId="0" applyNumberFormat="1" applyFont="1" applyFill="1" applyBorder="1" applyAlignment="1" applyProtection="1">
      <alignment horizontal="right"/>
    </xf>
    <xf numFmtId="0" fontId="121" fillId="20" borderId="66" xfId="0" applyFont="1" applyFill="1" applyBorder="1" applyAlignment="1" applyProtection="1">
      <alignment horizontal="right"/>
    </xf>
    <xf numFmtId="0" fontId="121" fillId="20" borderId="0" xfId="0" applyFont="1" applyFill="1" applyBorder="1" applyAlignment="1" applyProtection="1">
      <alignment horizontal="right"/>
    </xf>
    <xf numFmtId="0" fontId="121" fillId="20" borderId="54" xfId="0" applyFont="1" applyFill="1" applyBorder="1" applyAlignment="1" applyProtection="1">
      <alignment horizontal="right"/>
    </xf>
    <xf numFmtId="9" fontId="121" fillId="20" borderId="82" xfId="0" applyNumberFormat="1" applyFont="1" applyFill="1" applyBorder="1" applyAlignment="1" applyProtection="1">
      <alignment horizontal="right"/>
    </xf>
    <xf numFmtId="0" fontId="121" fillId="20" borderId="80" xfId="0" applyFont="1" applyFill="1" applyBorder="1" applyAlignment="1" applyProtection="1">
      <alignment horizontal="right"/>
    </xf>
    <xf numFmtId="0" fontId="121" fillId="20" borderId="10" xfId="0" applyFont="1" applyFill="1" applyBorder="1" applyAlignment="1" applyProtection="1">
      <alignment horizontal="right"/>
    </xf>
    <xf numFmtId="9" fontId="121" fillId="20" borderId="40" xfId="0" applyNumberFormat="1" applyFont="1" applyFill="1" applyBorder="1" applyAlignment="1" applyProtection="1">
      <alignment horizontal="right"/>
    </xf>
    <xf numFmtId="0" fontId="5" fillId="20" borderId="36" xfId="0" applyFont="1" applyFill="1" applyBorder="1" applyAlignment="1" applyProtection="1">
      <alignment horizontal="center"/>
    </xf>
    <xf numFmtId="49" fontId="3" fillId="20" borderId="213" xfId="0" applyNumberFormat="1" applyFont="1" applyFill="1" applyBorder="1" applyAlignment="1" applyProtection="1">
      <alignment horizontal="center"/>
    </xf>
    <xf numFmtId="3" fontId="13" fillId="2" borderId="85" xfId="0" applyNumberFormat="1" applyFont="1" applyFill="1" applyBorder="1" applyAlignment="1" applyProtection="1">
      <alignment horizontal="right"/>
      <protection locked="0"/>
    </xf>
    <xf numFmtId="3" fontId="13" fillId="2" borderId="186" xfId="0" applyNumberFormat="1" applyFont="1" applyFill="1" applyBorder="1" applyAlignment="1" applyProtection="1">
      <alignment horizontal="right"/>
      <protection locked="0"/>
    </xf>
    <xf numFmtId="170" fontId="3" fillId="28" borderId="85" xfId="0" applyNumberFormat="1" applyFont="1" applyFill="1" applyBorder="1" applyAlignment="1" applyProtection="1">
      <alignment horizontal="left"/>
    </xf>
    <xf numFmtId="170" fontId="3" fillId="28" borderId="186" xfId="0" applyNumberFormat="1" applyFont="1" applyFill="1" applyBorder="1" applyAlignment="1" applyProtection="1">
      <alignment horizontal="left"/>
    </xf>
    <xf numFmtId="0" fontId="15" fillId="20" borderId="116" xfId="0" applyFont="1" applyFill="1" applyBorder="1" applyAlignment="1" applyProtection="1">
      <alignment horizontal="center"/>
    </xf>
    <xf numFmtId="0" fontId="3" fillId="20" borderId="104" xfId="0" applyFont="1" applyFill="1" applyBorder="1" applyAlignment="1" applyProtection="1">
      <alignment horizontal="left" vertical="top" wrapText="1"/>
    </xf>
    <xf numFmtId="0" fontId="3" fillId="20" borderId="116" xfId="0" applyFont="1" applyFill="1" applyBorder="1" applyAlignment="1" applyProtection="1">
      <alignment horizontal="left" vertical="top"/>
    </xf>
    <xf numFmtId="3" fontId="3" fillId="20" borderId="104" xfId="0" applyNumberFormat="1" applyFont="1" applyFill="1" applyBorder="1" applyAlignment="1" applyProtection="1">
      <alignment horizontal="left" vertical="top" wrapText="1"/>
    </xf>
    <xf numFmtId="0" fontId="3" fillId="20" borderId="119" xfId="0" applyFont="1" applyFill="1" applyBorder="1" applyAlignment="1" applyProtection="1">
      <alignment horizontal="left" vertical="top" wrapText="1"/>
    </xf>
    <xf numFmtId="3" fontId="3" fillId="20" borderId="117" xfId="0" applyNumberFormat="1" applyFont="1" applyFill="1" applyBorder="1" applyAlignment="1" applyProtection="1">
      <alignment horizontal="left" wrapText="1"/>
    </xf>
    <xf numFmtId="49" fontId="3" fillId="20" borderId="117" xfId="0" applyNumberFormat="1" applyFont="1" applyFill="1" applyBorder="1" applyAlignment="1" applyProtection="1">
      <alignment vertical="top"/>
    </xf>
    <xf numFmtId="3" fontId="3" fillId="20" borderId="104" xfId="0" applyNumberFormat="1" applyFont="1" applyFill="1" applyBorder="1" applyAlignment="1" applyProtection="1">
      <alignment vertical="top"/>
    </xf>
    <xf numFmtId="3" fontId="3" fillId="20" borderId="91" xfId="0" applyNumberFormat="1" applyFont="1" applyFill="1" applyBorder="1" applyAlignment="1" applyProtection="1">
      <alignment vertical="top" wrapText="1"/>
    </xf>
    <xf numFmtId="0" fontId="3" fillId="20" borderId="125" xfId="0" applyFont="1" applyFill="1" applyBorder="1" applyAlignment="1" applyProtection="1">
      <alignment vertical="top" wrapText="1"/>
    </xf>
    <xf numFmtId="3" fontId="3" fillId="20" borderId="60" xfId="0" applyNumberFormat="1" applyFont="1" applyFill="1" applyBorder="1" applyAlignment="1" applyProtection="1">
      <alignment vertical="top" wrapText="1"/>
    </xf>
    <xf numFmtId="0" fontId="0" fillId="20" borderId="44" xfId="0" applyFill="1" applyBorder="1" applyProtection="1"/>
    <xf numFmtId="0" fontId="3" fillId="20" borderId="16" xfId="0" applyFont="1" applyFill="1" applyBorder="1" applyAlignment="1" applyProtection="1">
      <alignment horizontal="left" vertical="top" wrapText="1"/>
    </xf>
    <xf numFmtId="3" fontId="3" fillId="20" borderId="164" xfId="0" applyNumberFormat="1" applyFont="1" applyFill="1" applyBorder="1" applyProtection="1"/>
    <xf numFmtId="3" fontId="3" fillId="20" borderId="15" xfId="0" applyNumberFormat="1" applyFont="1" applyFill="1" applyBorder="1" applyAlignment="1" applyProtection="1">
      <alignment horizontal="left" vertical="top" wrapText="1"/>
    </xf>
    <xf numFmtId="0" fontId="11" fillId="20" borderId="0" xfId="0" applyFont="1" applyFill="1" applyBorder="1" applyProtection="1"/>
    <xf numFmtId="3" fontId="3" fillId="20" borderId="16" xfId="0" applyNumberFormat="1" applyFont="1" applyFill="1" applyBorder="1" applyAlignment="1" applyProtection="1">
      <alignment vertical="top"/>
    </xf>
    <xf numFmtId="3" fontId="8" fillId="20" borderId="60" xfId="0" applyNumberFormat="1" applyFont="1" applyFill="1" applyBorder="1" applyProtection="1"/>
    <xf numFmtId="0" fontId="5" fillId="20" borderId="44" xfId="0" applyFont="1" applyFill="1" applyBorder="1" applyProtection="1"/>
    <xf numFmtId="3" fontId="8" fillId="20" borderId="16" xfId="0" applyNumberFormat="1" applyFont="1" applyFill="1" applyBorder="1" applyAlignment="1" applyProtection="1">
      <alignment horizontal="left"/>
    </xf>
    <xf numFmtId="0" fontId="8" fillId="20" borderId="164" xfId="0" applyFont="1" applyFill="1" applyBorder="1" applyProtection="1"/>
    <xf numFmtId="3" fontId="8" fillId="20" borderId="152" xfId="0" applyNumberFormat="1" applyFont="1" applyFill="1" applyBorder="1" applyAlignment="1" applyProtection="1">
      <alignment horizontal="left" vertical="top"/>
    </xf>
    <xf numFmtId="0" fontId="0" fillId="20" borderId="0" xfId="0" applyFill="1" applyBorder="1" applyAlignment="1" applyProtection="1">
      <alignment vertical="top" wrapText="1"/>
    </xf>
    <xf numFmtId="0" fontId="11" fillId="20" borderId="16" xfId="0" applyFont="1" applyFill="1" applyBorder="1" applyProtection="1"/>
    <xf numFmtId="0" fontId="8" fillId="20" borderId="60" xfId="0" applyFont="1" applyFill="1" applyBorder="1" applyProtection="1"/>
    <xf numFmtId="0" fontId="8" fillId="20" borderId="15" xfId="0" applyFont="1" applyFill="1" applyBorder="1" applyProtection="1"/>
    <xf numFmtId="0" fontId="11" fillId="20" borderId="62" xfId="0" applyFont="1" applyFill="1" applyBorder="1" applyProtection="1"/>
    <xf numFmtId="0" fontId="8" fillId="20" borderId="43" xfId="0" applyFont="1" applyFill="1" applyBorder="1" applyProtection="1"/>
    <xf numFmtId="3" fontId="8" fillId="20" borderId="145" xfId="0" applyNumberFormat="1" applyFont="1" applyFill="1" applyBorder="1" applyProtection="1"/>
    <xf numFmtId="49" fontId="8" fillId="20" borderId="92" xfId="0" applyNumberFormat="1" applyFont="1" applyFill="1" applyBorder="1" applyProtection="1"/>
    <xf numFmtId="0" fontId="8" fillId="20" borderId="64" xfId="0" applyFont="1" applyFill="1" applyBorder="1" applyProtection="1"/>
    <xf numFmtId="3" fontId="3" fillId="20" borderId="120" xfId="0" applyNumberFormat="1" applyFont="1" applyFill="1" applyBorder="1" applyProtection="1"/>
    <xf numFmtId="0" fontId="3" fillId="20" borderId="27" xfId="0" applyFont="1" applyFill="1" applyBorder="1" applyAlignment="1" applyProtection="1">
      <alignment vertical="top"/>
    </xf>
    <xf numFmtId="0" fontId="7" fillId="20" borderId="27" xfId="0" applyFont="1" applyFill="1" applyBorder="1" applyAlignment="1" applyProtection="1">
      <alignment wrapText="1"/>
    </xf>
    <xf numFmtId="9" fontId="35" fillId="20" borderId="27" xfId="13" applyFont="1" applyFill="1" applyBorder="1" applyProtection="1"/>
    <xf numFmtId="9" fontId="35" fillId="20" borderId="27" xfId="13" quotePrefix="1" applyFont="1" applyFill="1" applyBorder="1" applyProtection="1"/>
    <xf numFmtId="0" fontId="5" fillId="20" borderId="191" xfId="0" applyFont="1" applyFill="1" applyBorder="1" applyAlignment="1" applyProtection="1">
      <alignment wrapText="1"/>
    </xf>
    <xf numFmtId="49" fontId="3" fillId="20" borderId="156" xfId="6" applyNumberFormat="1" applyFont="1" applyFill="1" applyBorder="1" applyAlignment="1" applyProtection="1">
      <alignment vertical="center"/>
    </xf>
    <xf numFmtId="3" fontId="3" fillId="20" borderId="156" xfId="6" applyNumberFormat="1" applyFont="1" applyFill="1" applyBorder="1" applyAlignment="1" applyProtection="1"/>
    <xf numFmtId="49" fontId="3" fillId="20" borderId="192" xfId="6" applyNumberFormat="1" applyFont="1" applyFill="1" applyBorder="1" applyProtection="1"/>
    <xf numFmtId="3" fontId="3" fillId="20" borderId="156" xfId="0" applyNumberFormat="1" applyFont="1" applyFill="1" applyBorder="1" applyAlignment="1" applyProtection="1">
      <alignment vertical="top"/>
    </xf>
    <xf numFmtId="0" fontId="3" fillId="20" borderId="0" xfId="0" applyFont="1" applyFill="1" applyBorder="1" applyAlignment="1" applyProtection="1">
      <alignment horizontal="left" vertical="center"/>
    </xf>
    <xf numFmtId="3" fontId="3" fillId="20" borderId="206" xfId="0" applyNumberFormat="1" applyFont="1" applyFill="1" applyBorder="1" applyAlignment="1" applyProtection="1">
      <alignment wrapText="1"/>
    </xf>
    <xf numFmtId="3" fontId="3" fillId="20" borderId="71" xfId="0" applyNumberFormat="1" applyFont="1" applyFill="1" applyBorder="1" applyAlignment="1" applyProtection="1">
      <alignment horizontal="right"/>
    </xf>
    <xf numFmtId="3" fontId="3" fillId="20" borderId="0" xfId="0" applyNumberFormat="1" applyFont="1" applyFill="1" applyBorder="1" applyAlignment="1" applyProtection="1">
      <alignment horizontal="right"/>
    </xf>
    <xf numFmtId="3" fontId="3" fillId="20" borderId="27" xfId="6" applyNumberFormat="1" applyFont="1" applyFill="1" applyBorder="1" applyAlignment="1" applyProtection="1">
      <alignment vertical="top"/>
    </xf>
    <xf numFmtId="3" fontId="46" fillId="20" borderId="100" xfId="0" applyNumberFormat="1" applyFont="1" applyFill="1" applyBorder="1" applyAlignment="1" applyProtection="1">
      <alignment horizontal="right"/>
    </xf>
    <xf numFmtId="3" fontId="3" fillId="20" borderId="40" xfId="0" applyNumberFormat="1" applyFont="1" applyFill="1" applyBorder="1" applyAlignment="1" applyProtection="1">
      <alignment horizontal="right"/>
    </xf>
    <xf numFmtId="3" fontId="3" fillId="20" borderId="59" xfId="0" applyNumberFormat="1" applyFont="1" applyFill="1" applyBorder="1" applyAlignment="1" applyProtection="1">
      <alignment horizontal="left"/>
    </xf>
    <xf numFmtId="3" fontId="3" fillId="20" borderId="27" xfId="6" applyNumberFormat="1" applyFont="1" applyFill="1" applyBorder="1" applyAlignment="1" applyProtection="1">
      <alignment vertical="top" wrapText="1"/>
    </xf>
    <xf numFmtId="3" fontId="3" fillId="20" borderId="191" xfId="6" applyNumberFormat="1" applyFont="1" applyFill="1" applyBorder="1" applyAlignment="1" applyProtection="1">
      <alignment vertical="top" wrapText="1"/>
    </xf>
    <xf numFmtId="3" fontId="3" fillId="20" borderId="0" xfId="0" applyNumberFormat="1" applyFont="1" applyFill="1" applyBorder="1" applyAlignment="1" applyProtection="1">
      <alignment vertical="center" wrapText="1"/>
    </xf>
    <xf numFmtId="3" fontId="3" fillId="20" borderId="56" xfId="0" applyNumberFormat="1" applyFont="1" applyFill="1" applyBorder="1" applyAlignment="1" applyProtection="1">
      <alignment vertical="center" wrapText="1"/>
    </xf>
    <xf numFmtId="3" fontId="3" fillId="20" borderId="174" xfId="6" applyNumberFormat="1" applyFont="1" applyFill="1" applyBorder="1" applyAlignment="1" applyProtection="1">
      <alignment vertical="top" wrapText="1"/>
    </xf>
    <xf numFmtId="0" fontId="65" fillId="10" borderId="27" xfId="0" applyFont="1" applyFill="1" applyBorder="1" applyAlignment="1">
      <alignment horizontal="right" wrapText="1"/>
    </xf>
    <xf numFmtId="0" fontId="65" fillId="10" borderId="0" xfId="0" applyFont="1" applyFill="1" applyBorder="1" applyAlignment="1">
      <alignment horizontal="center" wrapText="1"/>
    </xf>
    <xf numFmtId="0" fontId="0" fillId="10" borderId="44" xfId="0" applyFill="1" applyBorder="1"/>
    <xf numFmtId="0" fontId="0" fillId="20" borderId="0" xfId="0" applyFill="1"/>
    <xf numFmtId="0" fontId="9" fillId="10" borderId="27" xfId="0" applyFont="1" applyFill="1" applyBorder="1"/>
    <xf numFmtId="0" fontId="0" fillId="10" borderId="62" xfId="0" applyFill="1" applyBorder="1"/>
    <xf numFmtId="0" fontId="8" fillId="0" borderId="0" xfId="0" applyFont="1" applyFill="1" applyBorder="1" applyProtection="1"/>
    <xf numFmtId="0" fontId="11" fillId="0" borderId="0" xfId="0" applyFont="1" applyFill="1" applyBorder="1" applyProtection="1"/>
    <xf numFmtId="3" fontId="131" fillId="3" borderId="63" xfId="0" applyNumberFormat="1" applyFont="1" applyFill="1" applyBorder="1" applyAlignment="1" applyProtection="1">
      <alignment horizontal="right"/>
    </xf>
    <xf numFmtId="3" fontId="131" fillId="3" borderId="214" xfId="0" applyNumberFormat="1" applyFont="1" applyFill="1" applyBorder="1" applyAlignment="1" applyProtection="1">
      <alignment horizontal="right"/>
    </xf>
    <xf numFmtId="49" fontId="3" fillId="20" borderId="85" xfId="6" applyNumberFormat="1" applyFont="1" applyFill="1" applyBorder="1" applyAlignment="1" applyProtection="1">
      <alignment horizontal="left" wrapText="1"/>
    </xf>
    <xf numFmtId="0" fontId="3" fillId="20" borderId="145" xfId="6" applyFont="1" applyFill="1" applyBorder="1" applyAlignment="1" applyProtection="1">
      <alignment horizontal="center"/>
    </xf>
    <xf numFmtId="1" fontId="8" fillId="20" borderId="35" xfId="0" applyNumberFormat="1" applyFont="1" applyFill="1" applyBorder="1" applyAlignment="1" applyProtection="1">
      <alignment horizontal="center"/>
    </xf>
    <xf numFmtId="3" fontId="2" fillId="2" borderId="95" xfId="0" applyNumberFormat="1" applyFont="1" applyFill="1" applyBorder="1" applyAlignment="1" applyProtection="1">
      <alignment horizontal="right"/>
      <protection locked="0"/>
    </xf>
    <xf numFmtId="3" fontId="2" fillId="2" borderId="163" xfId="6" applyNumberFormat="1" applyFont="1" applyFill="1" applyBorder="1" applyAlignment="1" applyProtection="1">
      <alignment horizontal="right"/>
      <protection locked="0"/>
    </xf>
    <xf numFmtId="49" fontId="3" fillId="20" borderId="34" xfId="0" applyNumberFormat="1" applyFont="1" applyFill="1" applyBorder="1" applyAlignment="1" applyProtection="1">
      <alignment horizontal="center"/>
    </xf>
    <xf numFmtId="3" fontId="3" fillId="20" borderId="29" xfId="0" applyNumberFormat="1" applyFont="1" applyFill="1" applyBorder="1" applyAlignment="1" applyProtection="1">
      <alignment horizontal="center"/>
    </xf>
    <xf numFmtId="3" fontId="2" fillId="2" borderId="182" xfId="0" applyNumberFormat="1" applyFont="1" applyFill="1" applyBorder="1" applyAlignment="1" applyProtection="1">
      <alignment horizontal="right"/>
      <protection locked="0"/>
    </xf>
    <xf numFmtId="3" fontId="3" fillId="20" borderId="80" xfId="0" applyNumberFormat="1" applyFont="1" applyFill="1" applyBorder="1" applyAlignment="1" applyProtection="1"/>
    <xf numFmtId="3" fontId="3" fillId="20" borderId="95" xfId="0" applyNumberFormat="1" applyFont="1" applyFill="1" applyBorder="1" applyAlignment="1" applyProtection="1"/>
    <xf numFmtId="0" fontId="126" fillId="2" borderId="0" xfId="0" applyFont="1" applyFill="1" applyProtection="1"/>
    <xf numFmtId="3" fontId="3" fillId="20" borderId="27" xfId="0" applyNumberFormat="1" applyFont="1" applyFill="1" applyBorder="1" applyAlignment="1" applyProtection="1"/>
    <xf numFmtId="1" fontId="3" fillId="20" borderId="74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Protection="1"/>
    <xf numFmtId="0" fontId="132" fillId="2" borderId="0" xfId="0" applyFont="1" applyFill="1" applyBorder="1" applyProtection="1"/>
    <xf numFmtId="0" fontId="2" fillId="2" borderId="64" xfId="6" applyFont="1" applyFill="1" applyBorder="1" applyProtection="1">
      <protection locked="0"/>
    </xf>
    <xf numFmtId="0" fontId="3" fillId="20" borderId="185" xfId="6" applyFont="1" applyFill="1" applyBorder="1" applyAlignment="1" applyProtection="1">
      <alignment horizontal="right" wrapText="1"/>
    </xf>
    <xf numFmtId="0" fontId="3" fillId="20" borderId="52" xfId="6" applyFont="1" applyFill="1" applyBorder="1" applyAlignment="1" applyProtection="1">
      <alignment horizontal="left" wrapText="1"/>
    </xf>
    <xf numFmtId="0" fontId="7" fillId="20" borderId="174" xfId="6" applyFont="1" applyFill="1" applyBorder="1" applyProtection="1"/>
    <xf numFmtId="0" fontId="7" fillId="20" borderId="166" xfId="6" applyFont="1" applyFill="1" applyBorder="1" applyProtection="1"/>
    <xf numFmtId="0" fontId="3" fillId="20" borderId="131" xfId="6" applyFont="1" applyFill="1" applyBorder="1" applyAlignment="1" applyProtection="1">
      <alignment horizontal="center"/>
    </xf>
    <xf numFmtId="0" fontId="3" fillId="20" borderId="130" xfId="6" applyFont="1" applyFill="1" applyBorder="1" applyAlignment="1" applyProtection="1">
      <alignment horizontal="center"/>
    </xf>
    <xf numFmtId="0" fontId="3" fillId="20" borderId="131" xfId="6" applyFont="1" applyFill="1" applyBorder="1" applyProtection="1"/>
    <xf numFmtId="3" fontId="9" fillId="2" borderId="209" xfId="6" applyNumberFormat="1" applyFont="1" applyFill="1" applyBorder="1" applyProtection="1">
      <protection locked="0"/>
    </xf>
    <xf numFmtId="0" fontId="35" fillId="0" borderId="44" xfId="0" applyFont="1" applyFill="1" applyBorder="1" applyProtection="1"/>
    <xf numFmtId="3" fontId="35" fillId="0" borderId="0" xfId="0" applyNumberFormat="1" applyFont="1" applyFill="1" applyBorder="1" applyAlignment="1" applyProtection="1"/>
    <xf numFmtId="0" fontId="35" fillId="0" borderId="0" xfId="0" applyFont="1" applyFill="1" applyAlignment="1" applyProtection="1">
      <alignment horizontal="left"/>
    </xf>
    <xf numFmtId="3" fontId="35" fillId="0" borderId="44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 wrapText="1"/>
    </xf>
    <xf numFmtId="3" fontId="5" fillId="0" borderId="66" xfId="0" applyNumberFormat="1" applyFont="1" applyFill="1" applyBorder="1" applyAlignment="1" applyProtection="1">
      <alignment horizontal="left" vertical="top"/>
    </xf>
    <xf numFmtId="0" fontId="0" fillId="20" borderId="28" xfId="0" applyFill="1" applyBorder="1" applyProtection="1"/>
    <xf numFmtId="0" fontId="0" fillId="20" borderId="155" xfId="0" applyFill="1" applyBorder="1" applyProtection="1"/>
    <xf numFmtId="3" fontId="2" fillId="20" borderId="30" xfId="0" applyNumberFormat="1" applyFont="1" applyFill="1" applyBorder="1" applyAlignment="1" applyProtection="1">
      <alignment horizontal="right"/>
    </xf>
    <xf numFmtId="3" fontId="2" fillId="20" borderId="47" xfId="0" applyNumberFormat="1" applyFont="1" applyFill="1" applyBorder="1" applyAlignment="1" applyProtection="1">
      <alignment horizontal="right"/>
    </xf>
    <xf numFmtId="3" fontId="2" fillId="20" borderId="28" xfId="0" applyNumberFormat="1" applyFont="1" applyFill="1" applyBorder="1" applyAlignment="1" applyProtection="1">
      <alignment horizontal="right"/>
    </xf>
    <xf numFmtId="3" fontId="2" fillId="20" borderId="29" xfId="0" applyNumberFormat="1" applyFont="1" applyFill="1" applyBorder="1" applyAlignment="1" applyProtection="1">
      <alignment horizontal="right"/>
    </xf>
    <xf numFmtId="3" fontId="94" fillId="20" borderId="44" xfId="0" applyNumberFormat="1" applyFont="1" applyFill="1" applyBorder="1" applyProtection="1"/>
    <xf numFmtId="9" fontId="46" fillId="20" borderId="187" xfId="0" applyNumberFormat="1" applyFont="1" applyFill="1" applyBorder="1" applyProtection="1"/>
    <xf numFmtId="9" fontId="46" fillId="20" borderId="5" xfId="0" applyNumberFormat="1" applyFont="1" applyFill="1" applyBorder="1" applyProtection="1"/>
    <xf numFmtId="9" fontId="46" fillId="20" borderId="2" xfId="0" applyNumberFormat="1" applyFont="1" applyFill="1" applyBorder="1" applyProtection="1"/>
    <xf numFmtId="3" fontId="94" fillId="20" borderId="183" xfId="0" applyNumberFormat="1" applyFont="1" applyFill="1" applyBorder="1" applyProtection="1"/>
    <xf numFmtId="9" fontId="46" fillId="20" borderId="2" xfId="0" quotePrefix="1" applyNumberFormat="1" applyFont="1" applyFill="1" applyBorder="1" applyProtection="1"/>
    <xf numFmtId="3" fontId="46" fillId="20" borderId="44" xfId="0" applyNumberFormat="1" applyFont="1" applyFill="1" applyBorder="1" applyProtection="1"/>
    <xf numFmtId="3" fontId="94" fillId="20" borderId="69" xfId="0" applyNumberFormat="1" applyFont="1" applyFill="1" applyBorder="1" applyProtection="1"/>
    <xf numFmtId="3" fontId="2" fillId="20" borderId="45" xfId="0" applyNumberFormat="1" applyFont="1" applyFill="1" applyBorder="1" applyAlignment="1" applyProtection="1">
      <alignment horizontal="right"/>
    </xf>
    <xf numFmtId="9" fontId="46" fillId="20" borderId="76" xfId="0" applyNumberFormat="1" applyFont="1" applyFill="1" applyBorder="1" applyProtection="1"/>
    <xf numFmtId="3" fontId="111" fillId="20" borderId="69" xfId="0" applyNumberFormat="1" applyFont="1" applyFill="1" applyBorder="1" applyProtection="1"/>
    <xf numFmtId="0" fontId="1" fillId="20" borderId="162" xfId="0" applyFont="1" applyFill="1" applyBorder="1" applyProtection="1"/>
    <xf numFmtId="3" fontId="94" fillId="20" borderId="100" xfId="0" applyNumberFormat="1" applyFont="1" applyFill="1" applyBorder="1" applyProtection="1"/>
    <xf numFmtId="0" fontId="2" fillId="20" borderId="0" xfId="0" applyFont="1" applyFill="1" applyBorder="1" applyAlignment="1" applyProtection="1">
      <alignment wrapText="1"/>
    </xf>
    <xf numFmtId="0" fontId="9" fillId="20" borderId="12" xfId="0" applyFont="1" applyFill="1" applyBorder="1" applyAlignment="1" applyProtection="1">
      <alignment horizontal="left" wrapText="1"/>
    </xf>
    <xf numFmtId="3" fontId="42" fillId="20" borderId="0" xfId="0" applyNumberFormat="1" applyFont="1" applyFill="1" applyBorder="1" applyAlignment="1" applyProtection="1">
      <alignment horizontal="right"/>
    </xf>
    <xf numFmtId="3" fontId="35" fillId="20" borderId="40" xfId="0" quotePrefix="1" applyNumberFormat="1" applyFont="1" applyFill="1" applyBorder="1" applyAlignment="1" applyProtection="1">
      <alignment horizontal="left"/>
    </xf>
    <xf numFmtId="3" fontId="42" fillId="20" borderId="40" xfId="0" applyNumberFormat="1" applyFont="1" applyFill="1" applyBorder="1" applyAlignment="1" applyProtection="1">
      <alignment horizontal="right"/>
    </xf>
    <xf numFmtId="3" fontId="35" fillId="20" borderId="40" xfId="0" applyNumberFormat="1" applyFont="1" applyFill="1" applyBorder="1" applyAlignment="1" applyProtection="1">
      <alignment horizontal="left"/>
    </xf>
    <xf numFmtId="0" fontId="3" fillId="20" borderId="116" xfId="0" applyFont="1" applyFill="1" applyBorder="1" applyAlignment="1" applyProtection="1">
      <alignment horizontal="left" vertical="top" wrapText="1"/>
    </xf>
    <xf numFmtId="3" fontId="2" fillId="20" borderId="155" xfId="0" applyNumberFormat="1" applyFont="1" applyFill="1" applyBorder="1" applyAlignment="1" applyProtection="1">
      <alignment horizontal="right"/>
    </xf>
    <xf numFmtId="3" fontId="2" fillId="20" borderId="46" xfId="0" applyNumberFormat="1" applyFont="1" applyFill="1" applyBorder="1" applyAlignment="1" applyProtection="1">
      <alignment horizontal="right"/>
    </xf>
    <xf numFmtId="0" fontId="0" fillId="20" borderId="44" xfId="0" applyFill="1" applyBorder="1" applyProtection="1"/>
    <xf numFmtId="3" fontId="5" fillId="20" borderId="215" xfId="0" applyNumberFormat="1" applyFont="1" applyFill="1" applyBorder="1" applyAlignment="1" applyProtection="1">
      <alignment horizontal="left" vertical="center" wrapText="1"/>
    </xf>
    <xf numFmtId="0" fontId="9" fillId="20" borderId="47" xfId="0" applyFont="1" applyFill="1" applyBorder="1" applyProtection="1"/>
    <xf numFmtId="3" fontId="2" fillId="20" borderId="108" xfId="0" applyNumberFormat="1" applyFont="1" applyFill="1" applyBorder="1" applyAlignment="1" applyProtection="1">
      <alignment horizontal="right"/>
    </xf>
    <xf numFmtId="0" fontId="0" fillId="20" borderId="190" xfId="0" applyFill="1" applyBorder="1" applyProtection="1"/>
    <xf numFmtId="3" fontId="2" fillId="20" borderId="45" xfId="0" applyNumberFormat="1" applyFont="1" applyFill="1" applyBorder="1" applyProtection="1"/>
    <xf numFmtId="3" fontId="3" fillId="20" borderId="27" xfId="6" applyNumberFormat="1" applyFont="1" applyFill="1" applyBorder="1" applyAlignment="1" applyProtection="1">
      <alignment vertical="top" wrapText="1"/>
    </xf>
    <xf numFmtId="3" fontId="35" fillId="0" borderId="44" xfId="0" applyNumberFormat="1" applyFont="1" applyFill="1" applyBorder="1" applyAlignment="1" applyProtection="1"/>
    <xf numFmtId="0" fontId="109" fillId="0" borderId="0" xfId="0" applyFont="1" applyFill="1" applyBorder="1" applyProtection="1"/>
    <xf numFmtId="0" fontId="35" fillId="0" borderId="0" xfId="10" applyFont="1" applyFill="1" applyBorder="1" applyProtection="1"/>
    <xf numFmtId="0" fontId="0" fillId="20" borderId="47" xfId="0" applyFill="1" applyBorder="1" applyProtection="1"/>
    <xf numFmtId="0" fontId="0" fillId="0" borderId="62" xfId="0" applyFill="1" applyBorder="1" applyProtection="1"/>
    <xf numFmtId="3" fontId="35" fillId="0" borderId="44" xfId="6" quotePrefix="1" applyNumberFormat="1" applyFont="1" applyFill="1" applyBorder="1" applyAlignment="1" applyProtection="1">
      <alignment horizontal="left"/>
    </xf>
    <xf numFmtId="0" fontId="35" fillId="0" borderId="44" xfId="0" applyFont="1" applyFill="1" applyBorder="1" applyAlignment="1" applyProtection="1">
      <alignment vertical="center"/>
    </xf>
    <xf numFmtId="0" fontId="35" fillId="0" borderId="100" xfId="0" applyFont="1" applyFill="1" applyBorder="1" applyProtection="1"/>
    <xf numFmtId="3" fontId="16" fillId="20" borderId="44" xfId="0" applyNumberFormat="1" applyFont="1" applyFill="1" applyBorder="1" applyProtection="1"/>
    <xf numFmtId="3" fontId="45" fillId="20" borderId="44" xfId="0" applyNumberFormat="1" applyFont="1" applyFill="1" applyBorder="1" applyProtection="1"/>
    <xf numFmtId="0" fontId="0" fillId="20" borderId="27" xfId="0" applyFill="1" applyBorder="1" applyAlignment="1">
      <alignment vertical="top" wrapText="1"/>
    </xf>
    <xf numFmtId="0" fontId="1" fillId="20" borderId="27" xfId="0" applyFont="1" applyFill="1" applyBorder="1" applyAlignment="1">
      <alignment wrapText="1"/>
    </xf>
    <xf numFmtId="0" fontId="0" fillId="20" borderId="27" xfId="0" applyFill="1" applyBorder="1" applyAlignment="1">
      <alignment wrapText="1"/>
    </xf>
    <xf numFmtId="0" fontId="0" fillId="20" borderId="110" xfId="0" applyFill="1" applyBorder="1" applyAlignment="1">
      <alignment wrapText="1"/>
    </xf>
    <xf numFmtId="0" fontId="0" fillId="20" borderId="177" xfId="0" applyFill="1" applyBorder="1" applyAlignment="1">
      <alignment vertical="top" wrapText="1"/>
    </xf>
    <xf numFmtId="3" fontId="36" fillId="0" borderId="81" xfId="0" applyNumberFormat="1" applyFont="1" applyFill="1" applyBorder="1" applyAlignment="1" applyProtection="1">
      <alignment horizontal="right"/>
    </xf>
    <xf numFmtId="3" fontId="36" fillId="0" borderId="195" xfId="0" applyNumberFormat="1" applyFont="1" applyFill="1" applyBorder="1" applyAlignment="1" applyProtection="1">
      <alignment horizontal="right"/>
    </xf>
    <xf numFmtId="3" fontId="36" fillId="0" borderId="25" xfId="0" applyNumberFormat="1" applyFont="1" applyFill="1" applyBorder="1" applyAlignment="1" applyProtection="1">
      <alignment horizontal="right"/>
    </xf>
    <xf numFmtId="3" fontId="36" fillId="0" borderId="26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 wrapText="1"/>
      <protection locked="0"/>
    </xf>
    <xf numFmtId="0" fontId="3" fillId="20" borderId="180" xfId="0" applyFont="1" applyFill="1" applyBorder="1" applyAlignment="1" applyProtection="1">
      <alignment horizontal="left" wrapText="1"/>
    </xf>
    <xf numFmtId="0" fontId="0" fillId="20" borderId="181" xfId="0" applyFill="1" applyBorder="1" applyAlignment="1" applyProtection="1"/>
    <xf numFmtId="0" fontId="0" fillId="20" borderId="182" xfId="0" applyFill="1" applyBorder="1" applyAlignment="1" applyProtection="1"/>
    <xf numFmtId="0" fontId="3" fillId="20" borderId="15" xfId="6" applyFont="1" applyFill="1" applyBorder="1" applyAlignment="1" applyProtection="1">
      <alignment horizontal="left" vertical="center" wrapText="1"/>
    </xf>
    <xf numFmtId="0" fontId="22" fillId="20" borderId="137" xfId="6" applyFill="1" applyBorder="1" applyAlignment="1" applyProtection="1">
      <alignment wrapText="1"/>
    </xf>
    <xf numFmtId="0" fontId="22" fillId="20" borderId="62" xfId="6" applyFill="1" applyBorder="1" applyAlignment="1" applyProtection="1">
      <alignment wrapText="1"/>
    </xf>
    <xf numFmtId="0" fontId="2" fillId="0" borderId="0" xfId="6" applyFont="1" applyBorder="1" applyAlignment="1" applyProtection="1">
      <alignment vertical="top" wrapText="1"/>
      <protection locked="0"/>
    </xf>
    <xf numFmtId="0" fontId="3" fillId="20" borderId="156" xfId="0" applyFont="1" applyFill="1" applyBorder="1" applyAlignment="1" applyProtection="1">
      <alignment vertical="top" wrapText="1"/>
    </xf>
    <xf numFmtId="0" fontId="2" fillId="0" borderId="0" xfId="0" applyFont="1" applyBorder="1" applyAlignment="1">
      <alignment vertical="top" wrapText="1"/>
    </xf>
    <xf numFmtId="49" fontId="3" fillId="20" borderId="74" xfId="6" applyNumberFormat="1" applyFont="1" applyFill="1" applyBorder="1" applyAlignment="1" applyProtection="1">
      <alignment horizontal="center"/>
    </xf>
    <xf numFmtId="3" fontId="2" fillId="2" borderId="0" xfId="6" applyNumberFormat="1" applyFont="1" applyFill="1" applyBorder="1" applyProtection="1">
      <protection locked="0"/>
    </xf>
    <xf numFmtId="0" fontId="3" fillId="20" borderId="152" xfId="0" applyFont="1" applyFill="1" applyBorder="1" applyAlignment="1" applyProtection="1">
      <alignment horizontal="left" wrapText="1"/>
    </xf>
    <xf numFmtId="3" fontId="13" fillId="2" borderId="56" xfId="0" applyNumberFormat="1" applyFont="1" applyFill="1" applyBorder="1" applyAlignment="1" applyProtection="1">
      <alignment horizontal="right"/>
      <protection locked="0"/>
    </xf>
    <xf numFmtId="0" fontId="126" fillId="0" borderId="0" xfId="0" applyFont="1" applyFill="1" applyBorder="1" applyProtection="1"/>
    <xf numFmtId="165" fontId="7" fillId="0" borderId="12" xfId="6" applyNumberFormat="1" applyFont="1" applyFill="1" applyBorder="1" applyAlignment="1" applyProtection="1">
      <alignment horizontal="center" vertical="center"/>
    </xf>
    <xf numFmtId="49" fontId="3" fillId="20" borderId="130" xfId="6" applyNumberFormat="1" applyFont="1" applyFill="1" applyBorder="1" applyAlignment="1" applyProtection="1">
      <alignment horizontal="center"/>
    </xf>
    <xf numFmtId="49" fontId="3" fillId="20" borderId="131" xfId="6" applyNumberFormat="1" applyFont="1" applyFill="1" applyBorder="1" applyAlignment="1" applyProtection="1">
      <alignment horizontal="center"/>
    </xf>
    <xf numFmtId="49" fontId="3" fillId="20" borderId="216" xfId="6" applyNumberFormat="1" applyFont="1" applyFill="1" applyBorder="1" applyAlignment="1" applyProtection="1">
      <alignment horizontal="left"/>
    </xf>
    <xf numFmtId="3" fontId="2" fillId="2" borderId="67" xfId="6" applyNumberFormat="1" applyFont="1" applyFill="1" applyBorder="1" applyAlignment="1" applyProtection="1">
      <alignment horizontal="right"/>
      <protection locked="0"/>
    </xf>
    <xf numFmtId="0" fontId="53" fillId="2" borderId="67" xfId="6" applyFont="1" applyFill="1" applyBorder="1" applyProtection="1"/>
    <xf numFmtId="0" fontId="3" fillId="2" borderId="0" xfId="6" applyFont="1" applyFill="1" applyBorder="1" applyProtection="1"/>
    <xf numFmtId="3" fontId="2" fillId="2" borderId="6" xfId="6" applyNumberFormat="1" applyFont="1" applyFill="1" applyBorder="1" applyAlignment="1" applyProtection="1">
      <alignment horizontal="right"/>
      <protection locked="0"/>
    </xf>
    <xf numFmtId="3" fontId="2" fillId="2" borderId="0" xfId="6" applyNumberFormat="1" applyFont="1" applyFill="1" applyBorder="1" applyProtection="1"/>
    <xf numFmtId="3" fontId="35" fillId="0" borderId="0" xfId="6" applyNumberFormat="1" applyFont="1" applyFill="1" applyBorder="1" applyProtection="1"/>
    <xf numFmtId="0" fontId="22" fillId="2" borderId="0" xfId="6" applyFill="1" applyBorder="1" applyProtection="1"/>
    <xf numFmtId="49" fontId="22" fillId="2" borderId="0" xfId="6" applyNumberFormat="1" applyFill="1" applyProtection="1"/>
    <xf numFmtId="0" fontId="85" fillId="2" borderId="0" xfId="6" applyFont="1" applyFill="1" applyProtection="1"/>
    <xf numFmtId="0" fontId="53" fillId="2" borderId="0" xfId="6" applyFont="1" applyFill="1" applyBorder="1" applyProtection="1"/>
    <xf numFmtId="49" fontId="3" fillId="20" borderId="130" xfId="6" applyNumberFormat="1" applyFont="1" applyFill="1" applyBorder="1" applyAlignment="1" applyProtection="1">
      <alignment horizontal="center"/>
    </xf>
    <xf numFmtId="49" fontId="3" fillId="20" borderId="131" xfId="6" applyNumberFormat="1" applyFont="1" applyFill="1" applyBorder="1" applyAlignment="1" applyProtection="1">
      <alignment horizontal="center"/>
    </xf>
    <xf numFmtId="49" fontId="3" fillId="20" borderId="34" xfId="6" applyNumberFormat="1" applyFont="1" applyFill="1" applyBorder="1" applyAlignment="1" applyProtection="1">
      <alignment horizontal="center"/>
    </xf>
    <xf numFmtId="49" fontId="3" fillId="20" borderId="35" xfId="6" applyNumberFormat="1" applyFont="1" applyFill="1" applyBorder="1" applyAlignment="1" applyProtection="1">
      <alignment horizontal="center"/>
    </xf>
    <xf numFmtId="49" fontId="3" fillId="20" borderId="14" xfId="6" applyNumberFormat="1" applyFont="1" applyFill="1" applyBorder="1" applyAlignment="1" applyProtection="1">
      <alignment horizontal="center"/>
    </xf>
    <xf numFmtId="49" fontId="3" fillId="20" borderId="8" xfId="6" applyNumberFormat="1" applyFont="1" applyFill="1" applyBorder="1" applyAlignment="1" applyProtection="1">
      <alignment horizontal="center"/>
    </xf>
    <xf numFmtId="49" fontId="3" fillId="20" borderId="109" xfId="6" applyNumberFormat="1" applyFont="1" applyFill="1" applyBorder="1" applyAlignment="1" applyProtection="1">
      <alignment horizontal="center"/>
    </xf>
    <xf numFmtId="3" fontId="2" fillId="2" borderId="0" xfId="6" applyNumberFormat="1" applyFont="1" applyFill="1" applyBorder="1" applyAlignment="1" applyProtection="1">
      <alignment horizontal="right"/>
      <protection locked="0"/>
    </xf>
    <xf numFmtId="49" fontId="3" fillId="0" borderId="208" xfId="6" applyNumberFormat="1" applyFont="1" applyFill="1" applyBorder="1" applyAlignment="1" applyProtection="1">
      <alignment horizontal="center"/>
    </xf>
    <xf numFmtId="49" fontId="3" fillId="0" borderId="208" xfId="6" applyNumberFormat="1" applyFont="1" applyFill="1" applyBorder="1" applyAlignment="1" applyProtection="1">
      <alignment horizontal="left"/>
    </xf>
    <xf numFmtId="0" fontId="3" fillId="20" borderId="131" xfId="6" applyFont="1" applyFill="1" applyBorder="1" applyProtection="1"/>
    <xf numFmtId="0" fontId="122" fillId="2" borderId="0" xfId="6" applyFont="1" applyFill="1" applyBorder="1" applyProtection="1"/>
    <xf numFmtId="49" fontId="3" fillId="20" borderId="216" xfId="6" applyNumberFormat="1" applyFont="1" applyFill="1" applyBorder="1" applyAlignment="1" applyProtection="1">
      <alignment horizontal="left"/>
    </xf>
    <xf numFmtId="0" fontId="53" fillId="2" borderId="165" xfId="6" applyFont="1" applyFill="1" applyBorder="1" applyProtection="1"/>
    <xf numFmtId="0" fontId="53" fillId="2" borderId="163" xfId="6" applyFont="1" applyFill="1" applyBorder="1" applyProtection="1"/>
    <xf numFmtId="0" fontId="53" fillId="2" borderId="12" xfId="6" applyFont="1" applyFill="1" applyBorder="1" applyProtection="1"/>
    <xf numFmtId="0" fontId="22" fillId="2" borderId="62" xfId="6" applyFill="1" applyBorder="1" applyProtection="1"/>
    <xf numFmtId="3" fontId="2" fillId="2" borderId="14" xfId="6" applyNumberFormat="1" applyFont="1" applyFill="1" applyBorder="1" applyAlignment="1" applyProtection="1">
      <alignment horizontal="right"/>
      <protection locked="0"/>
    </xf>
    <xf numFmtId="3" fontId="2" fillId="0" borderId="34" xfId="6" applyNumberFormat="1" applyFont="1" applyFill="1" applyBorder="1" applyProtection="1"/>
    <xf numFmtId="3" fontId="2" fillId="0" borderId="112" xfId="6" applyNumberFormat="1" applyFont="1" applyFill="1" applyBorder="1" applyProtection="1"/>
    <xf numFmtId="3" fontId="2" fillId="2" borderId="94" xfId="6" applyNumberFormat="1" applyFont="1" applyFill="1" applyBorder="1" applyAlignment="1" applyProtection="1">
      <alignment horizontal="right"/>
      <protection locked="0"/>
    </xf>
    <xf numFmtId="49" fontId="3" fillId="20" borderId="9" xfId="6" applyNumberFormat="1" applyFont="1" applyFill="1" applyBorder="1" applyAlignment="1" applyProtection="1">
      <alignment horizontal="left"/>
    </xf>
    <xf numFmtId="49" fontId="3" fillId="20" borderId="74" xfId="6" applyNumberFormat="1" applyFont="1" applyFill="1" applyBorder="1" applyAlignment="1" applyProtection="1">
      <alignment horizontal="center" wrapText="1"/>
    </xf>
    <xf numFmtId="49" fontId="3" fillId="20" borderId="75" xfId="6" applyNumberFormat="1" applyFont="1" applyFill="1" applyBorder="1" applyAlignment="1" applyProtection="1">
      <alignment horizontal="left"/>
    </xf>
    <xf numFmtId="49" fontId="3" fillId="20" borderId="68" xfId="6" applyNumberFormat="1" applyFont="1" applyFill="1" applyBorder="1" applyAlignment="1" applyProtection="1">
      <alignment horizontal="left"/>
    </xf>
    <xf numFmtId="49" fontId="3" fillId="20" borderId="94" xfId="6" applyNumberFormat="1" applyFont="1" applyFill="1" applyBorder="1" applyAlignment="1" applyProtection="1">
      <alignment horizontal="center"/>
    </xf>
    <xf numFmtId="49" fontId="3" fillId="20" borderId="183" xfId="6" applyNumberFormat="1" applyFont="1" applyFill="1" applyBorder="1" applyAlignment="1" applyProtection="1">
      <alignment horizontal="left"/>
    </xf>
    <xf numFmtId="49" fontId="3" fillId="20" borderId="217" xfId="6" applyNumberFormat="1" applyFont="1" applyFill="1" applyBorder="1" applyAlignment="1" applyProtection="1">
      <alignment horizontal="left"/>
    </xf>
    <xf numFmtId="3" fontId="2" fillId="20" borderId="97" xfId="6" applyNumberFormat="1" applyFont="1" applyFill="1" applyBorder="1" applyAlignment="1" applyProtection="1">
      <alignment horizontal="right"/>
      <protection locked="0"/>
    </xf>
    <xf numFmtId="3" fontId="2" fillId="2" borderId="109" xfId="6" applyNumberFormat="1" applyFont="1" applyFill="1" applyBorder="1" applyAlignment="1" applyProtection="1">
      <alignment horizontal="right"/>
      <protection locked="0"/>
    </xf>
    <xf numFmtId="0" fontId="2" fillId="20" borderId="218" xfId="6" applyFont="1" applyFill="1" applyBorder="1" applyProtection="1"/>
    <xf numFmtId="49" fontId="3" fillId="20" borderId="112" xfId="6" applyNumberFormat="1" applyFont="1" applyFill="1" applyBorder="1" applyAlignment="1" applyProtection="1">
      <alignment horizontal="left"/>
    </xf>
    <xf numFmtId="0" fontId="53" fillId="20" borderId="219" xfId="6" applyFont="1" applyFill="1" applyBorder="1" applyProtection="1"/>
    <xf numFmtId="0" fontId="122" fillId="2" borderId="71" xfId="6" applyFont="1" applyFill="1" applyBorder="1" applyProtection="1"/>
    <xf numFmtId="49" fontId="3" fillId="20" borderId="25" xfId="6" applyNumberFormat="1" applyFont="1" applyFill="1" applyBorder="1" applyAlignment="1" applyProtection="1">
      <alignment horizontal="center"/>
    </xf>
    <xf numFmtId="0" fontId="3" fillId="20" borderId="116" xfId="6" applyNumberFormat="1" applyFont="1" applyFill="1" applyBorder="1" applyAlignment="1" applyProtection="1">
      <alignment horizontal="center" vertical="top" wrapText="1"/>
    </xf>
    <xf numFmtId="0" fontId="3" fillId="20" borderId="2" xfId="6" applyNumberFormat="1" applyFont="1" applyFill="1" applyBorder="1" applyAlignment="1" applyProtection="1">
      <alignment horizontal="center" vertical="top" wrapText="1"/>
    </xf>
    <xf numFmtId="3" fontId="2" fillId="2" borderId="219" xfId="6" applyNumberFormat="1" applyFont="1" applyFill="1" applyBorder="1" applyProtection="1">
      <protection locked="0"/>
    </xf>
    <xf numFmtId="3" fontId="2" fillId="2" borderId="218" xfId="6" applyNumberFormat="1" applyFont="1" applyFill="1" applyBorder="1" applyProtection="1"/>
    <xf numFmtId="3" fontId="5" fillId="20" borderId="15" xfId="6" applyNumberFormat="1" applyFont="1" applyFill="1" applyBorder="1" applyAlignment="1" applyProtection="1">
      <alignment horizontal="left" vertical="top"/>
    </xf>
    <xf numFmtId="0" fontId="5" fillId="20" borderId="91" xfId="6" applyFont="1" applyFill="1" applyBorder="1" applyAlignment="1" applyProtection="1">
      <alignment horizontal="left"/>
    </xf>
    <xf numFmtId="3" fontId="2" fillId="2" borderId="136" xfId="6" applyNumberFormat="1" applyFont="1" applyFill="1" applyBorder="1" applyAlignment="1" applyProtection="1">
      <alignment horizontal="right"/>
      <protection locked="0"/>
    </xf>
    <xf numFmtId="49" fontId="5" fillId="20" borderId="141" xfId="6" applyNumberFormat="1" applyFont="1" applyFill="1" applyBorder="1" applyAlignment="1" applyProtection="1">
      <alignment horizontal="center"/>
    </xf>
    <xf numFmtId="49" fontId="5" fillId="20" borderId="24" xfId="6" applyNumberFormat="1" applyFont="1" applyFill="1" applyBorder="1" applyAlignment="1" applyProtection="1">
      <alignment horizontal="center"/>
    </xf>
    <xf numFmtId="3" fontId="3" fillId="20" borderId="64" xfId="6" applyNumberFormat="1" applyFont="1" applyFill="1" applyBorder="1" applyAlignment="1" applyProtection="1">
      <alignment horizontal="center" wrapText="1"/>
    </xf>
    <xf numFmtId="0" fontId="3" fillId="20" borderId="43" xfId="6" applyFont="1" applyFill="1" applyBorder="1" applyAlignment="1" applyProtection="1">
      <alignment horizontal="center" wrapText="1"/>
    </xf>
    <xf numFmtId="3" fontId="3" fillId="20" borderId="15" xfId="6" applyNumberFormat="1" applyFont="1" applyFill="1" applyBorder="1" applyAlignment="1" applyProtection="1">
      <alignment horizontal="left" vertical="top" wrapText="1"/>
    </xf>
    <xf numFmtId="3" fontId="5" fillId="20" borderId="60" xfId="6" applyNumberFormat="1" applyFont="1" applyFill="1" applyBorder="1" applyAlignment="1" applyProtection="1">
      <alignment horizontal="left"/>
    </xf>
    <xf numFmtId="3" fontId="5" fillId="20" borderId="117" xfId="6" applyNumberFormat="1" applyFont="1" applyFill="1" applyBorder="1" applyAlignment="1" applyProtection="1">
      <alignment horizontal="left" vertical="top" wrapText="1"/>
    </xf>
    <xf numFmtId="0" fontId="107" fillId="20" borderId="25" xfId="6" applyFont="1" applyFill="1" applyBorder="1" applyProtection="1"/>
    <xf numFmtId="0" fontId="118" fillId="20" borderId="24" xfId="6" applyFont="1" applyFill="1" applyBorder="1" applyAlignment="1" applyProtection="1">
      <alignment horizontal="center"/>
    </xf>
    <xf numFmtId="0" fontId="107" fillId="20" borderId="4" xfId="6" applyFont="1" applyFill="1" applyBorder="1" applyProtection="1"/>
    <xf numFmtId="3" fontId="5" fillId="20" borderId="91" xfId="6" applyNumberFormat="1" applyFont="1" applyFill="1" applyBorder="1" applyAlignment="1" applyProtection="1">
      <alignment horizontal="left" vertical="top" wrapText="1"/>
    </xf>
    <xf numFmtId="3" fontId="5" fillId="20" borderId="15" xfId="6" applyNumberFormat="1" applyFont="1" applyFill="1" applyBorder="1" applyAlignment="1" applyProtection="1">
      <alignment horizontal="left"/>
    </xf>
    <xf numFmtId="3" fontId="2" fillId="2" borderId="19" xfId="6" applyNumberFormat="1" applyFont="1" applyFill="1" applyBorder="1" applyAlignment="1" applyProtection="1">
      <alignment horizontal="right"/>
      <protection locked="0"/>
    </xf>
    <xf numFmtId="0" fontId="5" fillId="20" borderId="64" xfId="6" applyFont="1" applyFill="1" applyBorder="1" applyProtection="1"/>
    <xf numFmtId="3" fontId="2" fillId="20" borderId="19" xfId="6" applyNumberFormat="1" applyFont="1" applyFill="1" applyBorder="1" applyAlignment="1" applyProtection="1">
      <alignment horizontal="right"/>
    </xf>
    <xf numFmtId="0" fontId="3" fillId="20" borderId="60" xfId="6" applyFont="1" applyFill="1" applyBorder="1" applyAlignment="1" applyProtection="1">
      <alignment horizontal="left"/>
    </xf>
    <xf numFmtId="3" fontId="2" fillId="2" borderId="41" xfId="6" applyNumberFormat="1" applyFont="1" applyFill="1" applyBorder="1" applyAlignment="1" applyProtection="1">
      <alignment horizontal="right"/>
      <protection locked="0"/>
    </xf>
    <xf numFmtId="49" fontId="5" fillId="20" borderId="22" xfId="6" applyNumberFormat="1" applyFont="1" applyFill="1" applyBorder="1" applyAlignment="1" applyProtection="1">
      <alignment horizontal="center"/>
    </xf>
    <xf numFmtId="166" fontId="3" fillId="20" borderId="60" xfId="6" applyNumberFormat="1" applyFont="1" applyFill="1" applyBorder="1" applyAlignment="1" applyProtection="1">
      <alignment horizontal="left"/>
    </xf>
    <xf numFmtId="3" fontId="2" fillId="2" borderId="18" xfId="6" applyNumberFormat="1" applyFont="1" applyFill="1" applyBorder="1" applyAlignment="1" applyProtection="1">
      <alignment horizontal="right"/>
      <protection locked="0"/>
    </xf>
    <xf numFmtId="3" fontId="2" fillId="2" borderId="26" xfId="6" applyNumberFormat="1" applyFont="1" applyFill="1" applyBorder="1" applyAlignment="1" applyProtection="1">
      <alignment horizontal="right"/>
      <protection locked="0"/>
    </xf>
    <xf numFmtId="166" fontId="5" fillId="20" borderId="91" xfId="6" applyNumberFormat="1" applyFont="1" applyFill="1" applyBorder="1" applyAlignment="1" applyProtection="1">
      <alignment horizontal="left"/>
    </xf>
    <xf numFmtId="166" fontId="5" fillId="20" borderId="64" xfId="6" applyNumberFormat="1" applyFont="1" applyFill="1" applyBorder="1" applyAlignment="1" applyProtection="1">
      <alignment horizontal="left"/>
    </xf>
    <xf numFmtId="3" fontId="2" fillId="20" borderId="19" xfId="6" applyNumberFormat="1" applyFont="1" applyFill="1" applyBorder="1" applyAlignment="1" applyProtection="1">
      <alignment horizontal="right"/>
    </xf>
    <xf numFmtId="3" fontId="5" fillId="20" borderId="60" xfId="6" quotePrefix="1" applyNumberFormat="1" applyFont="1" applyFill="1" applyBorder="1" applyAlignment="1" applyProtection="1">
      <alignment horizontal="left" vertical="top"/>
    </xf>
    <xf numFmtId="0" fontId="133" fillId="20" borderId="91" xfId="6" applyFont="1" applyFill="1" applyBorder="1" applyAlignment="1" applyProtection="1">
      <alignment vertical="top" wrapText="1"/>
    </xf>
    <xf numFmtId="0" fontId="133" fillId="20" borderId="104" xfId="6" applyFont="1" applyFill="1" applyBorder="1" applyAlignment="1" applyProtection="1">
      <alignment vertical="top" wrapText="1"/>
    </xf>
    <xf numFmtId="1" fontId="134" fillId="20" borderId="64" xfId="6" applyNumberFormat="1" applyFont="1" applyFill="1" applyBorder="1" applyAlignment="1" applyProtection="1">
      <alignment horizontal="left" vertical="top" wrapText="1"/>
    </xf>
    <xf numFmtId="0" fontId="135" fillId="20" borderId="145" xfId="6" applyFont="1" applyFill="1" applyBorder="1" applyProtection="1"/>
    <xf numFmtId="3" fontId="2" fillId="3" borderId="6" xfId="6" applyNumberFormat="1" applyFont="1" applyFill="1" applyBorder="1" applyProtection="1"/>
    <xf numFmtId="3" fontId="2" fillId="9" borderId="94" xfId="6" applyNumberFormat="1" applyFont="1" applyFill="1" applyBorder="1" applyAlignment="1" applyProtection="1"/>
    <xf numFmtId="3" fontId="2" fillId="0" borderId="6" xfId="6" applyNumberFormat="1" applyFont="1" applyFill="1" applyBorder="1" applyAlignment="1" applyProtection="1">
      <alignment horizontal="right"/>
      <protection locked="0"/>
    </xf>
    <xf numFmtId="0" fontId="22" fillId="0" borderId="0" xfId="6"/>
    <xf numFmtId="0" fontId="5" fillId="0" borderId="0" xfId="6" applyFont="1" applyFill="1" applyBorder="1" applyProtection="1"/>
    <xf numFmtId="3" fontId="3" fillId="2" borderId="0" xfId="6" applyNumberFormat="1" applyFont="1" applyFill="1" applyBorder="1" applyProtection="1"/>
    <xf numFmtId="3" fontId="5" fillId="2" borderId="0" xfId="6" applyNumberFormat="1" applyFont="1" applyFill="1" applyBorder="1" applyProtection="1"/>
    <xf numFmtId="0" fontId="36" fillId="2" borderId="0" xfId="6" applyFont="1" applyFill="1" applyProtection="1"/>
    <xf numFmtId="0" fontId="70" fillId="2" borderId="0" xfId="6" applyFont="1" applyFill="1" applyProtection="1"/>
    <xf numFmtId="3" fontId="2" fillId="0" borderId="0" xfId="6" applyNumberFormat="1" applyFont="1" applyFill="1" applyBorder="1" applyAlignment="1" applyProtection="1">
      <alignment horizontal="right"/>
    </xf>
    <xf numFmtId="3" fontId="2" fillId="0" borderId="19" xfId="6" applyNumberFormat="1" applyFont="1" applyFill="1" applyBorder="1" applyAlignment="1" applyProtection="1">
      <alignment horizontal="right"/>
      <protection locked="0"/>
    </xf>
    <xf numFmtId="3" fontId="2" fillId="3" borderId="26" xfId="6" applyNumberFormat="1" applyFont="1" applyFill="1" applyBorder="1" applyAlignment="1" applyProtection="1">
      <alignment horizontal="right"/>
    </xf>
    <xf numFmtId="0" fontId="2" fillId="0" borderId="0" xfId="6" applyFont="1" applyBorder="1" applyAlignment="1" applyProtection="1">
      <alignment vertical="top" wrapText="1"/>
    </xf>
    <xf numFmtId="0" fontId="22" fillId="0" borderId="0" xfId="6" applyBorder="1" applyAlignment="1" applyProtection="1">
      <alignment vertical="top" wrapText="1"/>
    </xf>
    <xf numFmtId="3" fontId="5" fillId="0" borderId="0" xfId="6" applyNumberFormat="1" applyFont="1" applyFill="1" applyBorder="1" applyProtection="1"/>
    <xf numFmtId="167" fontId="9" fillId="0" borderId="0" xfId="6" applyNumberFormat="1" applyFont="1" applyFill="1" applyBorder="1" applyProtection="1"/>
    <xf numFmtId="0" fontId="107" fillId="0" borderId="0" xfId="6" applyFont="1" applyFill="1" applyBorder="1" applyProtection="1"/>
    <xf numFmtId="0" fontId="107" fillId="0" borderId="0" xfId="6" applyFont="1" applyFill="1" applyBorder="1" applyAlignment="1" applyProtection="1">
      <alignment horizontal="center"/>
    </xf>
    <xf numFmtId="0" fontId="122" fillId="0" borderId="0" xfId="6" applyFont="1" applyFill="1" applyProtection="1"/>
    <xf numFmtId="3" fontId="2" fillId="0" borderId="19" xfId="6" applyNumberFormat="1" applyFont="1" applyFill="1" applyBorder="1" applyAlignment="1" applyProtection="1">
      <alignment horizontal="right"/>
    </xf>
    <xf numFmtId="3" fontId="2" fillId="0" borderId="26" xfId="6" applyNumberFormat="1" applyFont="1" applyFill="1" applyBorder="1" applyAlignment="1" applyProtection="1">
      <alignment horizontal="right"/>
    </xf>
    <xf numFmtId="1" fontId="2" fillId="0" borderId="0" xfId="6" applyNumberFormat="1" applyFont="1" applyFill="1" applyBorder="1" applyAlignment="1" applyProtection="1">
      <alignment horizontal="left" vertical="top"/>
    </xf>
    <xf numFmtId="3" fontId="2" fillId="0" borderId="18" xfId="6" applyNumberFormat="1" applyFont="1" applyFill="1" applyBorder="1" applyAlignment="1" applyProtection="1">
      <alignment horizontal="right"/>
      <protection locked="0"/>
    </xf>
    <xf numFmtId="0" fontId="3" fillId="20" borderId="23" xfId="6" applyFont="1" applyFill="1" applyBorder="1" applyAlignment="1" applyProtection="1">
      <alignment horizontal="left" vertical="top" wrapText="1"/>
    </xf>
    <xf numFmtId="0" fontId="5" fillId="20" borderId="8" xfId="6" applyFont="1" applyFill="1" applyBorder="1" applyAlignment="1" applyProtection="1">
      <alignment wrapText="1"/>
    </xf>
    <xf numFmtId="0" fontId="3" fillId="20" borderId="23" xfId="6" applyFont="1" applyFill="1" applyBorder="1" applyAlignment="1" applyProtection="1">
      <alignment horizontal="left" vertical="top" wrapText="1"/>
    </xf>
    <xf numFmtId="0" fontId="5" fillId="20" borderId="8" xfId="6" applyFont="1" applyFill="1" applyBorder="1" applyAlignment="1" applyProtection="1">
      <alignment wrapText="1"/>
    </xf>
    <xf numFmtId="0" fontId="2" fillId="0" borderId="0" xfId="6" quotePrefix="1" applyFont="1" applyFill="1" applyBorder="1" applyAlignment="1" applyProtection="1">
      <alignment vertical="top"/>
    </xf>
    <xf numFmtId="3" fontId="3" fillId="20" borderId="20" xfId="6" applyNumberFormat="1" applyFont="1" applyFill="1" applyBorder="1" applyAlignment="1" applyProtection="1">
      <alignment horizontal="center"/>
    </xf>
    <xf numFmtId="3" fontId="3" fillId="20" borderId="20" xfId="6" applyNumberFormat="1" applyFont="1" applyFill="1" applyBorder="1" applyAlignment="1" applyProtection="1">
      <alignment horizontal="center"/>
      <protection locked="0"/>
    </xf>
    <xf numFmtId="0" fontId="121" fillId="0" borderId="0" xfId="6" applyNumberFormat="1" applyFont="1" applyFill="1" applyBorder="1" applyAlignment="1" applyProtection="1"/>
    <xf numFmtId="0" fontId="3" fillId="20" borderId="60" xfId="6" applyFont="1" applyFill="1" applyBorder="1" applyAlignment="1" applyProtection="1">
      <alignment horizontal="left" vertical="top" wrapText="1"/>
    </xf>
    <xf numFmtId="0" fontId="35" fillId="2" borderId="0" xfId="6" applyFont="1" applyFill="1" applyBorder="1" applyAlignment="1" applyProtection="1">
      <alignment horizontal="left" vertical="top"/>
    </xf>
    <xf numFmtId="0" fontId="2" fillId="0" borderId="0" xfId="6" applyFont="1" applyFill="1" applyBorder="1" applyAlignment="1" applyProtection="1">
      <alignment vertical="top"/>
    </xf>
    <xf numFmtId="0" fontId="1" fillId="2" borderId="0" xfId="6" applyFont="1" applyFill="1" applyAlignment="1" applyProtection="1">
      <alignment vertical="top"/>
    </xf>
    <xf numFmtId="3" fontId="35" fillId="2" borderId="0" xfId="6" applyNumberFormat="1" applyFont="1" applyFill="1" applyAlignment="1" applyProtection="1">
      <alignment vertical="top"/>
    </xf>
    <xf numFmtId="0" fontId="70" fillId="2" borderId="0" xfId="6" applyFont="1" applyFill="1" applyAlignment="1" applyProtection="1">
      <alignment vertical="top"/>
    </xf>
    <xf numFmtId="0" fontId="22" fillId="2" borderId="0" xfId="6" applyFill="1" applyBorder="1" applyAlignment="1" applyProtection="1">
      <alignment horizontal="left" vertical="top"/>
    </xf>
    <xf numFmtId="0" fontId="22" fillId="2" borderId="0" xfId="6" applyFill="1" applyAlignment="1" applyProtection="1">
      <alignment vertical="top"/>
    </xf>
    <xf numFmtId="0" fontId="71" fillId="2" borderId="0" xfId="6" applyFont="1" applyFill="1" applyAlignment="1" applyProtection="1">
      <alignment vertical="top"/>
    </xf>
    <xf numFmtId="0" fontId="9" fillId="0" borderId="0" xfId="6" applyFont="1" applyFill="1" applyBorder="1" applyAlignment="1" applyProtection="1">
      <alignment vertical="top"/>
    </xf>
    <xf numFmtId="49" fontId="118" fillId="20" borderId="22" xfId="6" applyNumberFormat="1" applyFont="1" applyFill="1" applyBorder="1" applyAlignment="1" applyProtection="1">
      <alignment horizontal="center"/>
    </xf>
    <xf numFmtId="49" fontId="3" fillId="20" borderId="22" xfId="6" applyNumberFormat="1" applyFont="1" applyFill="1" applyBorder="1" applyAlignment="1" applyProtection="1">
      <alignment horizontal="center"/>
    </xf>
    <xf numFmtId="49" fontId="3" fillId="20" borderId="24" xfId="6" applyNumberFormat="1" applyFont="1" applyFill="1" applyBorder="1" applyAlignment="1" applyProtection="1">
      <alignment horizontal="center"/>
    </xf>
    <xf numFmtId="0" fontId="5" fillId="20" borderId="87" xfId="6" applyFont="1" applyFill="1" applyBorder="1" applyProtection="1"/>
    <xf numFmtId="0" fontId="3" fillId="20" borderId="15" xfId="6" applyFont="1" applyFill="1" applyBorder="1" applyProtection="1"/>
    <xf numFmtId="0" fontId="3" fillId="20" borderId="1" xfId="6" applyFont="1" applyFill="1" applyBorder="1" applyProtection="1"/>
    <xf numFmtId="0" fontId="5" fillId="20" borderId="1" xfId="6" applyFont="1" applyFill="1" applyBorder="1" applyAlignment="1" applyProtection="1">
      <alignment wrapText="1"/>
    </xf>
    <xf numFmtId="0" fontId="3" fillId="20" borderId="25" xfId="6" applyFont="1" applyFill="1" applyBorder="1" applyProtection="1"/>
    <xf numFmtId="49" fontId="3" fillId="20" borderId="0" xfId="6" applyNumberFormat="1" applyFont="1" applyFill="1" applyBorder="1" applyAlignment="1" applyProtection="1">
      <alignment horizontal="center"/>
    </xf>
    <xf numFmtId="0" fontId="3" fillId="20" borderId="36" xfId="6" applyFont="1" applyFill="1" applyBorder="1" applyAlignment="1" applyProtection="1">
      <alignment horizontal="left" vertical="top" wrapText="1"/>
    </xf>
    <xf numFmtId="0" fontId="5" fillId="20" borderId="15" xfId="6" applyFont="1" applyFill="1" applyBorder="1" applyProtection="1"/>
    <xf numFmtId="0" fontId="3" fillId="20" borderId="43" xfId="6" applyFont="1" applyFill="1" applyBorder="1" applyProtection="1"/>
    <xf numFmtId="3" fontId="2" fillId="3" borderId="87" xfId="6" applyNumberFormat="1" applyFont="1" applyFill="1" applyBorder="1" applyAlignment="1" applyProtection="1">
      <alignment horizontal="right"/>
    </xf>
    <xf numFmtId="0" fontId="5" fillId="20" borderId="117" xfId="6" applyFont="1" applyFill="1" applyBorder="1" applyAlignment="1" applyProtection="1">
      <alignment horizontal="left"/>
    </xf>
    <xf numFmtId="3" fontId="2" fillId="0" borderId="1" xfId="6" applyNumberFormat="1" applyFont="1" applyFill="1" applyBorder="1" applyAlignment="1" applyProtection="1">
      <alignment horizontal="right"/>
      <protection locked="0"/>
    </xf>
    <xf numFmtId="3" fontId="2" fillId="0" borderId="15" xfId="6" applyNumberFormat="1" applyFont="1" applyFill="1" applyBorder="1" applyAlignment="1" applyProtection="1">
      <alignment horizontal="right"/>
      <protection locked="0"/>
    </xf>
    <xf numFmtId="3" fontId="2" fillId="0" borderId="60" xfId="6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left" vertical="top" wrapText="1"/>
    </xf>
    <xf numFmtId="3" fontId="3" fillId="0" borderId="0" xfId="0" applyNumberFormat="1" applyFont="1" applyFill="1" applyBorder="1" applyAlignment="1" applyProtection="1">
      <alignment horizontal="left" wrapText="1"/>
    </xf>
    <xf numFmtId="3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170" fontId="3" fillId="0" borderId="0" xfId="0" applyNumberFormat="1" applyFont="1" applyFill="1" applyBorder="1" applyAlignment="1" applyProtection="1">
      <alignment horizontal="left"/>
    </xf>
    <xf numFmtId="3" fontId="3" fillId="20" borderId="202" xfId="0" applyNumberFormat="1" applyFont="1" applyFill="1" applyBorder="1" applyProtection="1"/>
    <xf numFmtId="3" fontId="3" fillId="20" borderId="60" xfId="0" applyNumberFormat="1" applyFont="1" applyFill="1" applyBorder="1" applyAlignment="1" applyProtection="1">
      <alignment horizontal="left" wrapText="1"/>
    </xf>
    <xf numFmtId="3" fontId="3" fillId="20" borderId="64" xfId="0" applyNumberFormat="1" applyFont="1" applyFill="1" applyBorder="1" applyAlignment="1" applyProtection="1">
      <alignment horizontal="left" vertical="top"/>
    </xf>
    <xf numFmtId="3" fontId="2" fillId="20" borderId="32" xfId="0" applyNumberFormat="1" applyFont="1" applyFill="1" applyBorder="1" applyAlignment="1" applyProtection="1">
      <alignment horizontal="right"/>
      <protection locked="0"/>
    </xf>
    <xf numFmtId="0" fontId="2" fillId="0" borderId="0" xfId="6" applyFont="1" applyFill="1" applyBorder="1" applyAlignment="1" applyProtection="1">
      <alignment vertical="top" wrapText="1"/>
      <protection locked="0"/>
    </xf>
    <xf numFmtId="3" fontId="2" fillId="0" borderId="18" xfId="0" applyNumberFormat="1" applyFont="1" applyFill="1" applyBorder="1" applyProtection="1"/>
    <xf numFmtId="0" fontId="3" fillId="10" borderId="57" xfId="0" applyFont="1" applyFill="1" applyBorder="1" applyAlignment="1" applyProtection="1">
      <alignment horizontal="center"/>
    </xf>
    <xf numFmtId="3" fontId="2" fillId="3" borderId="60" xfId="0" applyNumberFormat="1" applyFont="1" applyFill="1" applyBorder="1" applyProtection="1"/>
    <xf numFmtId="0" fontId="3" fillId="20" borderId="43" xfId="6" applyFont="1" applyFill="1" applyBorder="1" applyAlignment="1" applyProtection="1">
      <alignment horizontal="left" vertical="center" wrapText="1"/>
    </xf>
    <xf numFmtId="0" fontId="3" fillId="20" borderId="43" xfId="6" applyFont="1" applyFill="1" applyBorder="1" applyAlignment="1" applyProtection="1">
      <alignment vertical="center" wrapText="1"/>
    </xf>
    <xf numFmtId="0" fontId="3" fillId="20" borderId="192" xfId="6" applyFont="1" applyFill="1" applyBorder="1" applyAlignment="1" applyProtection="1">
      <alignment horizontal="left" wrapText="1"/>
    </xf>
    <xf numFmtId="3" fontId="3" fillId="20" borderId="2" xfId="6" applyNumberFormat="1" applyFont="1" applyFill="1" applyBorder="1" applyAlignment="1" applyProtection="1">
      <alignment wrapText="1"/>
    </xf>
    <xf numFmtId="3" fontId="3" fillId="20" borderId="56" xfId="6" applyNumberFormat="1" applyFont="1" applyFill="1" applyBorder="1" applyAlignment="1" applyProtection="1">
      <alignment vertical="top" wrapText="1"/>
    </xf>
    <xf numFmtId="0" fontId="3" fillId="20" borderId="43" xfId="0" applyFont="1" applyFill="1" applyBorder="1" applyAlignment="1" applyProtection="1">
      <alignment vertical="top"/>
    </xf>
    <xf numFmtId="3" fontId="2" fillId="9" borderId="51" xfId="0" applyNumberFormat="1" applyFont="1" applyFill="1" applyBorder="1" applyProtection="1"/>
    <xf numFmtId="3" fontId="2" fillId="2" borderId="55" xfId="0" applyNumberFormat="1" applyFont="1" applyFill="1" applyBorder="1" applyAlignment="1" applyProtection="1">
      <alignment horizontal="right"/>
      <protection locked="0"/>
    </xf>
    <xf numFmtId="3" fontId="2" fillId="8" borderId="11" xfId="6" applyNumberFormat="1" applyFont="1" applyFill="1" applyBorder="1" applyAlignment="1" applyProtection="1"/>
    <xf numFmtId="0" fontId="22" fillId="0" borderId="222" xfId="6" applyBorder="1" applyProtection="1"/>
    <xf numFmtId="0" fontId="22" fillId="0" borderId="51" xfId="6" applyBorder="1" applyProtection="1"/>
    <xf numFmtId="0" fontId="22" fillId="0" borderId="89" xfId="6" applyBorder="1" applyProtection="1"/>
    <xf numFmtId="0" fontId="22" fillId="0" borderId="90" xfId="6" applyBorder="1" applyProtection="1"/>
    <xf numFmtId="0" fontId="3" fillId="20" borderId="191" xfId="6" applyFont="1" applyFill="1" applyBorder="1" applyProtection="1"/>
    <xf numFmtId="0" fontId="3" fillId="20" borderId="66" xfId="6" applyFont="1" applyFill="1" applyBorder="1" applyProtection="1"/>
    <xf numFmtId="3" fontId="3" fillId="20" borderId="120" xfId="6" applyNumberFormat="1" applyFont="1" applyFill="1" applyBorder="1" applyAlignment="1" applyProtection="1">
      <alignment wrapText="1"/>
    </xf>
    <xf numFmtId="0" fontId="22" fillId="20" borderId="157" xfId="6" applyFont="1" applyFill="1" applyBorder="1" applyProtection="1"/>
    <xf numFmtId="0" fontId="22" fillId="20" borderId="72" xfId="6" applyFont="1" applyFill="1" applyBorder="1" applyProtection="1"/>
    <xf numFmtId="3" fontId="3" fillId="20" borderId="162" xfId="6" applyNumberFormat="1" applyFont="1" applyFill="1" applyBorder="1" applyAlignment="1" applyProtection="1">
      <alignment wrapText="1"/>
    </xf>
    <xf numFmtId="3" fontId="3" fillId="20" borderId="156" xfId="6" applyNumberFormat="1" applyFont="1" applyFill="1" applyBorder="1" applyProtection="1"/>
    <xf numFmtId="0" fontId="3" fillId="20" borderId="156" xfId="6" applyFont="1" applyFill="1" applyBorder="1" applyProtection="1"/>
    <xf numFmtId="3" fontId="3" fillId="20" borderId="56" xfId="6" applyNumberFormat="1" applyFont="1" applyFill="1" applyBorder="1" applyProtection="1"/>
    <xf numFmtId="0" fontId="3" fillId="20" borderId="55" xfId="6" applyFont="1" applyFill="1" applyBorder="1" applyProtection="1"/>
    <xf numFmtId="0" fontId="3" fillId="20" borderId="156" xfId="6" applyFont="1" applyFill="1" applyBorder="1" applyAlignment="1" applyProtection="1">
      <alignment horizontal="left"/>
    </xf>
    <xf numFmtId="1" fontId="3" fillId="20" borderId="156" xfId="6" applyNumberFormat="1" applyFont="1" applyFill="1" applyBorder="1" applyAlignment="1" applyProtection="1">
      <alignment horizontal="left"/>
    </xf>
    <xf numFmtId="3" fontId="42" fillId="20" borderId="56" xfId="6" applyNumberFormat="1" applyFont="1" applyFill="1" applyBorder="1" applyProtection="1"/>
    <xf numFmtId="0" fontId="7" fillId="20" borderId="192" xfId="6" applyFont="1" applyFill="1" applyBorder="1" applyProtection="1"/>
    <xf numFmtId="0" fontId="3" fillId="20" borderId="192" xfId="6" applyFont="1" applyFill="1" applyBorder="1" applyProtection="1"/>
    <xf numFmtId="168" fontId="3" fillId="20" borderId="62" xfId="6" applyNumberFormat="1" applyFont="1" applyFill="1" applyBorder="1" applyProtection="1"/>
    <xf numFmtId="168" fontId="42" fillId="20" borderId="62" xfId="6" applyNumberFormat="1" applyFont="1" applyFill="1" applyBorder="1" applyProtection="1"/>
    <xf numFmtId="168" fontId="42" fillId="20" borderId="110" xfId="6" applyNumberFormat="1" applyFont="1" applyFill="1" applyBorder="1" applyProtection="1"/>
    <xf numFmtId="168" fontId="42" fillId="20" borderId="138" xfId="6" applyNumberFormat="1" applyFont="1" applyFill="1" applyBorder="1" applyProtection="1"/>
    <xf numFmtId="0" fontId="3" fillId="20" borderId="1" xfId="6" applyFont="1" applyFill="1" applyBorder="1" applyProtection="1"/>
    <xf numFmtId="3" fontId="2" fillId="20" borderId="85" xfId="6" applyNumberFormat="1" applyFont="1" applyFill="1" applyBorder="1" applyProtection="1"/>
    <xf numFmtId="3" fontId="46" fillId="20" borderId="85" xfId="6" applyNumberFormat="1" applyFont="1" applyFill="1" applyBorder="1" applyProtection="1"/>
    <xf numFmtId="3" fontId="3" fillId="20" borderId="224" xfId="6" applyNumberFormat="1" applyFont="1" applyFill="1" applyBorder="1" applyProtection="1"/>
    <xf numFmtId="3" fontId="3" fillId="20" borderId="56" xfId="6" applyNumberFormat="1" applyFont="1" applyFill="1" applyBorder="1" applyAlignment="1" applyProtection="1">
      <alignment horizontal="left"/>
    </xf>
    <xf numFmtId="3" fontId="2" fillId="20" borderId="4" xfId="6" applyNumberFormat="1" applyFont="1" applyFill="1" applyBorder="1" applyProtection="1"/>
    <xf numFmtId="3" fontId="46" fillId="20" borderId="4" xfId="6" applyNumberFormat="1" applyFont="1" applyFill="1" applyBorder="1" applyAlignment="1" applyProtection="1">
      <alignment horizontal="right"/>
    </xf>
    <xf numFmtId="9" fontId="46" fillId="20" borderId="4" xfId="6" quotePrefix="1" applyNumberFormat="1" applyFont="1" applyFill="1" applyBorder="1" applyAlignment="1" applyProtection="1">
      <alignment horizontal="right"/>
    </xf>
    <xf numFmtId="3" fontId="35" fillId="20" borderId="4" xfId="6" quotePrefix="1" applyNumberFormat="1" applyFont="1" applyFill="1" applyBorder="1" applyAlignment="1" applyProtection="1">
      <alignment horizontal="left"/>
    </xf>
    <xf numFmtId="3" fontId="42" fillId="20" borderId="55" xfId="6" applyNumberFormat="1" applyFont="1" applyFill="1" applyBorder="1" applyAlignment="1" applyProtection="1">
      <alignment horizontal="right"/>
    </xf>
    <xf numFmtId="3" fontId="42" fillId="20" borderId="56" xfId="6" applyNumberFormat="1" applyFont="1" applyFill="1" applyBorder="1" applyAlignment="1" applyProtection="1">
      <alignment horizontal="left"/>
    </xf>
    <xf numFmtId="3" fontId="46" fillId="20" borderId="1" xfId="6" applyNumberFormat="1" applyFont="1" applyFill="1" applyBorder="1" applyAlignment="1" applyProtection="1">
      <alignment horizontal="right"/>
    </xf>
    <xf numFmtId="3" fontId="46" fillId="20" borderId="15" xfId="6" applyNumberFormat="1" applyFont="1" applyFill="1" applyBorder="1" applyAlignment="1" applyProtection="1">
      <alignment horizontal="right"/>
    </xf>
    <xf numFmtId="3" fontId="43" fillId="20" borderId="10" xfId="6" applyNumberFormat="1" applyFont="1" applyFill="1" applyBorder="1" applyAlignment="1" applyProtection="1">
      <alignment horizontal="right"/>
    </xf>
    <xf numFmtId="3" fontId="35" fillId="20" borderId="4" xfId="6" applyNumberFormat="1" applyFont="1" applyFill="1" applyBorder="1" applyAlignment="1" applyProtection="1">
      <alignment horizontal="left"/>
    </xf>
    <xf numFmtId="3" fontId="42" fillId="20" borderId="0" xfId="6" applyNumberFormat="1" applyFont="1" applyFill="1" applyBorder="1" applyAlignment="1" applyProtection="1">
      <alignment horizontal="right"/>
    </xf>
    <xf numFmtId="3" fontId="43" fillId="20" borderId="167" xfId="6" applyNumberFormat="1" applyFont="1" applyFill="1" applyBorder="1" applyAlignment="1" applyProtection="1">
      <alignment horizontal="right"/>
    </xf>
    <xf numFmtId="3" fontId="43" fillId="20" borderId="0" xfId="6" applyNumberFormat="1" applyFont="1" applyFill="1" applyBorder="1" applyAlignment="1" applyProtection="1">
      <alignment horizontal="right"/>
    </xf>
    <xf numFmtId="3" fontId="43" fillId="20" borderId="88" xfId="6" applyNumberFormat="1" applyFont="1" applyFill="1" applyBorder="1" applyAlignment="1" applyProtection="1">
      <alignment horizontal="right"/>
    </xf>
    <xf numFmtId="3" fontId="43" fillId="20" borderId="40" xfId="6" applyNumberFormat="1" applyFont="1" applyFill="1" applyBorder="1" applyAlignment="1" applyProtection="1">
      <alignment horizontal="right"/>
    </xf>
    <xf numFmtId="3" fontId="35" fillId="20" borderId="40" xfId="6" quotePrefix="1" applyNumberFormat="1" applyFont="1" applyFill="1" applyBorder="1" applyAlignment="1" applyProtection="1">
      <alignment horizontal="left"/>
    </xf>
    <xf numFmtId="3" fontId="42" fillId="20" borderId="40" xfId="6" applyNumberFormat="1" applyFont="1" applyFill="1" applyBorder="1" applyAlignment="1" applyProtection="1">
      <alignment horizontal="right"/>
    </xf>
    <xf numFmtId="3" fontId="42" fillId="20" borderId="59" xfId="6" applyNumberFormat="1" applyFont="1" applyFill="1" applyBorder="1" applyAlignment="1" applyProtection="1">
      <alignment horizontal="left"/>
    </xf>
    <xf numFmtId="3" fontId="2" fillId="20" borderId="8" xfId="6" applyNumberFormat="1" applyFont="1" applyFill="1" applyBorder="1" applyProtection="1"/>
    <xf numFmtId="3" fontId="46" fillId="20" borderId="8" xfId="6" applyNumberFormat="1" applyFont="1" applyFill="1" applyBorder="1" applyProtection="1"/>
    <xf numFmtId="9" fontId="46" fillId="20" borderId="8" xfId="6" applyNumberFormat="1" applyFont="1" applyFill="1" applyBorder="1" applyProtection="1"/>
    <xf numFmtId="3" fontId="3" fillId="20" borderId="98" xfId="6" applyNumberFormat="1" applyFont="1" applyFill="1" applyBorder="1" applyProtection="1"/>
    <xf numFmtId="168" fontId="3" fillId="20" borderId="120" xfId="6" applyNumberFormat="1" applyFont="1" applyFill="1" applyBorder="1" applyAlignment="1" applyProtection="1">
      <alignment horizontal="left"/>
    </xf>
    <xf numFmtId="3" fontId="2" fillId="20" borderId="1" xfId="6" applyNumberFormat="1" applyFont="1" applyFill="1" applyBorder="1" applyAlignment="1" applyProtection="1">
      <alignment horizontal="right"/>
    </xf>
    <xf numFmtId="3" fontId="35" fillId="20" borderId="1" xfId="6" applyNumberFormat="1" applyFont="1" applyFill="1" applyBorder="1" applyAlignment="1" applyProtection="1">
      <alignment horizontal="left"/>
    </xf>
    <xf numFmtId="168" fontId="42" fillId="20" borderId="56" xfId="6" applyNumberFormat="1" applyFont="1" applyFill="1" applyBorder="1" applyAlignment="1" applyProtection="1">
      <alignment horizontal="left"/>
    </xf>
    <xf numFmtId="3" fontId="2" fillId="20" borderId="4" xfId="6" applyNumberFormat="1" applyFont="1" applyFill="1" applyBorder="1" applyAlignment="1" applyProtection="1">
      <alignment horizontal="right"/>
    </xf>
    <xf numFmtId="3" fontId="2" fillId="20" borderId="8" xfId="6" applyNumberFormat="1" applyFont="1" applyFill="1" applyBorder="1" applyAlignment="1" applyProtection="1">
      <alignment horizontal="right"/>
    </xf>
    <xf numFmtId="3" fontId="3" fillId="20" borderId="11" xfId="6" applyNumberFormat="1" applyFont="1" applyFill="1" applyBorder="1" applyAlignment="1" applyProtection="1">
      <alignment horizontal="right"/>
    </xf>
    <xf numFmtId="3" fontId="3" fillId="20" borderId="51" xfId="6" applyNumberFormat="1" applyFont="1" applyFill="1" applyBorder="1" applyAlignment="1" applyProtection="1">
      <alignment horizontal="left"/>
    </xf>
    <xf numFmtId="3" fontId="3" fillId="20" borderId="54" xfId="6" applyNumberFormat="1" applyFont="1" applyFill="1" applyBorder="1" applyAlignment="1" applyProtection="1">
      <alignment horizontal="right"/>
    </xf>
    <xf numFmtId="3" fontId="3" fillId="20" borderId="52" xfId="6" applyNumberFormat="1" applyFont="1" applyFill="1" applyBorder="1" applyAlignment="1" applyProtection="1">
      <alignment horizontal="left"/>
    </xf>
    <xf numFmtId="3" fontId="42" fillId="20" borderId="56" xfId="6" applyNumberFormat="1" applyFont="1" applyFill="1" applyBorder="1" applyAlignment="1" applyProtection="1">
      <alignment horizontal="right"/>
    </xf>
    <xf numFmtId="3" fontId="43" fillId="20" borderId="59" xfId="6" applyNumberFormat="1" applyFont="1" applyFill="1" applyBorder="1" applyAlignment="1" applyProtection="1">
      <alignment horizontal="right"/>
    </xf>
    <xf numFmtId="0" fontId="22" fillId="20" borderId="0" xfId="6" applyFill="1" applyProtection="1"/>
    <xf numFmtId="3" fontId="3" fillId="20" borderId="44" xfId="6" applyNumberFormat="1" applyFont="1" applyFill="1" applyBorder="1" applyProtection="1"/>
    <xf numFmtId="3" fontId="35" fillId="20" borderId="85" xfId="6" quotePrefix="1" applyNumberFormat="1" applyFont="1" applyFill="1" applyBorder="1" applyProtection="1"/>
    <xf numFmtId="3" fontId="35" fillId="20" borderId="0" xfId="6" applyNumberFormat="1" applyFont="1" applyFill="1" applyBorder="1" applyAlignment="1" applyProtection="1">
      <alignment horizontal="right"/>
    </xf>
    <xf numFmtId="3" fontId="35" fillId="20" borderId="8" xfId="6" quotePrefix="1" applyNumberFormat="1" applyFont="1" applyFill="1" applyBorder="1" applyProtection="1"/>
    <xf numFmtId="3" fontId="3" fillId="20" borderId="156" xfId="6" applyNumberFormat="1" applyFont="1" applyFill="1" applyBorder="1" applyAlignment="1" applyProtection="1">
      <alignment vertical="top"/>
    </xf>
    <xf numFmtId="0" fontId="5" fillId="20" borderId="154" xfId="6" applyFont="1" applyFill="1" applyBorder="1" applyProtection="1"/>
    <xf numFmtId="3" fontId="3" fillId="20" borderId="44" xfId="6" applyNumberFormat="1" applyFont="1" applyFill="1" applyBorder="1" applyAlignment="1" applyProtection="1">
      <alignment vertical="center"/>
    </xf>
    <xf numFmtId="3" fontId="5" fillId="20" borderId="156" xfId="6" applyNumberFormat="1" applyFont="1" applyFill="1" applyBorder="1" applyAlignment="1" applyProtection="1">
      <alignment vertical="top"/>
    </xf>
    <xf numFmtId="3" fontId="3" fillId="20" borderId="15" xfId="6" applyNumberFormat="1" applyFont="1" applyFill="1" applyBorder="1" applyAlignment="1" applyProtection="1">
      <alignment vertical="top" wrapText="1"/>
    </xf>
    <xf numFmtId="0" fontId="5" fillId="20" borderId="191" xfId="6" applyFont="1" applyFill="1" applyBorder="1" applyProtection="1"/>
    <xf numFmtId="0" fontId="12" fillId="20" borderId="156" xfId="6" applyFont="1" applyFill="1" applyBorder="1" applyProtection="1"/>
    <xf numFmtId="3" fontId="3" fillId="20" borderId="97" xfId="6" applyNumberFormat="1" applyFont="1" applyFill="1" applyBorder="1" applyAlignment="1" applyProtection="1"/>
    <xf numFmtId="0" fontId="3" fillId="20" borderId="16" xfId="6" applyFont="1" applyFill="1" applyBorder="1" applyAlignment="1" applyProtection="1">
      <alignment horizontal="left" vertical="center" wrapText="1"/>
    </xf>
    <xf numFmtId="0" fontId="3" fillId="20" borderId="27" xfId="6" applyFont="1" applyFill="1" applyBorder="1" applyProtection="1"/>
    <xf numFmtId="3" fontId="5" fillId="20" borderId="154" xfId="6" applyNumberFormat="1" applyFont="1" applyFill="1" applyBorder="1" applyAlignment="1" applyProtection="1">
      <alignment vertical="top"/>
    </xf>
    <xf numFmtId="0" fontId="3" fillId="20" borderId="15" xfId="6" applyFont="1" applyFill="1" applyBorder="1" applyAlignment="1" applyProtection="1">
      <alignment vertical="center" wrapText="1"/>
    </xf>
    <xf numFmtId="3" fontId="3" fillId="20" borderId="164" xfId="6" applyNumberFormat="1" applyFont="1" applyFill="1" applyBorder="1" applyAlignment="1" applyProtection="1"/>
    <xf numFmtId="0" fontId="3" fillId="20" borderId="172" xfId="6" applyFont="1" applyFill="1" applyBorder="1" applyAlignment="1" applyProtection="1">
      <alignment horizontal="left" vertical="center"/>
    </xf>
    <xf numFmtId="3" fontId="3" fillId="20" borderId="44" xfId="6" applyNumberFormat="1" applyFont="1" applyFill="1" applyBorder="1" applyAlignment="1" applyProtection="1">
      <alignment vertical="top"/>
    </xf>
    <xf numFmtId="0" fontId="5" fillId="20" borderId="15" xfId="6" applyFont="1" applyFill="1" applyBorder="1" applyAlignment="1" applyProtection="1">
      <alignment horizontal="left" vertical="center" wrapText="1"/>
    </xf>
    <xf numFmtId="3" fontId="3" fillId="20" borderId="156" xfId="6" applyNumberFormat="1" applyFont="1" applyFill="1" applyBorder="1" applyAlignment="1" applyProtection="1">
      <alignment vertical="center" wrapText="1"/>
    </xf>
    <xf numFmtId="0" fontId="3" fillId="20" borderId="154" xfId="6" applyFont="1" applyFill="1" applyBorder="1" applyProtection="1"/>
    <xf numFmtId="3" fontId="43" fillId="20" borderId="56" xfId="6" applyNumberFormat="1" applyFont="1" applyFill="1" applyBorder="1" applyAlignment="1" applyProtection="1">
      <alignment horizontal="right"/>
    </xf>
    <xf numFmtId="3" fontId="46" fillId="20" borderId="8" xfId="6" applyNumberFormat="1" applyFont="1" applyFill="1" applyBorder="1" applyAlignment="1" applyProtection="1">
      <alignment horizontal="right"/>
    </xf>
    <xf numFmtId="3" fontId="3" fillId="20" borderId="0" xfId="6" applyNumberFormat="1" applyFont="1" applyFill="1" applyBorder="1" applyAlignment="1" applyProtection="1">
      <alignment horizontal="right"/>
    </xf>
    <xf numFmtId="3" fontId="3" fillId="20" borderId="27" xfId="6" applyNumberFormat="1" applyFont="1" applyFill="1" applyBorder="1" applyAlignment="1" applyProtection="1">
      <alignment vertical="top" wrapText="1"/>
    </xf>
    <xf numFmtId="3" fontId="3" fillId="20" borderId="156" xfId="6" applyNumberFormat="1" applyFont="1" applyFill="1" applyBorder="1" applyAlignment="1" applyProtection="1">
      <alignment vertical="top" wrapText="1"/>
    </xf>
    <xf numFmtId="0" fontId="3" fillId="20" borderId="156" xfId="6" applyFont="1" applyFill="1" applyBorder="1" applyAlignment="1" applyProtection="1">
      <alignment horizontal="left" wrapText="1"/>
    </xf>
    <xf numFmtId="3" fontId="3" fillId="20" borderId="16" xfId="6" applyNumberFormat="1" applyFont="1" applyFill="1" applyBorder="1" applyAlignment="1" applyProtection="1">
      <alignment vertical="top" wrapText="1"/>
    </xf>
    <xf numFmtId="3" fontId="3" fillId="20" borderId="164" xfId="6" applyNumberFormat="1" applyFont="1" applyFill="1" applyBorder="1" applyAlignment="1" applyProtection="1">
      <alignment wrapText="1"/>
    </xf>
    <xf numFmtId="1" fontId="22" fillId="20" borderId="0" xfId="6" applyNumberFormat="1" applyFill="1" applyProtection="1"/>
    <xf numFmtId="0" fontId="0" fillId="20" borderId="115" xfId="0" applyFill="1" applyBorder="1" applyAlignment="1">
      <alignment vertical="center" wrapText="1"/>
    </xf>
    <xf numFmtId="3" fontId="5" fillId="20" borderId="154" xfId="6" applyNumberFormat="1" applyFont="1" applyFill="1" applyBorder="1" applyAlignment="1" applyProtection="1">
      <alignment wrapText="1"/>
    </xf>
    <xf numFmtId="0" fontId="3" fillId="20" borderId="164" xfId="6" applyFont="1" applyFill="1" applyBorder="1" applyAlignment="1" applyProtection="1">
      <alignment vertical="center" wrapText="1"/>
    </xf>
    <xf numFmtId="1" fontId="22" fillId="20" borderId="56" xfId="6" applyNumberFormat="1" applyFill="1" applyBorder="1" applyProtection="1"/>
    <xf numFmtId="3" fontId="3" fillId="20" borderId="56" xfId="6" applyNumberFormat="1" applyFont="1" applyFill="1" applyBorder="1" applyAlignment="1" applyProtection="1">
      <alignment wrapText="1"/>
    </xf>
    <xf numFmtId="0" fontId="0" fillId="0" borderId="0" xfId="0" applyFill="1" applyBorder="1" applyAlignment="1">
      <alignment wrapText="1"/>
    </xf>
    <xf numFmtId="0" fontId="3" fillId="20" borderId="161" xfId="6" applyFont="1" applyFill="1" applyBorder="1" applyProtection="1"/>
    <xf numFmtId="0" fontId="5" fillId="20" borderId="99" xfId="6" applyFont="1" applyFill="1" applyBorder="1" applyAlignment="1" applyProtection="1">
      <alignment wrapText="1"/>
    </xf>
    <xf numFmtId="3" fontId="3" fillId="20" borderId="126" xfId="6" applyNumberFormat="1" applyFont="1" applyFill="1" applyBorder="1" applyProtection="1"/>
    <xf numFmtId="3" fontId="3" fillId="20" borderId="72" xfId="6" applyNumberFormat="1" applyFont="1" applyFill="1" applyBorder="1" applyProtection="1"/>
    <xf numFmtId="3" fontId="3" fillId="20" borderId="123" xfId="6" applyNumberFormat="1" applyFont="1" applyFill="1" applyBorder="1" applyProtection="1"/>
    <xf numFmtId="3" fontId="3" fillId="20" borderId="15" xfId="6" applyNumberFormat="1" applyFont="1" applyFill="1" applyBorder="1" applyAlignment="1" applyProtection="1">
      <alignment vertical="center" wrapText="1"/>
    </xf>
    <xf numFmtId="0" fontId="22" fillId="20" borderId="156" xfId="6" applyFont="1" applyFill="1" applyBorder="1" applyProtection="1"/>
    <xf numFmtId="3" fontId="5" fillId="20" borderId="156" xfId="6" applyNumberFormat="1" applyFont="1" applyFill="1" applyBorder="1" applyAlignment="1" applyProtection="1">
      <alignment vertical="center"/>
    </xf>
    <xf numFmtId="0" fontId="3" fillId="20" borderId="12" xfId="6" applyFont="1" applyFill="1" applyBorder="1" applyProtection="1"/>
    <xf numFmtId="0" fontId="3" fillId="20" borderId="119" xfId="6" applyFont="1" applyFill="1" applyBorder="1" applyProtection="1"/>
    <xf numFmtId="0" fontId="3" fillId="20" borderId="66" xfId="6" applyFont="1" applyFill="1" applyBorder="1" applyProtection="1"/>
    <xf numFmtId="0" fontId="3" fillId="20" borderId="98" xfId="6" applyFont="1" applyFill="1" applyBorder="1" applyProtection="1"/>
    <xf numFmtId="0" fontId="3" fillId="20" borderId="15" xfId="6" applyFont="1" applyFill="1" applyBorder="1" applyProtection="1"/>
    <xf numFmtId="0" fontId="3" fillId="20" borderId="156" xfId="6" applyFont="1" applyFill="1" applyBorder="1" applyProtection="1"/>
    <xf numFmtId="0" fontId="3" fillId="20" borderId="55" xfId="6" applyFont="1" applyFill="1" applyBorder="1" applyProtection="1"/>
    <xf numFmtId="0" fontId="3" fillId="20" borderId="0" xfId="6" applyFont="1" applyFill="1" applyBorder="1" applyProtection="1"/>
    <xf numFmtId="3" fontId="2" fillId="20" borderId="4" xfId="6" applyNumberFormat="1" applyFont="1" applyFill="1" applyBorder="1" applyProtection="1"/>
    <xf numFmtId="3" fontId="43" fillId="20" borderId="0" xfId="6" applyNumberFormat="1" applyFont="1" applyFill="1" applyBorder="1" applyAlignment="1" applyProtection="1">
      <alignment horizontal="right"/>
    </xf>
    <xf numFmtId="3" fontId="43" fillId="20" borderId="40" xfId="6" applyNumberFormat="1" applyFont="1" applyFill="1" applyBorder="1" applyAlignment="1" applyProtection="1">
      <alignment horizontal="right"/>
    </xf>
    <xf numFmtId="3" fontId="2" fillId="20" borderId="8" xfId="6" applyNumberFormat="1" applyFont="1" applyFill="1" applyBorder="1" applyProtection="1"/>
    <xf numFmtId="0" fontId="22" fillId="20" borderId="0" xfId="6" applyFont="1" applyFill="1" applyProtection="1"/>
    <xf numFmtId="0" fontId="3" fillId="20" borderId="117" xfId="6" applyFont="1" applyFill="1" applyBorder="1" applyProtection="1"/>
    <xf numFmtId="0" fontId="3" fillId="20" borderId="120" xfId="6" applyFont="1" applyFill="1" applyBorder="1" applyProtection="1"/>
    <xf numFmtId="0" fontId="3" fillId="20" borderId="152" xfId="6" applyFont="1" applyFill="1" applyBorder="1" applyProtection="1"/>
    <xf numFmtId="0" fontId="3" fillId="20" borderId="56" xfId="6" applyFont="1" applyFill="1" applyBorder="1" applyProtection="1"/>
    <xf numFmtId="0" fontId="3" fillId="20" borderId="104" xfId="6" applyFont="1" applyFill="1" applyBorder="1" applyAlignment="1" applyProtection="1">
      <alignment horizontal="left" wrapText="1"/>
    </xf>
    <xf numFmtId="3" fontId="2" fillId="20" borderId="35" xfId="6" applyNumberFormat="1" applyFont="1" applyFill="1" applyBorder="1" applyProtection="1"/>
    <xf numFmtId="3" fontId="3" fillId="20" borderId="156" xfId="6" applyNumberFormat="1" applyFont="1" applyFill="1" applyBorder="1" applyAlignment="1" applyProtection="1">
      <alignment vertical="center" wrapText="1"/>
    </xf>
    <xf numFmtId="3" fontId="3" fillId="20" borderId="0" xfId="6" applyNumberFormat="1" applyFont="1" applyFill="1" applyBorder="1" applyAlignment="1" applyProtection="1">
      <alignment vertical="top"/>
    </xf>
    <xf numFmtId="168" fontId="3" fillId="20" borderId="12" xfId="6" applyNumberFormat="1" applyFont="1" applyFill="1" applyBorder="1" applyProtection="1"/>
    <xf numFmtId="3" fontId="2" fillId="20" borderId="72" xfId="6" applyNumberFormat="1" applyFont="1" applyFill="1" applyBorder="1" applyProtection="1"/>
    <xf numFmtId="3" fontId="3" fillId="20" borderId="156" xfId="6" applyNumberFormat="1" applyFont="1" applyFill="1" applyBorder="1" applyAlignment="1" applyProtection="1">
      <alignment vertical="center"/>
    </xf>
    <xf numFmtId="3" fontId="2" fillId="20" borderId="15" xfId="6" applyNumberFormat="1" applyFont="1" applyFill="1" applyBorder="1" applyProtection="1"/>
    <xf numFmtId="3" fontId="2" fillId="20" borderId="13" xfId="6" applyNumberFormat="1" applyFont="1" applyFill="1" applyBorder="1" applyProtection="1"/>
    <xf numFmtId="3" fontId="3" fillId="20" borderId="156" xfId="6" applyNumberFormat="1" applyFont="1" applyFill="1" applyBorder="1" applyAlignment="1" applyProtection="1">
      <alignment vertical="top" wrapText="1"/>
    </xf>
    <xf numFmtId="0" fontId="3" fillId="20" borderId="117" xfId="6" applyFont="1" applyFill="1" applyBorder="1" applyAlignment="1" applyProtection="1">
      <alignment vertical="top" wrapText="1"/>
    </xf>
    <xf numFmtId="0" fontId="3" fillId="20" borderId="43" xfId="6" applyFont="1" applyFill="1" applyBorder="1" applyAlignment="1" applyProtection="1">
      <alignment horizontal="right" vertical="top"/>
    </xf>
    <xf numFmtId="0" fontId="3" fillId="20" borderId="92" xfId="6" applyFont="1" applyFill="1" applyBorder="1" applyAlignment="1" applyProtection="1">
      <alignment vertical="top"/>
    </xf>
    <xf numFmtId="0" fontId="3" fillId="20" borderId="43" xfId="6" applyFont="1" applyFill="1" applyBorder="1" applyAlignment="1" applyProtection="1">
      <alignment vertical="top"/>
    </xf>
    <xf numFmtId="0" fontId="0" fillId="20" borderId="57" xfId="0" applyFill="1" applyBorder="1" applyAlignment="1">
      <alignment wrapText="1"/>
    </xf>
    <xf numFmtId="0" fontId="0" fillId="20" borderId="44" xfId="0" applyFill="1" applyBorder="1" applyAlignment="1">
      <alignment wrapText="1"/>
    </xf>
    <xf numFmtId="0" fontId="0" fillId="20" borderId="1" xfId="0" applyFill="1" applyBorder="1" applyAlignment="1">
      <alignment vertical="top" wrapText="1"/>
    </xf>
    <xf numFmtId="0" fontId="5" fillId="20" borderId="12" xfId="6" applyFont="1" applyFill="1" applyBorder="1" applyAlignment="1" applyProtection="1">
      <alignment vertical="top"/>
    </xf>
    <xf numFmtId="0" fontId="3" fillId="20" borderId="119" xfId="6" applyFont="1" applyFill="1" applyBorder="1" applyAlignment="1" applyProtection="1">
      <alignment wrapText="1"/>
    </xf>
    <xf numFmtId="3" fontId="3" fillId="20" borderId="156" xfId="0" applyNumberFormat="1" applyFont="1" applyFill="1" applyBorder="1" applyAlignment="1" applyProtection="1"/>
    <xf numFmtId="3" fontId="2" fillId="9" borderId="35" xfId="0" applyNumberFormat="1" applyFont="1" applyFill="1" applyBorder="1" applyAlignment="1" applyProtection="1"/>
    <xf numFmtId="3" fontId="2" fillId="9" borderId="1" xfId="0" applyNumberFormat="1" applyFont="1" applyFill="1" applyBorder="1" applyAlignment="1" applyProtection="1"/>
    <xf numFmtId="3" fontId="2" fillId="9" borderId="4" xfId="0" applyNumberFormat="1" applyFont="1" applyFill="1" applyBorder="1" applyAlignment="1" applyProtection="1"/>
    <xf numFmtId="0" fontId="0" fillId="20" borderId="156" xfId="0" applyFill="1" applyBorder="1" applyAlignment="1">
      <alignment vertical="top" wrapText="1"/>
    </xf>
    <xf numFmtId="3" fontId="3" fillId="20" borderId="191" xfId="0" applyNumberFormat="1" applyFont="1" applyFill="1" applyBorder="1" applyAlignment="1" applyProtection="1"/>
    <xf numFmtId="3" fontId="2" fillId="20" borderId="19" xfId="0" applyNumberFormat="1" applyFont="1" applyFill="1" applyBorder="1" applyProtection="1"/>
    <xf numFmtId="0" fontId="3" fillId="20" borderId="26" xfId="0" applyFont="1" applyFill="1" applyBorder="1" applyProtection="1"/>
    <xf numFmtId="3" fontId="2" fillId="3" borderId="63" xfId="6" applyNumberFormat="1" applyFont="1" applyFill="1" applyBorder="1" applyAlignment="1" applyProtection="1">
      <alignment horizontal="right"/>
    </xf>
    <xf numFmtId="0" fontId="9" fillId="20" borderId="155" xfId="0" applyFont="1" applyFill="1" applyBorder="1" applyProtection="1"/>
    <xf numFmtId="3" fontId="2" fillId="20" borderId="50" xfId="0" applyNumberFormat="1" applyFont="1" applyFill="1" applyBorder="1" applyAlignment="1" applyProtection="1">
      <alignment horizontal="right"/>
    </xf>
    <xf numFmtId="3" fontId="2" fillId="20" borderId="129" xfId="0" applyNumberFormat="1" applyFont="1" applyFill="1" applyBorder="1" applyAlignment="1" applyProtection="1">
      <alignment horizontal="right"/>
    </xf>
    <xf numFmtId="3" fontId="2" fillId="20" borderId="29" xfId="0" applyNumberFormat="1" applyFont="1" applyFill="1" applyBorder="1" applyAlignment="1" applyProtection="1">
      <alignment horizontal="right" vertical="top" wrapText="1"/>
    </xf>
    <xf numFmtId="3" fontId="2" fillId="21" borderId="47" xfId="0" applyNumberFormat="1" applyFont="1" applyFill="1" applyBorder="1" applyAlignment="1" applyProtection="1">
      <alignment horizontal="left"/>
    </xf>
    <xf numFmtId="3" fontId="2" fillId="21" borderId="45" xfId="0" applyNumberFormat="1" applyFont="1" applyFill="1" applyBorder="1" applyAlignment="1" applyProtection="1">
      <alignment horizontal="right"/>
    </xf>
    <xf numFmtId="3" fontId="136" fillId="20" borderId="28" xfId="0" applyNumberFormat="1" applyFont="1" applyFill="1" applyBorder="1" applyAlignment="1" applyProtection="1">
      <alignment horizontal="right"/>
    </xf>
    <xf numFmtId="3" fontId="5" fillId="20" borderId="220" xfId="0" applyNumberFormat="1" applyFont="1" applyFill="1" applyBorder="1" applyAlignment="1" applyProtection="1">
      <alignment horizontal="left" vertical="center" wrapText="1"/>
    </xf>
    <xf numFmtId="0" fontId="0" fillId="20" borderId="58" xfId="0" applyFill="1" applyBorder="1" applyProtection="1"/>
    <xf numFmtId="3" fontId="2" fillId="20" borderId="32" xfId="0" applyNumberFormat="1" applyFont="1" applyFill="1" applyBorder="1" applyAlignment="1" applyProtection="1">
      <alignment horizontal="right"/>
    </xf>
    <xf numFmtId="3" fontId="2" fillId="20" borderId="33" xfId="0" applyNumberFormat="1" applyFont="1" applyFill="1" applyBorder="1" applyAlignment="1" applyProtection="1">
      <alignment horizontal="right"/>
    </xf>
    <xf numFmtId="3" fontId="2" fillId="20" borderId="31" xfId="0" applyNumberFormat="1" applyFont="1" applyFill="1" applyBorder="1" applyAlignment="1" applyProtection="1">
      <alignment horizontal="right"/>
    </xf>
    <xf numFmtId="3" fontId="2" fillId="20" borderId="118" xfId="0" applyNumberFormat="1" applyFont="1" applyFill="1" applyBorder="1" applyAlignment="1" applyProtection="1">
      <alignment horizontal="right"/>
    </xf>
    <xf numFmtId="3" fontId="2" fillId="20" borderId="106" xfId="0" applyNumberFormat="1" applyFont="1" applyFill="1" applyBorder="1" applyAlignment="1" applyProtection="1">
      <alignment horizontal="right"/>
    </xf>
    <xf numFmtId="3" fontId="2" fillId="20" borderId="221" xfId="0" applyNumberFormat="1" applyFont="1" applyFill="1" applyBorder="1" applyAlignment="1" applyProtection="1">
      <alignment horizontal="right"/>
    </xf>
    <xf numFmtId="3" fontId="2" fillId="20" borderId="214" xfId="0" applyNumberFormat="1" applyFont="1" applyFill="1" applyBorder="1" applyAlignment="1" applyProtection="1">
      <alignment horizontal="right"/>
    </xf>
    <xf numFmtId="3" fontId="2" fillId="20" borderId="33" xfId="0" applyNumberFormat="1" applyFont="1" applyFill="1" applyBorder="1" applyProtection="1"/>
    <xf numFmtId="0" fontId="0" fillId="20" borderId="178" xfId="0" applyFill="1" applyBorder="1" applyProtection="1"/>
    <xf numFmtId="49" fontId="4" fillId="20" borderId="27" xfId="0" applyNumberFormat="1" applyFont="1" applyFill="1" applyBorder="1" applyAlignment="1" applyProtection="1">
      <alignment horizontal="right"/>
    </xf>
    <xf numFmtId="3" fontId="15" fillId="20" borderId="0" xfId="0" applyNumberFormat="1" applyFont="1" applyFill="1" applyBorder="1" applyAlignment="1" applyProtection="1">
      <alignment horizontal="right"/>
    </xf>
    <xf numFmtId="0" fontId="65" fillId="20" borderId="0" xfId="0" applyFont="1" applyFill="1" applyBorder="1" applyAlignment="1">
      <alignment horizontal="center" wrapText="1"/>
    </xf>
    <xf numFmtId="0" fontId="77" fillId="20" borderId="0" xfId="0" applyFont="1" applyFill="1" applyBorder="1" applyAlignment="1">
      <alignment wrapText="1"/>
    </xf>
    <xf numFmtId="49" fontId="40" fillId="20" borderId="27" xfId="0" applyNumberFormat="1" applyFont="1" applyFill="1" applyBorder="1" applyAlignment="1" applyProtection="1">
      <alignment horizontal="right"/>
    </xf>
    <xf numFmtId="49" fontId="40" fillId="20" borderId="0" xfId="0" applyNumberFormat="1" applyFont="1" applyFill="1" applyBorder="1" applyAlignment="1" applyProtection="1">
      <alignment horizontal="right"/>
    </xf>
    <xf numFmtId="2" fontId="76" fillId="20" borderId="27" xfId="5" applyNumberFormat="1" applyFill="1" applyBorder="1" applyAlignment="1" applyProtection="1">
      <alignment horizontal="left"/>
    </xf>
    <xf numFmtId="0" fontId="0" fillId="20" borderId="27" xfId="0" applyFill="1" applyBorder="1"/>
    <xf numFmtId="3" fontId="35" fillId="20" borderId="10" xfId="6" applyNumberFormat="1" applyFont="1" applyFill="1" applyBorder="1" applyAlignment="1" applyProtection="1">
      <alignment horizontal="left"/>
    </xf>
    <xf numFmtId="3" fontId="72" fillId="20" borderId="25" xfId="0" applyNumberFormat="1" applyFont="1" applyFill="1" applyBorder="1" applyAlignment="1" applyProtection="1">
      <alignment horizontal="right"/>
    </xf>
    <xf numFmtId="3" fontId="36" fillId="20" borderId="25" xfId="0" applyNumberFormat="1" applyFont="1" applyFill="1" applyBorder="1" applyAlignment="1" applyProtection="1">
      <alignment horizontal="right"/>
    </xf>
    <xf numFmtId="0" fontId="137" fillId="20" borderId="191" xfId="0" applyFont="1" applyFill="1" applyBorder="1" applyProtection="1"/>
    <xf numFmtId="3" fontId="138" fillId="21" borderId="66" xfId="0" applyNumberFormat="1" applyFont="1" applyFill="1" applyBorder="1" applyAlignment="1" applyProtection="1">
      <alignment horizontal="right"/>
    </xf>
    <xf numFmtId="3" fontId="138" fillId="21" borderId="0" xfId="0" applyNumberFormat="1" applyFont="1" applyFill="1" applyBorder="1" applyAlignment="1" applyProtection="1">
      <alignment horizontal="right"/>
    </xf>
    <xf numFmtId="0" fontId="137" fillId="20" borderId="57" xfId="0" applyFont="1" applyFill="1" applyBorder="1" applyProtection="1"/>
    <xf numFmtId="3" fontId="10" fillId="20" borderId="56" xfId="0" applyNumberFormat="1" applyFont="1" applyFill="1" applyBorder="1" applyProtection="1"/>
    <xf numFmtId="3" fontId="10" fillId="20" borderId="123" xfId="0" applyNumberFormat="1" applyFont="1" applyFill="1" applyBorder="1" applyProtection="1"/>
    <xf numFmtId="3" fontId="10" fillId="20" borderId="81" xfId="0" applyNumberFormat="1" applyFont="1" applyFill="1" applyBorder="1" applyProtection="1"/>
    <xf numFmtId="3" fontId="10" fillId="20" borderId="40" xfId="0" applyNumberFormat="1" applyFont="1" applyFill="1" applyBorder="1" applyProtection="1"/>
    <xf numFmtId="3" fontId="10" fillId="20" borderId="59" xfId="0" applyNumberFormat="1" applyFont="1" applyFill="1" applyBorder="1" applyProtection="1"/>
    <xf numFmtId="3" fontId="72" fillId="20" borderId="195" xfId="6" applyNumberFormat="1" applyFont="1" applyFill="1" applyBorder="1" applyAlignment="1" applyProtection="1">
      <alignment horizontal="right"/>
    </xf>
    <xf numFmtId="3" fontId="72" fillId="20" borderId="153" xfId="6" applyNumberFormat="1" applyFont="1" applyFill="1" applyBorder="1" applyAlignment="1" applyProtection="1">
      <alignment horizontal="right"/>
    </xf>
    <xf numFmtId="3" fontId="36" fillId="20" borderId="82" xfId="6" applyNumberFormat="1" applyFont="1" applyFill="1" applyBorder="1" applyAlignment="1" applyProtection="1">
      <alignment horizontal="right"/>
    </xf>
    <xf numFmtId="3" fontId="72" fillId="20" borderId="82" xfId="6" applyNumberFormat="1" applyFont="1" applyFill="1" applyBorder="1" applyAlignment="1" applyProtection="1">
      <alignment horizontal="right"/>
    </xf>
    <xf numFmtId="3" fontId="72" fillId="20" borderId="82" xfId="6" quotePrefix="1" applyNumberFormat="1" applyFont="1" applyFill="1" applyBorder="1" applyAlignment="1" applyProtection="1">
      <alignment horizontal="right"/>
    </xf>
    <xf numFmtId="3" fontId="36" fillId="20" borderId="35" xfId="6" applyNumberFormat="1" applyFont="1" applyFill="1" applyBorder="1" applyProtection="1"/>
    <xf numFmtId="3" fontId="36" fillId="20" borderId="1" xfId="6" applyNumberFormat="1" applyFont="1" applyFill="1" applyBorder="1" applyProtection="1"/>
    <xf numFmtId="3" fontId="36" fillId="20" borderId="4" xfId="6" applyNumberFormat="1" applyFont="1" applyFill="1" applyBorder="1" applyProtection="1"/>
    <xf numFmtId="3" fontId="36" fillId="20" borderId="43" xfId="6" applyNumberFormat="1" applyFont="1" applyFill="1" applyBorder="1" applyProtection="1"/>
    <xf numFmtId="3" fontId="36" fillId="20" borderId="72" xfId="6" applyNumberFormat="1" applyFont="1" applyFill="1" applyBorder="1" applyProtection="1"/>
    <xf numFmtId="3" fontId="36" fillId="20" borderId="25" xfId="6" applyNumberFormat="1" applyFont="1" applyFill="1" applyBorder="1" applyProtection="1"/>
    <xf numFmtId="0" fontId="5" fillId="20" borderId="96" xfId="0" applyFont="1" applyFill="1" applyBorder="1" applyAlignment="1" applyProtection="1">
      <alignment horizontal="center" vertical="center" wrapText="1"/>
    </xf>
    <xf numFmtId="0" fontId="5" fillId="20" borderId="76" xfId="0" applyFont="1" applyFill="1" applyBorder="1" applyAlignment="1" applyProtection="1">
      <alignment horizontal="center" vertical="center"/>
    </xf>
    <xf numFmtId="1" fontId="5" fillId="20" borderId="117" xfId="0" applyNumberFormat="1" applyFont="1" applyFill="1" applyBorder="1" applyAlignment="1" applyProtection="1">
      <alignment horizontal="center"/>
    </xf>
    <xf numFmtId="166" fontId="5" fillId="20" borderId="91" xfId="0" applyNumberFormat="1" applyFont="1" applyFill="1" applyBorder="1" applyAlignment="1" applyProtection="1">
      <alignment horizontal="left"/>
    </xf>
    <xf numFmtId="0" fontId="5" fillId="20" borderId="91" xfId="0" applyFont="1" applyFill="1" applyBorder="1" applyAlignment="1" applyProtection="1">
      <alignment horizontal="left"/>
    </xf>
    <xf numFmtId="0" fontId="105" fillId="10" borderId="0" xfId="0" applyFont="1" applyFill="1" applyBorder="1" applyAlignment="1">
      <alignment wrapText="1"/>
    </xf>
    <xf numFmtId="0" fontId="106" fillId="10" borderId="0" xfId="0" applyFont="1" applyFill="1" applyBorder="1" applyAlignment="1"/>
    <xf numFmtId="0" fontId="117" fillId="20" borderId="27" xfId="0" applyFont="1" applyFill="1" applyBorder="1" applyAlignment="1">
      <alignment wrapText="1"/>
    </xf>
    <xf numFmtId="0" fontId="117" fillId="20" borderId="0" xfId="0" applyFont="1" applyFill="1" applyBorder="1" applyAlignment="1">
      <alignment wrapText="1"/>
    </xf>
    <xf numFmtId="0" fontId="78" fillId="10" borderId="174" xfId="0" applyFont="1" applyFill="1" applyBorder="1" applyAlignment="1">
      <alignment wrapText="1"/>
    </xf>
    <xf numFmtId="0" fontId="78" fillId="10" borderId="71" xfId="0" applyFont="1" applyFill="1" applyBorder="1" applyAlignment="1">
      <alignment wrapText="1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20" borderId="134" xfId="0" applyFont="1" applyFill="1" applyBorder="1" applyAlignment="1" applyProtection="1">
      <alignment wrapText="1"/>
    </xf>
    <xf numFmtId="0" fontId="0" fillId="20" borderId="222" xfId="0" applyFill="1" applyBorder="1" applyAlignment="1">
      <alignment wrapText="1"/>
    </xf>
    <xf numFmtId="0" fontId="3" fillId="20" borderId="50" xfId="0" applyFont="1" applyFill="1" applyBorder="1" applyAlignment="1" applyProtection="1">
      <alignment wrapText="1"/>
    </xf>
    <xf numFmtId="0" fontId="0" fillId="20" borderId="51" xfId="0" applyFill="1" applyBorder="1" applyAlignment="1">
      <alignment wrapText="1"/>
    </xf>
    <xf numFmtId="0" fontId="5" fillId="20" borderId="36" xfId="0" applyFont="1" applyFill="1" applyBorder="1" applyAlignment="1" applyProtection="1">
      <alignment horizontal="center" vertical="center"/>
    </xf>
    <xf numFmtId="0" fontId="1" fillId="20" borderId="120" xfId="0" applyFont="1" applyFill="1" applyBorder="1" applyAlignment="1" applyProtection="1"/>
    <xf numFmtId="0" fontId="0" fillId="20" borderId="120" xfId="0" applyFill="1" applyBorder="1" applyProtection="1"/>
    <xf numFmtId="3" fontId="46" fillId="21" borderId="128" xfId="0" applyNumberFormat="1" applyFont="1" applyFill="1" applyBorder="1" applyAlignment="1" applyProtection="1"/>
    <xf numFmtId="3" fontId="46" fillId="21" borderId="21" xfId="0" applyNumberFormat="1" applyFont="1" applyFill="1" applyBorder="1" applyAlignment="1" applyProtection="1"/>
    <xf numFmtId="3" fontId="46" fillId="21" borderId="73" xfId="0" applyNumberFormat="1" applyFont="1" applyFill="1" applyBorder="1" applyAlignment="1" applyProtection="1"/>
    <xf numFmtId="3" fontId="46" fillId="21" borderId="18" xfId="0" applyNumberFormat="1" applyFont="1" applyFill="1" applyBorder="1" applyAlignment="1" applyProtection="1"/>
    <xf numFmtId="0" fontId="5" fillId="20" borderId="120" xfId="0" applyFont="1" applyFill="1" applyBorder="1" applyAlignment="1" applyProtection="1"/>
    <xf numFmtId="3" fontId="5" fillId="20" borderId="36" xfId="0" applyNumberFormat="1" applyFont="1" applyFill="1" applyBorder="1" applyAlignment="1" applyProtection="1">
      <alignment horizontal="center" vertical="center"/>
    </xf>
    <xf numFmtId="0" fontId="7" fillId="20" borderId="120" xfId="0" applyFont="1" applyFill="1" applyBorder="1" applyAlignment="1" applyProtection="1"/>
    <xf numFmtId="1" fontId="5" fillId="0" borderId="0" xfId="0" applyNumberFormat="1" applyFont="1" applyFill="1" applyBorder="1" applyAlignment="1" applyProtection="1">
      <alignment horizontal="left" wrapText="1"/>
    </xf>
    <xf numFmtId="0" fontId="0" fillId="0" borderId="0" xfId="0" applyFill="1" applyBorder="1" applyAlignment="1">
      <alignment horizontal="left" wrapText="1"/>
    </xf>
    <xf numFmtId="1" fontId="2" fillId="20" borderId="15" xfId="0" applyNumberFormat="1" applyFont="1" applyFill="1" applyBorder="1" applyAlignment="1" applyProtection="1">
      <alignment horizontal="left" wrapText="1"/>
    </xf>
    <xf numFmtId="0" fontId="9" fillId="20" borderId="43" xfId="0" applyFont="1" applyFill="1" applyBorder="1" applyAlignment="1">
      <alignment horizontal="left" wrapText="1"/>
    </xf>
    <xf numFmtId="49" fontId="3" fillId="20" borderId="11" xfId="0" applyNumberFormat="1" applyFont="1" applyFill="1" applyBorder="1" applyAlignment="1" applyProtection="1">
      <alignment horizontal="left" vertical="top" wrapText="1"/>
    </xf>
    <xf numFmtId="0" fontId="0" fillId="0" borderId="7" xfId="0" applyBorder="1" applyAlignment="1"/>
    <xf numFmtId="0" fontId="0" fillId="0" borderId="7" xfId="0" applyBorder="1" applyAlignment="1">
      <alignment vertical="top" wrapText="1"/>
    </xf>
    <xf numFmtId="0" fontId="8" fillId="2" borderId="0" xfId="0" applyFont="1" applyFill="1" applyBorder="1" applyAlignment="1" applyProtection="1"/>
    <xf numFmtId="0" fontId="0" fillId="0" borderId="0" xfId="0" applyBorder="1" applyAlignment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9" fillId="20" borderId="15" xfId="0" applyFont="1" applyFill="1" applyBorder="1" applyAlignment="1">
      <alignment wrapText="1"/>
    </xf>
    <xf numFmtId="0" fontId="19" fillId="2" borderId="0" xfId="0" applyFont="1" applyFill="1" applyAlignment="1" applyProtection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vertical="top" wrapText="1"/>
    </xf>
    <xf numFmtId="49" fontId="18" fillId="0" borderId="0" xfId="6" applyNumberFormat="1" applyFont="1" applyFill="1" applyBorder="1" applyAlignment="1" applyProtection="1">
      <alignment horizontal="left" wrapText="1"/>
    </xf>
    <xf numFmtId="0" fontId="57" fillId="0" borderId="0" xfId="6" applyFont="1" applyAlignment="1">
      <alignment horizontal="left" wrapText="1"/>
    </xf>
    <xf numFmtId="0" fontId="22" fillId="0" borderId="0" xfId="6" applyAlignment="1">
      <alignment wrapText="1"/>
    </xf>
    <xf numFmtId="0" fontId="2" fillId="0" borderId="0" xfId="0" applyFont="1" applyBorder="1" applyAlignment="1" applyProtection="1">
      <alignment wrapText="1"/>
      <protection locked="0"/>
    </xf>
    <xf numFmtId="0" fontId="3" fillId="20" borderId="117" xfId="0" applyFont="1" applyFill="1" applyBorder="1" applyAlignment="1" applyProtection="1">
      <alignment horizontal="left" vertical="top" wrapText="1"/>
    </xf>
    <xf numFmtId="0" fontId="0" fillId="0" borderId="43" xfId="0" applyBorder="1"/>
    <xf numFmtId="0" fontId="16" fillId="2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Border="1" applyAlignment="1" applyProtection="1">
      <alignment vertical="top" wrapText="1"/>
      <protection locked="0"/>
    </xf>
    <xf numFmtId="0" fontId="22" fillId="0" borderId="0" xfId="6" applyAlignment="1"/>
    <xf numFmtId="3" fontId="3" fillId="20" borderId="171" xfId="0" applyNumberFormat="1" applyFont="1" applyFill="1" applyBorder="1" applyAlignment="1" applyProtection="1">
      <alignment horizontal="left" vertical="top" wrapText="1"/>
    </xf>
    <xf numFmtId="0" fontId="0" fillId="0" borderId="58" xfId="0" applyBorder="1" applyAlignment="1">
      <alignment horizontal="left" wrapText="1"/>
    </xf>
    <xf numFmtId="3" fontId="3" fillId="20" borderId="170" xfId="0" applyNumberFormat="1" applyFont="1" applyFill="1" applyBorder="1" applyAlignment="1" applyProtection="1">
      <alignment horizontal="left" vertical="top" wrapText="1"/>
    </xf>
    <xf numFmtId="0" fontId="0" fillId="0" borderId="155" xfId="0" applyBorder="1" applyAlignment="1">
      <alignment horizontal="left" wrapText="1"/>
    </xf>
    <xf numFmtId="0" fontId="3" fillId="20" borderId="49" xfId="0" applyFont="1" applyFill="1" applyBorder="1" applyAlignment="1" applyProtection="1">
      <alignment horizontal="center" vertical="top"/>
    </xf>
    <xf numFmtId="0" fontId="3" fillId="20" borderId="161" xfId="0" applyFont="1" applyFill="1" applyBorder="1" applyAlignment="1" applyProtection="1">
      <alignment horizontal="center" vertical="top"/>
    </xf>
    <xf numFmtId="3" fontId="3" fillId="20" borderId="49" xfId="0" applyNumberFormat="1" applyFont="1" applyFill="1" applyBorder="1" applyAlignment="1" applyProtection="1">
      <alignment horizontal="center" vertical="top"/>
    </xf>
    <xf numFmtId="3" fontId="3" fillId="20" borderId="48" xfId="0" applyNumberFormat="1" applyFont="1" applyFill="1" applyBorder="1" applyAlignment="1" applyProtection="1">
      <alignment horizontal="center" vertical="top"/>
    </xf>
    <xf numFmtId="3" fontId="3" fillId="20" borderId="161" xfId="0" applyNumberFormat="1" applyFont="1" applyFill="1" applyBorder="1" applyAlignment="1" applyProtection="1">
      <alignment horizontal="center" vertical="top"/>
    </xf>
    <xf numFmtId="0" fontId="2" fillId="20" borderId="193" xfId="0" applyFont="1" applyFill="1" applyBorder="1" applyAlignment="1" applyProtection="1">
      <alignment horizontal="center" vertical="top"/>
    </xf>
    <xf numFmtId="0" fontId="2" fillId="20" borderId="48" xfId="0" applyFont="1" applyFill="1" applyBorder="1" applyAlignment="1" applyProtection="1">
      <alignment horizontal="center" vertical="top"/>
    </xf>
    <xf numFmtId="0" fontId="2" fillId="20" borderId="161" xfId="0" applyFont="1" applyFill="1" applyBorder="1" applyAlignment="1" applyProtection="1">
      <alignment horizontal="center" vertical="top"/>
    </xf>
    <xf numFmtId="3" fontId="3" fillId="20" borderId="49" xfId="0" applyNumberFormat="1" applyFont="1" applyFill="1" applyBorder="1" applyAlignment="1" applyProtection="1">
      <alignment horizontal="left" vertical="top" wrapText="1"/>
    </xf>
    <xf numFmtId="0" fontId="22" fillId="20" borderId="42" xfId="0" applyFont="1" applyFill="1" applyBorder="1" applyAlignment="1" applyProtection="1">
      <alignment vertical="top" wrapText="1"/>
    </xf>
    <xf numFmtId="0" fontId="3" fillId="2" borderId="203" xfId="0" applyFont="1" applyFill="1" applyBorder="1" applyAlignment="1" applyProtection="1">
      <alignment horizontal="right"/>
    </xf>
    <xf numFmtId="0" fontId="0" fillId="0" borderId="160" xfId="0" applyBorder="1" applyAlignment="1">
      <alignment horizontal="right"/>
    </xf>
    <xf numFmtId="0" fontId="0" fillId="0" borderId="105" xfId="0" applyBorder="1" applyAlignment="1">
      <alignment horizontal="right"/>
    </xf>
    <xf numFmtId="3" fontId="3" fillId="20" borderId="118" xfId="0" applyNumberFormat="1" applyFont="1" applyFill="1" applyBorder="1" applyAlignment="1" applyProtection="1">
      <alignment vertical="top" wrapText="1"/>
    </xf>
    <xf numFmtId="0" fontId="0" fillId="20" borderId="58" xfId="0" applyFill="1" applyBorder="1" applyAlignment="1">
      <alignment vertical="top" wrapText="1"/>
    </xf>
    <xf numFmtId="0" fontId="3" fillId="20" borderId="193" xfId="0" applyFont="1" applyFill="1" applyBorder="1" applyAlignment="1" applyProtection="1">
      <alignment horizontal="center" vertical="top"/>
    </xf>
    <xf numFmtId="0" fontId="22" fillId="20" borderId="48" xfId="0" applyFont="1" applyFill="1" applyBorder="1" applyAlignment="1" applyProtection="1">
      <alignment horizontal="center" vertical="top"/>
    </xf>
    <xf numFmtId="0" fontId="22" fillId="20" borderId="42" xfId="0" applyFont="1" applyFill="1" applyBorder="1" applyAlignment="1" applyProtection="1">
      <alignment horizontal="center" vertical="top"/>
    </xf>
    <xf numFmtId="0" fontId="3" fillId="20" borderId="203" xfId="0" applyFont="1" applyFill="1" applyBorder="1" applyAlignment="1" applyProtection="1">
      <alignment horizontal="center" vertical="top"/>
    </xf>
    <xf numFmtId="0" fontId="3" fillId="20" borderId="160" xfId="0" applyFont="1" applyFill="1" applyBorder="1" applyAlignment="1" applyProtection="1">
      <alignment horizontal="center" vertical="top"/>
    </xf>
    <xf numFmtId="0" fontId="3" fillId="20" borderId="223" xfId="0" applyFont="1" applyFill="1" applyBorder="1" applyAlignment="1" applyProtection="1">
      <alignment horizontal="center" vertical="top"/>
    </xf>
    <xf numFmtId="3" fontId="3" fillId="20" borderId="79" xfId="0" applyNumberFormat="1" applyFont="1" applyFill="1" applyBorder="1" applyAlignment="1" applyProtection="1">
      <alignment horizontal="left" wrapText="1"/>
    </xf>
    <xf numFmtId="0" fontId="0" fillId="20" borderId="80" xfId="0" applyFill="1" applyBorder="1" applyAlignment="1" applyProtection="1">
      <alignment horizontal="left" wrapText="1"/>
    </xf>
    <xf numFmtId="0" fontId="0" fillId="20" borderId="95" xfId="0" applyFill="1" applyBorder="1" applyAlignment="1" applyProtection="1">
      <alignment horizontal="left" wrapText="1"/>
    </xf>
    <xf numFmtId="3" fontId="3" fillId="20" borderId="79" xfId="0" applyNumberFormat="1" applyFont="1" applyFill="1" applyBorder="1" applyAlignment="1" applyProtection="1">
      <alignment horizontal="left" vertical="top" wrapText="1"/>
    </xf>
    <xf numFmtId="0" fontId="0" fillId="20" borderId="80" xfId="0" applyFill="1" applyBorder="1" applyAlignment="1" applyProtection="1">
      <alignment horizontal="left" vertical="top" wrapText="1"/>
    </xf>
    <xf numFmtId="0" fontId="0" fillId="20" borderId="95" xfId="0" applyFill="1" applyBorder="1" applyAlignment="1" applyProtection="1">
      <alignment horizontal="left" vertical="top" wrapText="1"/>
    </xf>
    <xf numFmtId="3" fontId="3" fillId="20" borderId="79" xfId="0" applyNumberFormat="1" applyFont="1" applyFill="1" applyBorder="1" applyAlignment="1" applyProtection="1">
      <alignment vertical="center" wrapText="1"/>
    </xf>
    <xf numFmtId="0" fontId="0" fillId="20" borderId="80" xfId="0" applyFill="1" applyBorder="1" applyAlignment="1" applyProtection="1">
      <alignment vertical="center"/>
    </xf>
    <xf numFmtId="0" fontId="0" fillId="20" borderId="95" xfId="0" applyFill="1" applyBorder="1" applyAlignment="1" applyProtection="1">
      <alignment vertical="center"/>
    </xf>
    <xf numFmtId="3" fontId="3" fillId="20" borderId="155" xfId="0" applyNumberFormat="1" applyFont="1" applyFill="1" applyBorder="1" applyAlignment="1" applyProtection="1">
      <alignment horizontal="left" vertical="top" wrapText="1"/>
    </xf>
    <xf numFmtId="3" fontId="43" fillId="0" borderId="0" xfId="6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3" fontId="43" fillId="0" borderId="0" xfId="6" quotePrefix="1" applyNumberFormat="1" applyFont="1" applyFill="1" applyBorder="1" applyAlignment="1" applyProtection="1"/>
    <xf numFmtId="3" fontId="43" fillId="0" borderId="0" xfId="6" quotePrefix="1" applyNumberFormat="1" applyFont="1" applyFill="1" applyBorder="1" applyAlignment="1" applyProtection="1">
      <alignment horizontal="right"/>
    </xf>
    <xf numFmtId="0" fontId="3" fillId="29" borderId="87" xfId="0" applyFont="1" applyFill="1" applyBorder="1" applyAlignment="1" applyProtection="1">
      <alignment vertical="center"/>
    </xf>
    <xf numFmtId="0" fontId="0" fillId="29" borderId="200" xfId="0" applyFill="1" applyBorder="1" applyAlignment="1">
      <alignment vertical="center"/>
    </xf>
    <xf numFmtId="0" fontId="15" fillId="29" borderId="102" xfId="0" applyFont="1" applyFill="1" applyBorder="1" applyAlignment="1" applyProtection="1">
      <alignment horizontal="center" vertical="center" wrapText="1"/>
    </xf>
    <xf numFmtId="0" fontId="0" fillId="29" borderId="201" xfId="0" applyFill="1" applyBorder="1" applyAlignment="1">
      <alignment horizontal="center" vertical="center"/>
    </xf>
    <xf numFmtId="0" fontId="3" fillId="29" borderId="103" xfId="0" applyFont="1" applyFill="1" applyBorder="1" applyAlignment="1" applyProtection="1">
      <alignment vertical="center"/>
    </xf>
    <xf numFmtId="0" fontId="0" fillId="29" borderId="199" xfId="0" applyFill="1" applyBorder="1" applyAlignment="1">
      <alignment vertical="center"/>
    </xf>
    <xf numFmtId="0" fontId="3" fillId="29" borderId="87" xfId="0" applyFont="1" applyFill="1" applyBorder="1" applyAlignment="1" applyProtection="1">
      <alignment vertical="center" wrapText="1"/>
    </xf>
    <xf numFmtId="0" fontId="0" fillId="29" borderId="200" xfId="0" applyFill="1" applyBorder="1" applyAlignment="1">
      <alignment vertical="center" wrapText="1"/>
    </xf>
    <xf numFmtId="0" fontId="3" fillId="29" borderId="66" xfId="0" applyFont="1" applyFill="1" applyBorder="1" applyAlignment="1" applyProtection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3" fillId="29" borderId="119" xfId="0" applyFont="1" applyFill="1" applyBorder="1" applyAlignment="1" applyProtection="1">
      <alignment horizontal="left" vertical="center"/>
    </xf>
    <xf numFmtId="0" fontId="0" fillId="29" borderId="92" xfId="0" applyFill="1" applyBorder="1" applyAlignment="1">
      <alignment horizontal="left" vertical="center"/>
    </xf>
    <xf numFmtId="0" fontId="3" fillId="29" borderId="91" xfId="0" applyFont="1" applyFill="1" applyBorder="1" applyAlignment="1" applyProtection="1">
      <alignment horizontal="left" wrapText="1"/>
    </xf>
    <xf numFmtId="0" fontId="0" fillId="29" borderId="64" xfId="0" applyFill="1" applyBorder="1" applyAlignment="1">
      <alignment horizontal="left" wrapText="1"/>
    </xf>
    <xf numFmtId="0" fontId="3" fillId="29" borderId="36" xfId="0" applyFont="1" applyFill="1" applyBorder="1" applyAlignment="1" applyProtection="1">
      <alignment horizontal="left" vertical="center"/>
    </xf>
    <xf numFmtId="0" fontId="0" fillId="29" borderId="137" xfId="0" applyFill="1" applyBorder="1" applyAlignment="1">
      <alignment horizontal="left" vertical="center"/>
    </xf>
    <xf numFmtId="0" fontId="58" fillId="0" borderId="0" xfId="0" applyFont="1" applyFill="1" applyBorder="1" applyAlignment="1" applyProtection="1">
      <alignment horizontal="left" wrapText="1"/>
    </xf>
    <xf numFmtId="0" fontId="5" fillId="20" borderId="66" xfId="0" applyFont="1" applyFill="1" applyBorder="1" applyAlignment="1" applyProtection="1">
      <alignment vertical="top" wrapText="1"/>
    </xf>
    <xf numFmtId="0" fontId="12" fillId="20" borderId="0" xfId="0" applyFont="1" applyFill="1" applyBorder="1" applyAlignment="1" applyProtection="1">
      <alignment vertical="top" wrapText="1"/>
    </xf>
    <xf numFmtId="0" fontId="12" fillId="20" borderId="12" xfId="0" applyFont="1" applyFill="1" applyBorder="1" applyAlignment="1" applyProtection="1"/>
    <xf numFmtId="0" fontId="5" fillId="20" borderId="120" xfId="0" applyFont="1" applyFill="1" applyBorder="1" applyAlignment="1" applyProtection="1">
      <alignment vertical="top" wrapText="1"/>
    </xf>
    <xf numFmtId="0" fontId="53" fillId="20" borderId="56" xfId="0" applyFont="1" applyFill="1" applyBorder="1" applyAlignment="1" applyProtection="1">
      <alignment vertical="top" wrapText="1"/>
    </xf>
    <xf numFmtId="0" fontId="5" fillId="20" borderId="66" xfId="0" applyFont="1" applyFill="1" applyBorder="1" applyAlignment="1" applyProtection="1">
      <alignment horizontal="left" vertical="top" wrapText="1"/>
    </xf>
    <xf numFmtId="0" fontId="0" fillId="20" borderId="66" xfId="0" applyFill="1" applyBorder="1" applyAlignment="1" applyProtection="1">
      <alignment vertical="top"/>
    </xf>
    <xf numFmtId="0" fontId="0" fillId="20" borderId="120" xfId="0" applyFill="1" applyBorder="1" applyAlignment="1" applyProtection="1">
      <alignment vertical="top"/>
    </xf>
    <xf numFmtId="0" fontId="0" fillId="20" borderId="12" xfId="0" applyFill="1" applyBorder="1" applyAlignment="1" applyProtection="1">
      <alignment vertical="top"/>
    </xf>
    <xf numFmtId="0" fontId="0" fillId="20" borderId="138" xfId="0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3" fillId="20" borderId="15" xfId="0" applyFont="1" applyFill="1" applyBorder="1" applyAlignment="1" applyProtection="1">
      <alignment vertical="top" wrapText="1"/>
    </xf>
    <xf numFmtId="0" fontId="0" fillId="20" borderId="15" xfId="0" applyFill="1" applyBorder="1" applyAlignment="1" applyProtection="1">
      <alignment vertical="top" wrapText="1"/>
    </xf>
    <xf numFmtId="0" fontId="0" fillId="20" borderId="43" xfId="0" applyFill="1" applyBorder="1" applyAlignment="1" applyProtection="1">
      <alignment vertical="top" wrapText="1"/>
    </xf>
    <xf numFmtId="0" fontId="3" fillId="20" borderId="60" xfId="0" applyFont="1" applyFill="1" applyBorder="1" applyAlignment="1" applyProtection="1">
      <alignment vertical="top" wrapText="1"/>
    </xf>
    <xf numFmtId="0" fontId="0" fillId="20" borderId="60" xfId="0" applyFill="1" applyBorder="1" applyAlignment="1" applyProtection="1">
      <alignment vertical="top" wrapText="1"/>
    </xf>
    <xf numFmtId="0" fontId="0" fillId="20" borderId="64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  <protection locked="0"/>
    </xf>
    <xf numFmtId="0" fontId="43" fillId="0" borderId="0" xfId="0" applyFont="1" applyFill="1" applyBorder="1" applyAlignment="1" applyProtection="1">
      <alignment horizontal="left" vertical="top" wrapText="1"/>
      <protection locked="0"/>
    </xf>
    <xf numFmtId="3" fontId="3" fillId="20" borderId="156" xfId="6" applyNumberFormat="1" applyFont="1" applyFill="1" applyBorder="1" applyAlignment="1" applyProtection="1">
      <alignment vertical="center" wrapText="1"/>
    </xf>
    <xf numFmtId="0" fontId="0" fillId="20" borderId="156" xfId="0" applyFill="1" applyBorder="1" applyAlignment="1">
      <alignment vertical="center"/>
    </xf>
    <xf numFmtId="3" fontId="3" fillId="20" borderId="156" xfId="6" applyNumberFormat="1" applyFont="1" applyFill="1" applyBorder="1" applyAlignment="1" applyProtection="1">
      <alignment vertical="top" wrapText="1"/>
    </xf>
    <xf numFmtId="0" fontId="0" fillId="20" borderId="156" xfId="0" applyFill="1" applyBorder="1" applyAlignment="1">
      <alignment vertical="top" wrapText="1"/>
    </xf>
    <xf numFmtId="0" fontId="53" fillId="20" borderId="36" xfId="6" applyFont="1" applyFill="1" applyBorder="1" applyAlignment="1" applyProtection="1">
      <alignment vertical="center" wrapText="1"/>
    </xf>
    <xf numFmtId="0" fontId="0" fillId="0" borderId="99" xfId="0" applyBorder="1" applyAlignment="1">
      <alignment wrapText="1"/>
    </xf>
    <xf numFmtId="0" fontId="0" fillId="0" borderId="57" xfId="0" applyBorder="1" applyAlignment="1">
      <alignment wrapText="1"/>
    </xf>
    <xf numFmtId="0" fontId="0" fillId="0" borderId="44" xfId="0" applyBorder="1" applyAlignment="1">
      <alignment wrapText="1"/>
    </xf>
    <xf numFmtId="0" fontId="2" fillId="0" borderId="0" xfId="6" applyFont="1" applyFill="1" applyBorder="1" applyAlignment="1" applyProtection="1">
      <alignment vertical="top" wrapText="1"/>
      <protection locked="0"/>
    </xf>
    <xf numFmtId="3" fontId="3" fillId="20" borderId="156" xfId="0" applyNumberFormat="1" applyFont="1" applyFill="1" applyBorder="1" applyAlignment="1" applyProtection="1">
      <alignment wrapText="1"/>
    </xf>
    <xf numFmtId="0" fontId="0" fillId="20" borderId="156" xfId="0" applyFill="1" applyBorder="1" applyAlignment="1">
      <alignment wrapText="1"/>
    </xf>
    <xf numFmtId="3" fontId="3" fillId="20" borderId="156" xfId="0" applyNumberFormat="1" applyFont="1" applyFill="1" applyBorder="1" applyAlignment="1" applyProtection="1">
      <alignment vertical="top" wrapText="1"/>
    </xf>
    <xf numFmtId="0" fontId="0" fillId="0" borderId="156" xfId="0" applyBorder="1" applyAlignment="1">
      <alignment vertical="top" wrapText="1"/>
    </xf>
    <xf numFmtId="0" fontId="0" fillId="0" borderId="192" xfId="0" applyBorder="1" applyAlignment="1">
      <alignment vertical="top" wrapText="1"/>
    </xf>
    <xf numFmtId="0" fontId="0" fillId="0" borderId="115" xfId="0" applyBorder="1" applyAlignment="1">
      <alignment vertical="top" wrapText="1"/>
    </xf>
    <xf numFmtId="0" fontId="0" fillId="0" borderId="156" xfId="0" applyBorder="1" applyAlignment="1">
      <alignment wrapText="1"/>
    </xf>
    <xf numFmtId="0" fontId="2" fillId="0" borderId="0" xfId="6" applyFont="1" applyFill="1" applyProtection="1"/>
    <xf numFmtId="0" fontId="2" fillId="0" borderId="0" xfId="6" applyFont="1" applyFill="1" applyBorder="1" applyAlignment="1" applyProtection="1"/>
    <xf numFmtId="0" fontId="0" fillId="0" borderId="0" xfId="0" applyAlignment="1"/>
    <xf numFmtId="0" fontId="0" fillId="0" borderId="152" xfId="0" applyBorder="1" applyAlignment="1"/>
  </cellXfs>
  <cellStyles count="17">
    <cellStyle name="Anteckning 2" xfId="1"/>
    <cellStyle name="Anteckning 2 2" xfId="2"/>
    <cellStyle name="Dålig 2" xfId="3"/>
    <cellStyle name="Följde hyperlänken" xfId="4"/>
    <cellStyle name="Hyperlänk" xfId="5" builtinId="8"/>
    <cellStyle name="Normal" xfId="0" builtinId="0"/>
    <cellStyle name="Normal 2" xfId="6"/>
    <cellStyle name="Normal 3" xfId="7"/>
    <cellStyle name="Normal 4" xfId="8"/>
    <cellStyle name="Normal 4 2" xfId="9"/>
    <cellStyle name="Normal_Kontrollblad" xfId="10"/>
    <cellStyle name="Normal_skolkostn" xfId="11"/>
    <cellStyle name="Normal_skolkostn 2" xfId="12"/>
    <cellStyle name="Procent" xfId="13" builtinId="5"/>
    <cellStyle name="Procent 2" xfId="14"/>
    <cellStyle name="Tusental (0)_Kommunägda företag" xfId="15"/>
    <cellStyle name="Valuta (0)_Kommunägda företag" xfId="16"/>
  </cellStyles>
  <dxfs count="87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83820</xdr:colOff>
      <xdr:row>20</xdr:row>
      <xdr:rowOff>11430</xdr:rowOff>
    </xdr:from>
    <xdr:ext cx="184731" cy="262400"/>
    <xdr:sp macro="" textlink="">
      <xdr:nvSpPr>
        <xdr:cNvPr id="4" name="textruta 3"/>
        <xdr:cNvSpPr txBox="1"/>
      </xdr:nvSpPr>
      <xdr:spPr>
        <a:xfrm>
          <a:off x="4686300" y="45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76200</xdr:rowOff>
    </xdr:from>
    <xdr:to>
      <xdr:col>5</xdr:col>
      <xdr:colOff>676275</xdr:colOff>
      <xdr:row>12</xdr:row>
      <xdr:rowOff>76200</xdr:rowOff>
    </xdr:to>
    <xdr:cxnSp macro="">
      <xdr:nvCxnSpPr>
        <xdr:cNvPr id="147660" name="AutoShape 242"/>
        <xdr:cNvCxnSpPr>
          <a:cxnSpLocks noChangeShapeType="1"/>
        </xdr:cNvCxnSpPr>
      </xdr:nvCxnSpPr>
      <xdr:spPr bwMode="auto">
        <a:xfrm>
          <a:off x="4086225" y="1952625"/>
          <a:ext cx="129540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14</xdr:row>
      <xdr:rowOff>95250</xdr:rowOff>
    </xdr:from>
    <xdr:to>
      <xdr:col>6</xdr:col>
      <xdr:colOff>0</xdr:colOff>
      <xdr:row>14</xdr:row>
      <xdr:rowOff>95250</xdr:rowOff>
    </xdr:to>
    <xdr:cxnSp macro="">
      <xdr:nvCxnSpPr>
        <xdr:cNvPr id="147661" name="AutoShape 243"/>
        <xdr:cNvCxnSpPr>
          <a:cxnSpLocks noChangeShapeType="1"/>
        </xdr:cNvCxnSpPr>
      </xdr:nvCxnSpPr>
      <xdr:spPr bwMode="auto">
        <a:xfrm>
          <a:off x="4095750" y="2295525"/>
          <a:ext cx="1285875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21</xdr:row>
      <xdr:rowOff>66675</xdr:rowOff>
    </xdr:from>
    <xdr:to>
      <xdr:col>6</xdr:col>
      <xdr:colOff>9525</xdr:colOff>
      <xdr:row>21</xdr:row>
      <xdr:rowOff>66675</xdr:rowOff>
    </xdr:to>
    <xdr:cxnSp macro="">
      <xdr:nvCxnSpPr>
        <xdr:cNvPr id="147662" name="AutoShape 244"/>
        <xdr:cNvCxnSpPr>
          <a:cxnSpLocks noChangeShapeType="1"/>
        </xdr:cNvCxnSpPr>
      </xdr:nvCxnSpPr>
      <xdr:spPr bwMode="auto">
        <a:xfrm flipV="1">
          <a:off x="4095750" y="3448050"/>
          <a:ext cx="129540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19050</xdr:colOff>
      <xdr:row>47</xdr:row>
      <xdr:rowOff>85725</xdr:rowOff>
    </xdr:from>
    <xdr:to>
      <xdr:col>6</xdr:col>
      <xdr:colOff>0</xdr:colOff>
      <xdr:row>47</xdr:row>
      <xdr:rowOff>85725</xdr:rowOff>
    </xdr:to>
    <xdr:cxnSp macro="">
      <xdr:nvCxnSpPr>
        <xdr:cNvPr id="147663" name="AutoShape 245"/>
        <xdr:cNvCxnSpPr>
          <a:cxnSpLocks noChangeShapeType="1"/>
        </xdr:cNvCxnSpPr>
      </xdr:nvCxnSpPr>
      <xdr:spPr bwMode="auto">
        <a:xfrm>
          <a:off x="4105275" y="7810500"/>
          <a:ext cx="12763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56</xdr:row>
      <xdr:rowOff>95250</xdr:rowOff>
    </xdr:from>
    <xdr:to>
      <xdr:col>5</xdr:col>
      <xdr:colOff>619125</xdr:colOff>
      <xdr:row>56</xdr:row>
      <xdr:rowOff>95250</xdr:rowOff>
    </xdr:to>
    <xdr:cxnSp macro="">
      <xdr:nvCxnSpPr>
        <xdr:cNvPr id="147664" name="AutoShape 246"/>
        <xdr:cNvCxnSpPr>
          <a:cxnSpLocks noChangeShapeType="1"/>
        </xdr:cNvCxnSpPr>
      </xdr:nvCxnSpPr>
      <xdr:spPr bwMode="auto">
        <a:xfrm flipV="1">
          <a:off x="4086225" y="9315450"/>
          <a:ext cx="129540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57</xdr:row>
      <xdr:rowOff>152400</xdr:rowOff>
    </xdr:from>
    <xdr:to>
      <xdr:col>6</xdr:col>
      <xdr:colOff>0</xdr:colOff>
      <xdr:row>57</xdr:row>
      <xdr:rowOff>152400</xdr:rowOff>
    </xdr:to>
    <xdr:cxnSp macro="">
      <xdr:nvCxnSpPr>
        <xdr:cNvPr id="147665" name="AutoShape 248"/>
        <xdr:cNvCxnSpPr>
          <a:cxnSpLocks noChangeShapeType="1"/>
        </xdr:cNvCxnSpPr>
      </xdr:nvCxnSpPr>
      <xdr:spPr bwMode="auto">
        <a:xfrm flipV="1">
          <a:off x="4095750" y="9601200"/>
          <a:ext cx="1285875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22</xdr:row>
      <xdr:rowOff>123825</xdr:rowOff>
    </xdr:from>
    <xdr:to>
      <xdr:col>6</xdr:col>
      <xdr:colOff>0</xdr:colOff>
      <xdr:row>23</xdr:row>
      <xdr:rowOff>104775</xdr:rowOff>
    </xdr:to>
    <xdr:cxnSp macro="">
      <xdr:nvCxnSpPr>
        <xdr:cNvPr id="147666" name="AutoShape 249"/>
        <xdr:cNvCxnSpPr>
          <a:cxnSpLocks noChangeShapeType="1"/>
        </xdr:cNvCxnSpPr>
      </xdr:nvCxnSpPr>
      <xdr:spPr bwMode="auto">
        <a:xfrm>
          <a:off x="4086225" y="3733800"/>
          <a:ext cx="1295400" cy="171450"/>
        </a:xfrm>
        <a:prstGeom prst="bentConnector3">
          <a:avLst>
            <a:gd name="adj1" fmla="val 56736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54</xdr:row>
      <xdr:rowOff>38100</xdr:rowOff>
    </xdr:from>
    <xdr:to>
      <xdr:col>5</xdr:col>
      <xdr:colOff>685800</xdr:colOff>
      <xdr:row>55</xdr:row>
      <xdr:rowOff>47625</xdr:rowOff>
    </xdr:to>
    <xdr:cxnSp macro="">
      <xdr:nvCxnSpPr>
        <xdr:cNvPr id="147667" name="AutoShape 250"/>
        <xdr:cNvCxnSpPr>
          <a:cxnSpLocks noChangeShapeType="1"/>
        </xdr:cNvCxnSpPr>
      </xdr:nvCxnSpPr>
      <xdr:spPr bwMode="auto">
        <a:xfrm flipV="1">
          <a:off x="4762500" y="8924925"/>
          <a:ext cx="619125" cy="171450"/>
        </a:xfrm>
        <a:prstGeom prst="bentConnector3">
          <a:avLst>
            <a:gd name="adj1" fmla="val 5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61</xdr:row>
      <xdr:rowOff>57150</xdr:rowOff>
    </xdr:from>
    <xdr:to>
      <xdr:col>5</xdr:col>
      <xdr:colOff>600075</xdr:colOff>
      <xdr:row>61</xdr:row>
      <xdr:rowOff>57150</xdr:rowOff>
    </xdr:to>
    <xdr:cxnSp macro="">
      <xdr:nvCxnSpPr>
        <xdr:cNvPr id="147668" name="AutoShape 245"/>
        <xdr:cNvCxnSpPr>
          <a:cxnSpLocks noChangeShapeType="1"/>
        </xdr:cNvCxnSpPr>
      </xdr:nvCxnSpPr>
      <xdr:spPr bwMode="auto">
        <a:xfrm>
          <a:off x="4086225" y="10229850"/>
          <a:ext cx="12763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57150</xdr:rowOff>
    </xdr:from>
    <xdr:to>
      <xdr:col>3</xdr:col>
      <xdr:colOff>352425</xdr:colOff>
      <xdr:row>20</xdr:row>
      <xdr:rowOff>9525</xdr:rowOff>
    </xdr:to>
    <xdr:cxnSp macro="">
      <xdr:nvCxnSpPr>
        <xdr:cNvPr id="147669" name="AutoShape 245"/>
        <xdr:cNvCxnSpPr>
          <a:cxnSpLocks noChangeShapeType="1"/>
        </xdr:cNvCxnSpPr>
      </xdr:nvCxnSpPr>
      <xdr:spPr bwMode="auto">
        <a:xfrm flipH="1" flipV="1">
          <a:off x="3733800" y="3086100"/>
          <a:ext cx="0" cy="1428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66675</xdr:rowOff>
    </xdr:from>
    <xdr:to>
      <xdr:col>6</xdr:col>
      <xdr:colOff>0</xdr:colOff>
      <xdr:row>19</xdr:row>
      <xdr:rowOff>66675</xdr:rowOff>
    </xdr:to>
    <xdr:cxnSp macro="">
      <xdr:nvCxnSpPr>
        <xdr:cNvPr id="147670" name="AutoShape 244"/>
        <xdr:cNvCxnSpPr>
          <a:cxnSpLocks noChangeShapeType="1"/>
        </xdr:cNvCxnSpPr>
      </xdr:nvCxnSpPr>
      <xdr:spPr bwMode="auto">
        <a:xfrm flipV="1">
          <a:off x="3733800" y="3095625"/>
          <a:ext cx="1647825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79</xdr:row>
      <xdr:rowOff>123825</xdr:rowOff>
    </xdr:from>
    <xdr:to>
      <xdr:col>6</xdr:col>
      <xdr:colOff>28575</xdr:colOff>
      <xdr:row>79</xdr:row>
      <xdr:rowOff>133350</xdr:rowOff>
    </xdr:to>
    <xdr:cxnSp macro="">
      <xdr:nvCxnSpPr>
        <xdr:cNvPr id="147671" name="AutoShape 245"/>
        <xdr:cNvCxnSpPr>
          <a:cxnSpLocks noChangeShapeType="1"/>
        </xdr:cNvCxnSpPr>
      </xdr:nvCxnSpPr>
      <xdr:spPr bwMode="auto">
        <a:xfrm>
          <a:off x="4772025" y="13658850"/>
          <a:ext cx="638175" cy="952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200025</xdr:rowOff>
    </xdr:from>
    <xdr:to>
      <xdr:col>4</xdr:col>
      <xdr:colOff>638175</xdr:colOff>
      <xdr:row>39</xdr:row>
      <xdr:rowOff>76200</xdr:rowOff>
    </xdr:to>
    <xdr:cxnSp macro="">
      <xdr:nvCxnSpPr>
        <xdr:cNvPr id="148684" name="AutoShape 184"/>
        <xdr:cNvCxnSpPr>
          <a:cxnSpLocks noChangeShapeType="1"/>
        </xdr:cNvCxnSpPr>
      </xdr:nvCxnSpPr>
      <xdr:spPr bwMode="auto">
        <a:xfrm flipV="1">
          <a:off x="3810000" y="7381875"/>
          <a:ext cx="638175" cy="10477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40</xdr:row>
      <xdr:rowOff>219075</xdr:rowOff>
    </xdr:from>
    <xdr:to>
      <xdr:col>5</xdr:col>
      <xdr:colOff>19050</xdr:colOff>
      <xdr:row>41</xdr:row>
      <xdr:rowOff>95250</xdr:rowOff>
    </xdr:to>
    <xdr:cxnSp macro="">
      <xdr:nvCxnSpPr>
        <xdr:cNvPr id="148685" name="AutoShape 187"/>
        <xdr:cNvCxnSpPr>
          <a:cxnSpLocks noChangeShapeType="1"/>
        </xdr:cNvCxnSpPr>
      </xdr:nvCxnSpPr>
      <xdr:spPr bwMode="auto">
        <a:xfrm flipV="1">
          <a:off x="3810000" y="7800975"/>
          <a:ext cx="666750" cy="10477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44</xdr:row>
      <xdr:rowOff>161925</xdr:rowOff>
    </xdr:from>
    <xdr:to>
      <xdr:col>5</xdr:col>
      <xdr:colOff>9525</xdr:colOff>
      <xdr:row>44</xdr:row>
      <xdr:rowOff>161925</xdr:rowOff>
    </xdr:to>
    <xdr:cxnSp macro="">
      <xdr:nvCxnSpPr>
        <xdr:cNvPr id="148686" name="AutoShape 191"/>
        <xdr:cNvCxnSpPr>
          <a:cxnSpLocks noChangeShapeType="1"/>
        </xdr:cNvCxnSpPr>
      </xdr:nvCxnSpPr>
      <xdr:spPr bwMode="auto">
        <a:xfrm>
          <a:off x="3810000" y="8477250"/>
          <a:ext cx="6572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67</xdr:row>
      <xdr:rowOff>142875</xdr:rowOff>
    </xdr:from>
    <xdr:to>
      <xdr:col>5</xdr:col>
      <xdr:colOff>9525</xdr:colOff>
      <xdr:row>67</xdr:row>
      <xdr:rowOff>142875</xdr:rowOff>
    </xdr:to>
    <xdr:cxnSp macro="">
      <xdr:nvCxnSpPr>
        <xdr:cNvPr id="148687" name="AutoShape 199"/>
        <xdr:cNvCxnSpPr>
          <a:cxnSpLocks noChangeShapeType="1"/>
        </xdr:cNvCxnSpPr>
      </xdr:nvCxnSpPr>
      <xdr:spPr bwMode="auto">
        <a:xfrm>
          <a:off x="3800475" y="12582525"/>
          <a:ext cx="66675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628650</xdr:colOff>
      <xdr:row>42</xdr:row>
      <xdr:rowOff>85725</xdr:rowOff>
    </xdr:from>
    <xdr:to>
      <xdr:col>5</xdr:col>
      <xdr:colOff>0</xdr:colOff>
      <xdr:row>42</xdr:row>
      <xdr:rowOff>95250</xdr:rowOff>
    </xdr:to>
    <xdr:cxnSp macro="">
      <xdr:nvCxnSpPr>
        <xdr:cNvPr id="148688" name="AutoShape 191"/>
        <xdr:cNvCxnSpPr>
          <a:cxnSpLocks noChangeShapeType="1"/>
        </xdr:cNvCxnSpPr>
      </xdr:nvCxnSpPr>
      <xdr:spPr bwMode="auto">
        <a:xfrm flipV="1">
          <a:off x="3781425" y="8067675"/>
          <a:ext cx="676275" cy="95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76200</xdr:rowOff>
    </xdr:from>
    <xdr:to>
      <xdr:col>5</xdr:col>
      <xdr:colOff>9525</xdr:colOff>
      <xdr:row>26</xdr:row>
      <xdr:rowOff>76200</xdr:rowOff>
    </xdr:to>
    <xdr:cxnSp macro="">
      <xdr:nvCxnSpPr>
        <xdr:cNvPr id="148689" name="AutoShape 197"/>
        <xdr:cNvCxnSpPr>
          <a:cxnSpLocks noChangeShapeType="1"/>
        </xdr:cNvCxnSpPr>
      </xdr:nvCxnSpPr>
      <xdr:spPr bwMode="auto">
        <a:xfrm>
          <a:off x="3810000" y="4676775"/>
          <a:ext cx="6572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25</xdr:row>
      <xdr:rowOff>95250</xdr:rowOff>
    </xdr:from>
    <xdr:to>
      <xdr:col>5</xdr:col>
      <xdr:colOff>0</xdr:colOff>
      <xdr:row>25</xdr:row>
      <xdr:rowOff>95250</xdr:rowOff>
    </xdr:to>
    <xdr:cxnSp macro="">
      <xdr:nvCxnSpPr>
        <xdr:cNvPr id="148690" name="AutoShape 197"/>
        <xdr:cNvCxnSpPr>
          <a:cxnSpLocks noChangeShapeType="1"/>
        </xdr:cNvCxnSpPr>
      </xdr:nvCxnSpPr>
      <xdr:spPr bwMode="auto">
        <a:xfrm>
          <a:off x="3800475" y="4533900"/>
          <a:ext cx="6572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45</xdr:row>
      <xdr:rowOff>133350</xdr:rowOff>
    </xdr:from>
    <xdr:to>
      <xdr:col>5</xdr:col>
      <xdr:colOff>19050</xdr:colOff>
      <xdr:row>45</xdr:row>
      <xdr:rowOff>133350</xdr:rowOff>
    </xdr:to>
    <xdr:cxnSp macro="">
      <xdr:nvCxnSpPr>
        <xdr:cNvPr id="148691" name="AutoShape 191"/>
        <xdr:cNvCxnSpPr>
          <a:cxnSpLocks noChangeShapeType="1"/>
        </xdr:cNvCxnSpPr>
      </xdr:nvCxnSpPr>
      <xdr:spPr bwMode="auto">
        <a:xfrm>
          <a:off x="3819525" y="8724900"/>
          <a:ext cx="6572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47</xdr:row>
      <xdr:rowOff>123825</xdr:rowOff>
    </xdr:from>
    <xdr:to>
      <xdr:col>5</xdr:col>
      <xdr:colOff>9525</xdr:colOff>
      <xdr:row>47</xdr:row>
      <xdr:rowOff>123825</xdr:rowOff>
    </xdr:to>
    <xdr:cxnSp macro="">
      <xdr:nvCxnSpPr>
        <xdr:cNvPr id="148692" name="AutoShape 191"/>
        <xdr:cNvCxnSpPr>
          <a:cxnSpLocks noChangeShapeType="1"/>
        </xdr:cNvCxnSpPr>
      </xdr:nvCxnSpPr>
      <xdr:spPr bwMode="auto">
        <a:xfrm>
          <a:off x="3810000" y="9163050"/>
          <a:ext cx="6572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52</xdr:row>
      <xdr:rowOff>95250</xdr:rowOff>
    </xdr:from>
    <xdr:to>
      <xdr:col>5</xdr:col>
      <xdr:colOff>9525</xdr:colOff>
      <xdr:row>52</xdr:row>
      <xdr:rowOff>95250</xdr:rowOff>
    </xdr:to>
    <xdr:cxnSp macro="">
      <xdr:nvCxnSpPr>
        <xdr:cNvPr id="148693" name="AutoShape 191"/>
        <xdr:cNvCxnSpPr>
          <a:cxnSpLocks noChangeShapeType="1"/>
        </xdr:cNvCxnSpPr>
      </xdr:nvCxnSpPr>
      <xdr:spPr bwMode="auto">
        <a:xfrm>
          <a:off x="3810000" y="9953625"/>
          <a:ext cx="6572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55</xdr:row>
      <xdr:rowOff>85725</xdr:rowOff>
    </xdr:from>
    <xdr:to>
      <xdr:col>5</xdr:col>
      <xdr:colOff>9525</xdr:colOff>
      <xdr:row>55</xdr:row>
      <xdr:rowOff>85725</xdr:rowOff>
    </xdr:to>
    <xdr:cxnSp macro="">
      <xdr:nvCxnSpPr>
        <xdr:cNvPr id="148694" name="AutoShape 191"/>
        <xdr:cNvCxnSpPr>
          <a:cxnSpLocks noChangeShapeType="1"/>
        </xdr:cNvCxnSpPr>
      </xdr:nvCxnSpPr>
      <xdr:spPr bwMode="auto">
        <a:xfrm>
          <a:off x="3810000" y="10429875"/>
          <a:ext cx="6572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55</xdr:row>
      <xdr:rowOff>85725</xdr:rowOff>
    </xdr:from>
    <xdr:to>
      <xdr:col>5</xdr:col>
      <xdr:colOff>0</xdr:colOff>
      <xdr:row>56</xdr:row>
      <xdr:rowOff>104775</xdr:rowOff>
    </xdr:to>
    <xdr:cxnSp macro="">
      <xdr:nvCxnSpPr>
        <xdr:cNvPr id="148695" name="AutoShape 250"/>
        <xdr:cNvCxnSpPr>
          <a:cxnSpLocks noChangeShapeType="1"/>
        </xdr:cNvCxnSpPr>
      </xdr:nvCxnSpPr>
      <xdr:spPr bwMode="auto">
        <a:xfrm>
          <a:off x="3810000" y="10429875"/>
          <a:ext cx="647700" cy="18097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13</xdr:row>
      <xdr:rowOff>76200</xdr:rowOff>
    </xdr:from>
    <xdr:to>
      <xdr:col>13</xdr:col>
      <xdr:colOff>19050</xdr:colOff>
      <xdr:row>13</xdr:row>
      <xdr:rowOff>76200</xdr:rowOff>
    </xdr:to>
    <xdr:cxnSp macro="">
      <xdr:nvCxnSpPr>
        <xdr:cNvPr id="149572" name="AutoShape 191"/>
        <xdr:cNvCxnSpPr>
          <a:cxnSpLocks noChangeShapeType="1"/>
        </xdr:cNvCxnSpPr>
      </xdr:nvCxnSpPr>
      <xdr:spPr bwMode="auto">
        <a:xfrm>
          <a:off x="10134600" y="2343150"/>
          <a:ext cx="3524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9525</xdr:colOff>
      <xdr:row>13</xdr:row>
      <xdr:rowOff>85725</xdr:rowOff>
    </xdr:from>
    <xdr:to>
      <xdr:col>13</xdr:col>
      <xdr:colOff>9525</xdr:colOff>
      <xdr:row>14</xdr:row>
      <xdr:rowOff>76200</xdr:rowOff>
    </xdr:to>
    <xdr:cxnSp macro="">
      <xdr:nvCxnSpPr>
        <xdr:cNvPr id="149573" name="AutoShape 250"/>
        <xdr:cNvCxnSpPr>
          <a:cxnSpLocks noChangeShapeType="1"/>
        </xdr:cNvCxnSpPr>
      </xdr:nvCxnSpPr>
      <xdr:spPr bwMode="auto">
        <a:xfrm>
          <a:off x="10134600" y="2352675"/>
          <a:ext cx="342900" cy="1619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95250</xdr:rowOff>
    </xdr:from>
    <xdr:to>
      <xdr:col>4</xdr:col>
      <xdr:colOff>352425</xdr:colOff>
      <xdr:row>26</xdr:row>
      <xdr:rowOff>95250</xdr:rowOff>
    </xdr:to>
    <xdr:cxnSp macro="">
      <xdr:nvCxnSpPr>
        <xdr:cNvPr id="149574" name="AutoShape 191"/>
        <xdr:cNvCxnSpPr>
          <a:cxnSpLocks noChangeShapeType="1"/>
        </xdr:cNvCxnSpPr>
      </xdr:nvCxnSpPr>
      <xdr:spPr bwMode="auto">
        <a:xfrm>
          <a:off x="3648075" y="4657725"/>
          <a:ext cx="3524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85725</xdr:rowOff>
    </xdr:from>
    <xdr:to>
      <xdr:col>13</xdr:col>
      <xdr:colOff>9525</xdr:colOff>
      <xdr:row>7</xdr:row>
      <xdr:rowOff>85725</xdr:rowOff>
    </xdr:to>
    <xdr:cxnSp macro="">
      <xdr:nvCxnSpPr>
        <xdr:cNvPr id="149575" name="AutoShape 191"/>
        <xdr:cNvCxnSpPr>
          <a:cxnSpLocks noChangeShapeType="1"/>
        </xdr:cNvCxnSpPr>
      </xdr:nvCxnSpPr>
      <xdr:spPr bwMode="auto">
        <a:xfrm>
          <a:off x="10125075" y="1371600"/>
          <a:ext cx="35242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47625</xdr:rowOff>
    </xdr:from>
    <xdr:to>
      <xdr:col>0</xdr:col>
      <xdr:colOff>19050</xdr:colOff>
      <xdr:row>9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9050" y="15335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19050</xdr:colOff>
      <xdr:row>18</xdr:row>
      <xdr:rowOff>47625</xdr:rowOff>
    </xdr:from>
    <xdr:to>
      <xdr:col>0</xdr:col>
      <xdr:colOff>19050</xdr:colOff>
      <xdr:row>18</xdr:row>
      <xdr:rowOff>161925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9050" y="32480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47625</xdr:rowOff>
    </xdr:from>
    <xdr:to>
      <xdr:col>1</xdr:col>
      <xdr:colOff>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429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3" name="txtGoTo"/>
        <xdr:cNvSpPr txBox="1">
          <a:spLocks noChangeArrowheads="1"/>
        </xdr:cNvSpPr>
      </xdr:nvSpPr>
      <xdr:spPr bwMode="auto">
        <a:xfrm>
          <a:off x="381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8100" y="2762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>
    <xdr:from>
      <xdr:col>255</xdr:col>
      <xdr:colOff>0</xdr:colOff>
      <xdr:row>65535</xdr:row>
      <xdr:rowOff>0</xdr:rowOff>
    </xdr:from>
    <xdr:to>
      <xdr:col>255</xdr:col>
      <xdr:colOff>0</xdr:colOff>
      <xdr:row>65535</xdr:row>
      <xdr:rowOff>0</xdr:rowOff>
    </xdr:to>
    <xdr:sp macro="" textlink="">
      <xdr:nvSpPr>
        <xdr:cNvPr id="153652" name="Entreprenad"/>
        <xdr:cNvSpPr txBox="1">
          <a:spLocks noChangeArrowheads="1"/>
        </xdr:cNvSpPr>
      </xdr:nvSpPr>
      <xdr:spPr bwMode="auto">
        <a:xfrm>
          <a:off x="11220450" y="67722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255</xdr:col>
      <xdr:colOff>0</xdr:colOff>
      <xdr:row>65535</xdr:row>
      <xdr:rowOff>0</xdr:rowOff>
    </xdr:from>
    <xdr:to>
      <xdr:col>255</xdr:col>
      <xdr:colOff>0</xdr:colOff>
      <xdr:row>65535</xdr:row>
      <xdr:rowOff>0</xdr:rowOff>
    </xdr:to>
    <xdr:sp macro="" textlink="">
      <xdr:nvSpPr>
        <xdr:cNvPr id="153653" name="Entreprenad"/>
        <xdr:cNvSpPr txBox="1">
          <a:spLocks noChangeArrowheads="1"/>
        </xdr:cNvSpPr>
      </xdr:nvSpPr>
      <xdr:spPr bwMode="auto">
        <a:xfrm>
          <a:off x="11220450" y="67722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a:spPr>
      <a:bodyPr/>
      <a:lstStyle>
        <a:defPPr>
          <a:defRPr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scb.se/rskommune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zoomScaleNormal="100" workbookViewId="0">
      <selection sqref="A1:D1"/>
    </sheetView>
  </sheetViews>
  <sheetFormatPr defaultColWidth="0" defaultRowHeight="12.75" zeroHeight="1"/>
  <cols>
    <col min="1" max="1" width="21.28515625" style="467" customWidth="1"/>
    <col min="2" max="2" width="26.7109375" style="467" customWidth="1"/>
    <col min="3" max="3" width="20.5703125" style="467" customWidth="1"/>
    <col min="4" max="4" width="26.7109375" style="467" customWidth="1"/>
    <col min="5" max="5" width="12.42578125" style="461" customWidth="1"/>
    <col min="6" max="6" width="9.140625" customWidth="1"/>
    <col min="7" max="16384" width="9.140625" hidden="1"/>
  </cols>
  <sheetData>
    <row r="1" spans="1:6" s="468" customFormat="1">
      <c r="A1" s="2333"/>
      <c r="B1" s="2334"/>
      <c r="C1" s="2334"/>
      <c r="D1" s="2334"/>
      <c r="E1" s="1847"/>
      <c r="F1" s="461"/>
    </row>
    <row r="2" spans="1:6" s="467" customFormat="1" ht="15.75">
      <c r="A2" s="1845" t="s">
        <v>586</v>
      </c>
      <c r="B2" s="459" t="s">
        <v>1175</v>
      </c>
      <c r="C2" s="155"/>
      <c r="D2" s="155"/>
      <c r="E2" s="1847"/>
      <c r="F2" s="461"/>
    </row>
    <row r="3" spans="1:6" s="467" customFormat="1" ht="15.75">
      <c r="A3" s="1845" t="s">
        <v>587</v>
      </c>
      <c r="B3" s="460"/>
      <c r="C3" s="155"/>
      <c r="D3" s="155"/>
      <c r="E3" s="1847"/>
      <c r="F3" s="461"/>
    </row>
    <row r="4" spans="1:6" s="467" customFormat="1" ht="15.75">
      <c r="A4" s="1845" t="s">
        <v>584</v>
      </c>
      <c r="B4" s="462">
        <v>9995153</v>
      </c>
      <c r="C4" s="155"/>
      <c r="D4" s="155"/>
      <c r="E4" s="1847"/>
      <c r="F4" s="461"/>
    </row>
    <row r="5" spans="1:6" s="467" customFormat="1" ht="15.75">
      <c r="A5" s="463" t="s">
        <v>585</v>
      </c>
      <c r="B5" s="462">
        <v>1025536</v>
      </c>
      <c r="C5" s="156"/>
      <c r="D5" s="155"/>
      <c r="E5" s="1847"/>
      <c r="F5" s="461"/>
    </row>
    <row r="6" spans="1:6" s="467" customFormat="1" ht="15.75">
      <c r="A6" s="463"/>
      <c r="B6" s="462"/>
      <c r="C6" s="1846"/>
      <c r="D6" s="155"/>
      <c r="E6" s="1847"/>
      <c r="F6" s="461"/>
    </row>
    <row r="7" spans="1:6" s="467" customFormat="1" ht="15.75" customHeight="1">
      <c r="A7" s="463"/>
      <c r="B7" s="462"/>
      <c r="C7" s="1846"/>
      <c r="D7" s="155"/>
      <c r="E7" s="1847"/>
      <c r="F7" s="461"/>
    </row>
    <row r="8" spans="1:6" s="467" customFormat="1" ht="22.5" customHeight="1">
      <c r="A8" s="463"/>
      <c r="B8" s="462"/>
      <c r="C8" s="1846"/>
      <c r="D8" s="155"/>
      <c r="E8" s="1847"/>
      <c r="F8" s="461"/>
    </row>
    <row r="9" spans="1:6" s="467" customFormat="1" ht="12.75" customHeight="1">
      <c r="A9" s="2293"/>
      <c r="B9" s="2294"/>
      <c r="C9" s="2295"/>
      <c r="D9" s="2296"/>
      <c r="E9" s="1847"/>
      <c r="F9" s="461"/>
    </row>
    <row r="10" spans="1:6" s="467" customFormat="1" ht="36" customHeight="1">
      <c r="A10" s="2293"/>
      <c r="B10" s="2294"/>
      <c r="C10" s="2295"/>
      <c r="D10" s="2296"/>
      <c r="E10" s="1847"/>
      <c r="F10" s="461"/>
    </row>
    <row r="11" spans="1:6" s="467" customFormat="1" ht="27.75" customHeight="1">
      <c r="A11" s="2293"/>
      <c r="B11" s="2294"/>
      <c r="C11" s="2295"/>
      <c r="D11" s="2296"/>
      <c r="E11" s="1847"/>
      <c r="F11" s="461"/>
    </row>
    <row r="12" spans="1:6" s="467" customFormat="1" ht="36.75" customHeight="1">
      <c r="A12" s="2331" t="s">
        <v>1176</v>
      </c>
      <c r="B12" s="2332"/>
      <c r="C12" s="2332"/>
      <c r="D12" s="2332"/>
      <c r="E12" s="1847"/>
      <c r="F12" s="461"/>
    </row>
    <row r="13" spans="1:6" s="467" customFormat="1" ht="15.75">
      <c r="A13" s="2297"/>
      <c r="B13" s="2296"/>
      <c r="C13" s="2298"/>
      <c r="D13" s="2298"/>
      <c r="E13" s="1847"/>
      <c r="F13" s="461"/>
    </row>
    <row r="14" spans="1:6" s="467" customFormat="1" ht="33.75">
      <c r="A14" s="2331" t="str">
        <f>" Räkenskapssammandraget "&amp;År&amp;""</f>
        <v xml:space="preserve"> Räkenskapssammandraget 2016</v>
      </c>
      <c r="B14" s="2332"/>
      <c r="C14" s="2332"/>
      <c r="D14" s="2332"/>
      <c r="E14" s="1847"/>
      <c r="F14" s="461"/>
    </row>
    <row r="15" spans="1:6" s="467" customFormat="1" ht="15.75">
      <c r="A15" s="2299" t="s">
        <v>583</v>
      </c>
      <c r="B15" s="2296"/>
      <c r="C15" s="2296"/>
      <c r="D15" s="2296"/>
      <c r="E15" s="1847"/>
      <c r="F15" s="461"/>
    </row>
    <row r="16" spans="1:6" s="467" customFormat="1">
      <c r="A16" s="2300"/>
      <c r="B16" s="1848"/>
      <c r="C16" s="1848"/>
      <c r="D16" s="1848"/>
      <c r="E16" s="1847"/>
      <c r="F16" s="461"/>
    </row>
    <row r="17" spans="1:6" s="467" customFormat="1">
      <c r="A17" s="2300"/>
      <c r="B17" s="1848"/>
      <c r="C17" s="1848"/>
      <c r="D17" s="1848"/>
      <c r="E17" s="1847"/>
      <c r="F17" s="461"/>
    </row>
    <row r="18" spans="1:6" s="467" customFormat="1" ht="15" customHeight="1">
      <c r="A18" s="2300"/>
      <c r="B18" s="1848"/>
      <c r="C18" s="1848"/>
      <c r="D18" s="1848"/>
      <c r="E18" s="1847"/>
      <c r="F18" s="461"/>
    </row>
    <row r="19" spans="1:6" s="467" customFormat="1">
      <c r="A19" s="2300"/>
      <c r="B19" s="1848"/>
      <c r="C19" s="1848"/>
      <c r="D19" s="1848"/>
      <c r="E19" s="1847"/>
      <c r="F19" s="461"/>
    </row>
    <row r="20" spans="1:6" s="467" customFormat="1">
      <c r="A20" s="2300"/>
      <c r="B20" s="1848"/>
      <c r="C20" s="1848"/>
      <c r="D20" s="1848"/>
      <c r="E20" s="1847"/>
      <c r="F20" s="461"/>
    </row>
    <row r="21" spans="1:6" s="467" customFormat="1">
      <c r="A21" s="2300"/>
      <c r="B21" s="1848"/>
      <c r="C21" s="1848"/>
      <c r="D21" s="1848"/>
      <c r="E21" s="1847"/>
      <c r="F21" s="461"/>
    </row>
    <row r="22" spans="1:6" s="467" customFormat="1">
      <c r="A22" s="2300"/>
      <c r="B22" s="1848"/>
      <c r="C22" s="1848"/>
      <c r="D22" s="1848"/>
      <c r="E22" s="1847"/>
      <c r="F22" s="461"/>
    </row>
    <row r="23" spans="1:6" s="467" customFormat="1">
      <c r="A23" s="2300"/>
      <c r="B23" s="1848"/>
      <c r="C23" s="1848"/>
      <c r="D23" s="1848"/>
      <c r="E23" s="1847"/>
      <c r="F23" s="461"/>
    </row>
    <row r="24" spans="1:6" s="467" customFormat="1">
      <c r="A24" s="2300"/>
      <c r="B24" s="1848"/>
      <c r="C24" s="1848"/>
      <c r="D24" s="1848"/>
      <c r="E24" s="1847"/>
      <c r="F24" s="461"/>
    </row>
    <row r="25" spans="1:6" s="467" customFormat="1">
      <c r="A25" s="2300"/>
      <c r="B25" s="1848"/>
      <c r="C25" s="1848"/>
      <c r="D25" s="1848"/>
      <c r="E25" s="1847"/>
      <c r="F25" s="461"/>
    </row>
    <row r="26" spans="1:6" s="467" customFormat="1">
      <c r="A26" s="2300"/>
      <c r="B26" s="1848"/>
      <c r="C26" s="1848"/>
      <c r="D26" s="1848"/>
      <c r="E26" s="1847"/>
      <c r="F26" s="461"/>
    </row>
    <row r="27" spans="1:6" s="467" customFormat="1">
      <c r="A27" s="2300"/>
      <c r="B27" s="1848"/>
      <c r="C27" s="1848"/>
      <c r="D27" s="1848"/>
      <c r="E27" s="1847"/>
      <c r="F27" s="461"/>
    </row>
    <row r="28" spans="1:6" s="467" customFormat="1">
      <c r="A28" s="2300"/>
      <c r="B28" s="1848"/>
      <c r="C28" s="1848"/>
      <c r="D28" s="1848"/>
      <c r="E28" s="1847"/>
      <c r="F28" s="461"/>
    </row>
    <row r="29" spans="1:6" s="467" customFormat="1">
      <c r="A29" s="2300"/>
      <c r="B29" s="1848"/>
      <c r="C29" s="1848"/>
      <c r="D29" s="1848"/>
      <c r="E29" s="1847"/>
      <c r="F29" s="461"/>
    </row>
    <row r="30" spans="1:6" s="467" customFormat="1">
      <c r="A30" s="2300"/>
      <c r="B30" s="1848"/>
      <c r="C30" s="1848"/>
      <c r="D30" s="1848"/>
      <c r="E30" s="1847"/>
      <c r="F30" s="461"/>
    </row>
    <row r="31" spans="1:6" s="467" customFormat="1">
      <c r="A31" s="2300"/>
      <c r="B31" s="1848"/>
      <c r="C31" s="1848"/>
      <c r="D31" s="1848"/>
      <c r="E31" s="1847"/>
      <c r="F31" s="461"/>
    </row>
    <row r="32" spans="1:6" s="467" customFormat="1">
      <c r="A32" s="2300"/>
      <c r="B32" s="1848"/>
      <c r="C32" s="1848"/>
      <c r="D32" s="1848"/>
      <c r="E32" s="1847"/>
      <c r="F32" s="461"/>
    </row>
    <row r="33" spans="1:6" s="467" customFormat="1">
      <c r="A33" s="2300"/>
      <c r="B33" s="1848"/>
      <c r="C33" s="1848"/>
      <c r="D33" s="1848"/>
      <c r="E33" s="1847"/>
      <c r="F33" s="461"/>
    </row>
    <row r="34" spans="1:6" s="467" customFormat="1">
      <c r="A34" s="2300"/>
      <c r="B34" s="1848"/>
      <c r="C34" s="1848"/>
      <c r="D34" s="1848"/>
      <c r="E34" s="1847"/>
      <c r="F34" s="461"/>
    </row>
    <row r="35" spans="1:6" s="467" customFormat="1">
      <c r="A35" s="2300"/>
      <c r="B35" s="1848"/>
      <c r="C35" s="1848"/>
      <c r="D35" s="1848"/>
      <c r="E35" s="1847"/>
      <c r="F35" s="461"/>
    </row>
    <row r="36" spans="1:6" s="467" customFormat="1">
      <c r="A36" s="2300"/>
      <c r="B36" s="1848"/>
      <c r="C36" s="1848"/>
      <c r="D36" s="1848"/>
      <c r="E36" s="1847"/>
      <c r="F36" s="461"/>
    </row>
    <row r="37" spans="1:6" s="467" customFormat="1">
      <c r="A37" s="464"/>
      <c r="B37" s="1848"/>
      <c r="C37" s="1848"/>
      <c r="D37" s="1848"/>
      <c r="E37" s="1847"/>
      <c r="F37" s="461"/>
    </row>
    <row r="38" spans="1:6" s="467" customFormat="1">
      <c r="A38" s="464"/>
      <c r="B38" s="1848"/>
      <c r="C38" s="1848"/>
      <c r="D38" s="1848"/>
      <c r="E38" s="1847"/>
      <c r="F38" s="461"/>
    </row>
    <row r="39" spans="1:6" s="467" customFormat="1">
      <c r="A39" s="464"/>
      <c r="B39" s="1848"/>
      <c r="C39" s="1848"/>
      <c r="D39" s="1848"/>
      <c r="E39" s="1847"/>
      <c r="F39" s="461"/>
    </row>
    <row r="40" spans="1:6" s="467" customFormat="1">
      <c r="A40" s="464"/>
      <c r="B40" s="1848"/>
      <c r="C40" s="1848"/>
      <c r="D40" s="1848"/>
      <c r="E40" s="1847"/>
      <c r="F40" s="461"/>
    </row>
    <row r="41" spans="1:6" s="467" customFormat="1">
      <c r="A41" s="464"/>
      <c r="B41" s="1848"/>
      <c r="C41" s="1848"/>
      <c r="D41" s="1848"/>
      <c r="E41" s="1847"/>
      <c r="F41" s="461"/>
    </row>
    <row r="42" spans="1:6" s="467" customFormat="1">
      <c r="A42" s="464"/>
      <c r="B42" s="1848"/>
      <c r="C42" s="1848"/>
      <c r="D42" s="1848"/>
      <c r="E42" s="1847"/>
      <c r="F42" s="461"/>
    </row>
    <row r="43" spans="1:6" s="467" customFormat="1">
      <c r="A43" s="464"/>
      <c r="B43" s="1848"/>
      <c r="C43" s="1848"/>
      <c r="D43" s="1848"/>
      <c r="E43" s="1847"/>
      <c r="F43" s="461"/>
    </row>
    <row r="44" spans="1:6" s="467" customFormat="1">
      <c r="A44" s="464"/>
      <c r="B44" s="461"/>
      <c r="C44" s="461"/>
      <c r="D44" s="461"/>
      <c r="E44" s="1847"/>
      <c r="F44" s="461"/>
    </row>
    <row r="45" spans="1:6" s="467" customFormat="1">
      <c r="A45" s="464"/>
      <c r="B45" s="461"/>
      <c r="C45" s="461"/>
      <c r="D45" s="461"/>
      <c r="E45" s="1847"/>
      <c r="F45" s="461"/>
    </row>
    <row r="46" spans="1:6" s="467" customFormat="1">
      <c r="A46" s="464"/>
      <c r="B46" s="2329"/>
      <c r="C46" s="2329"/>
      <c r="D46" s="461"/>
      <c r="E46" s="1847"/>
      <c r="F46" s="461"/>
    </row>
    <row r="47" spans="1:6" s="467" customFormat="1">
      <c r="A47" s="464"/>
      <c r="B47" s="2329"/>
      <c r="C47" s="2329"/>
      <c r="D47" s="461"/>
      <c r="E47" s="1847"/>
      <c r="F47" s="461"/>
    </row>
    <row r="48" spans="1:6" s="467" customFormat="1">
      <c r="A48" s="464"/>
      <c r="B48" s="2330"/>
      <c r="C48" s="2330"/>
      <c r="D48" s="461"/>
      <c r="E48" s="1847"/>
      <c r="F48" s="461"/>
    </row>
    <row r="49" spans="1:6" s="467" customFormat="1">
      <c r="A49" s="464"/>
      <c r="B49" s="461"/>
      <c r="C49" s="461"/>
      <c r="D49" s="461"/>
      <c r="E49" s="1847"/>
      <c r="F49" s="461"/>
    </row>
    <row r="50" spans="1:6" s="341" customFormat="1" ht="54.75" customHeight="1">
      <c r="A50" s="464"/>
      <c r="B50" s="461"/>
      <c r="C50" s="461"/>
      <c r="D50" s="461"/>
      <c r="E50" s="1847"/>
      <c r="F50" s="461"/>
    </row>
    <row r="51" spans="1:6">
      <c r="A51" s="464"/>
      <c r="B51" s="461"/>
      <c r="C51" s="461"/>
      <c r="D51" s="461"/>
      <c r="E51" s="1847"/>
      <c r="F51" s="461"/>
    </row>
    <row r="52" spans="1:6">
      <c r="A52" s="464"/>
      <c r="B52" s="461"/>
      <c r="C52" s="461"/>
      <c r="D52" s="461"/>
      <c r="E52" s="1847"/>
      <c r="F52" s="461"/>
    </row>
    <row r="53" spans="1:6">
      <c r="A53" s="1849" t="s">
        <v>1177</v>
      </c>
      <c r="B53" s="461"/>
      <c r="C53" s="461"/>
      <c r="D53" s="461"/>
      <c r="E53" s="1847"/>
      <c r="F53" s="461"/>
    </row>
    <row r="54" spans="1:6">
      <c r="A54" s="464"/>
      <c r="B54" s="461"/>
      <c r="C54" s="461"/>
      <c r="D54" s="461"/>
      <c r="E54" s="1847"/>
      <c r="F54" s="461"/>
    </row>
    <row r="55" spans="1:6">
      <c r="A55" s="464"/>
      <c r="B55" s="461"/>
      <c r="C55" s="461"/>
      <c r="D55" s="461"/>
      <c r="E55" s="1847"/>
      <c r="F55" s="461"/>
    </row>
    <row r="56" spans="1:6">
      <c r="A56" s="464"/>
      <c r="B56" s="461"/>
      <c r="C56" s="461"/>
      <c r="D56" s="461"/>
      <c r="E56" s="1847"/>
      <c r="F56" s="461"/>
    </row>
    <row r="57" spans="1:6">
      <c r="A57" s="465"/>
      <c r="B57" s="466"/>
      <c r="C57" s="466"/>
      <c r="D57" s="466"/>
      <c r="E57" s="1850"/>
      <c r="F57" s="461"/>
    </row>
  </sheetData>
  <customSheetViews>
    <customSheetView guid="{27C9E95B-0E2B-454F-B637-1CECC9579A10}" fitToPage="1" hiddenRows="1" hiddenColumns="1" showRuler="0">
      <selection activeCell="D3" sqref="D3"/>
      <pageMargins left="0.70866141732283472" right="0.70866141732283472" top="0.74803149606299213" bottom="0.74803149606299213" header="0.31496062992125984" footer="0.31496062992125984"/>
      <pageSetup paperSize="9" scale="65" orientation="portrait" r:id="rId1"/>
      <headerFooter alignWithMargins="0"/>
    </customSheetView>
    <customSheetView guid="{99FBDEB7-DD08-4F57-81F4-3C180403E153}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65" orientation="portrait" r:id="rId2"/>
    </customSheetView>
    <customSheetView guid="{97D6DB71-3F4C-4C5F-8C5B-51E3EBF78932}" showPageBreaks="1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71" orientation="portrait" r:id="rId3"/>
    </customSheetView>
  </customSheetViews>
  <mergeCells count="4">
    <mergeCell ref="B46:C48"/>
    <mergeCell ref="A14:D14"/>
    <mergeCell ref="A1:D1"/>
    <mergeCell ref="A12:D12"/>
  </mergeCells>
  <phoneticPr fontId="90" type="noConversion"/>
  <hyperlinks>
    <hyperlink ref="A15" r:id="rId4"/>
  </hyperlinks>
  <pageMargins left="0.70866141732283472" right="0.48" top="0.74803149606299213" bottom="0.74803149606299213" header="0.31496062992125984" footer="0.31496062992125984"/>
  <pageSetup paperSize="9" scale="84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9"/>
  <sheetViews>
    <sheetView showGridLines="0" zoomScaleNormal="100" workbookViewId="0">
      <pane xSplit="2" ySplit="11" topLeftCell="C33" activePane="bottomRight" state="frozen"/>
      <selection activeCell="F32" sqref="F32"/>
      <selection pane="topRight" activeCell="F32" sqref="F32"/>
      <selection pane="bottomLeft" activeCell="F32" sqref="F32"/>
      <selection pane="bottomRight" activeCell="G41" sqref="G41"/>
    </sheetView>
  </sheetViews>
  <sheetFormatPr defaultColWidth="9.140625" defaultRowHeight="0" customHeight="1" zeroHeight="1"/>
  <cols>
    <col min="1" max="1" width="5.28515625" style="311" customWidth="1"/>
    <col min="2" max="2" width="32.7109375" style="313" customWidth="1"/>
    <col min="3" max="3" width="11.28515625" style="316" customWidth="1"/>
    <col min="4" max="4" width="9.140625" style="316"/>
    <col min="5" max="7" width="8.7109375" style="316" customWidth="1"/>
    <col min="8" max="8" width="10" style="316" customWidth="1"/>
    <col min="9" max="10" width="8.7109375" style="316" customWidth="1"/>
    <col min="11" max="11" width="10.5703125" style="316" customWidth="1"/>
    <col min="12" max="12" width="9.5703125" style="316" customWidth="1"/>
    <col min="13" max="13" width="7.85546875" style="316" customWidth="1"/>
    <col min="14" max="14" width="14.85546875" style="316" customWidth="1"/>
    <col min="15" max="15" width="9" style="314" customWidth="1"/>
    <col min="16" max="16" width="5.42578125" style="311" customWidth="1"/>
    <col min="17" max="17" width="7.140625" style="315" customWidth="1"/>
    <col min="18" max="19" width="9.140625" style="311"/>
    <col min="20" max="20" width="9" style="311" customWidth="1"/>
    <col min="21" max="21" width="9.140625" style="311"/>
    <col min="22" max="16384" width="9.140625" style="307"/>
  </cols>
  <sheetData>
    <row r="1" spans="1:21" ht="21.75">
      <c r="A1" s="149" t="str">
        <f>"Specificering vård och omsorg om äldre och personer med funktionsnedsättning "&amp;År&amp;", miljoner kronor"</f>
        <v>Specificering vård och omsorg om äldre och personer med funktionsnedsättning 2016, miljoner kronor</v>
      </c>
      <c r="B1" s="150"/>
      <c r="C1" s="150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568" t="s">
        <v>494</v>
      </c>
      <c r="P1" s="569" t="str">
        <f>'Kn Information'!B2</f>
        <v>RIKSTOTAL</v>
      </c>
      <c r="Q1" s="306"/>
      <c r="R1" s="305"/>
      <c r="S1" s="305"/>
      <c r="T1" s="305"/>
      <c r="U1" s="305"/>
    </row>
    <row r="2" spans="1:21" ht="12.75">
      <c r="A2" s="1388"/>
      <c r="B2" s="151"/>
      <c r="C2" s="310"/>
      <c r="D2" s="310"/>
      <c r="E2" s="310"/>
      <c r="F2" s="310"/>
      <c r="G2" s="310"/>
      <c r="H2" s="310"/>
      <c r="I2" s="310"/>
      <c r="J2" s="308"/>
      <c r="K2" s="1496"/>
      <c r="M2" s="1492"/>
      <c r="N2" s="1494"/>
      <c r="O2" s="1491"/>
      <c r="P2" s="308"/>
      <c r="S2" s="308"/>
      <c r="T2" s="308"/>
      <c r="U2" s="308"/>
    </row>
    <row r="3" spans="1:21" ht="12.75" customHeight="1" thickBot="1">
      <c r="A3" s="309"/>
      <c r="B3" s="309"/>
      <c r="C3" s="310" t="s">
        <v>695</v>
      </c>
      <c r="D3" s="310" t="s">
        <v>700</v>
      </c>
      <c r="E3" s="310" t="s">
        <v>696</v>
      </c>
      <c r="F3" s="310" t="s">
        <v>589</v>
      </c>
      <c r="G3" s="310" t="s">
        <v>697</v>
      </c>
      <c r="H3" s="310" t="s">
        <v>590</v>
      </c>
      <c r="I3" s="310" t="s">
        <v>591</v>
      </c>
      <c r="J3" s="310" t="s">
        <v>699</v>
      </c>
      <c r="K3" s="310" t="s">
        <v>698</v>
      </c>
      <c r="L3" s="310"/>
      <c r="M3" s="310"/>
      <c r="N3" s="1495"/>
      <c r="O3" s="1493"/>
      <c r="P3" s="309"/>
      <c r="T3" s="309"/>
      <c r="U3" s="309"/>
    </row>
    <row r="4" spans="1:21" ht="27.75">
      <c r="A4" s="1273" t="s">
        <v>701</v>
      </c>
      <c r="B4" s="1274" t="s">
        <v>21</v>
      </c>
      <c r="C4" s="1275"/>
      <c r="D4" s="2199"/>
      <c r="E4" s="1276"/>
      <c r="F4" s="2194" t="s">
        <v>45</v>
      </c>
      <c r="G4" s="2127"/>
      <c r="H4" s="2127"/>
      <c r="I4" s="2222"/>
      <c r="J4" s="2223" t="s">
        <v>159</v>
      </c>
      <c r="K4" s="2217" t="s">
        <v>1270</v>
      </c>
      <c r="L4" s="2217" t="s">
        <v>1188</v>
      </c>
      <c r="M4" s="2232"/>
      <c r="N4" s="2206"/>
      <c r="O4" s="2206"/>
      <c r="P4" s="2190"/>
      <c r="Q4" s="2126"/>
      <c r="R4" s="2128"/>
    </row>
    <row r="5" spans="1:21" ht="12.75" customHeight="1">
      <c r="A5" s="1277" t="s">
        <v>704</v>
      </c>
      <c r="B5" s="1278"/>
      <c r="C5" s="1279"/>
      <c r="D5" s="2192"/>
      <c r="E5" s="1280"/>
      <c r="F5" s="2129"/>
      <c r="G5" s="2130"/>
      <c r="H5" s="2130"/>
      <c r="I5" s="2131"/>
      <c r="J5" s="2195"/>
      <c r="K5" s="2185"/>
      <c r="L5" s="2229"/>
      <c r="M5" s="2198"/>
      <c r="N5" s="2133"/>
      <c r="O5" s="2133"/>
      <c r="P5" s="2189"/>
      <c r="Q5" s="1723"/>
      <c r="R5" s="2134"/>
      <c r="S5" s="307"/>
      <c r="T5" s="307"/>
      <c r="U5" s="307"/>
    </row>
    <row r="6" spans="1:21" ht="63" customHeight="1">
      <c r="A6" s="1283"/>
      <c r="B6" s="1284"/>
      <c r="C6" s="1503" t="s">
        <v>47</v>
      </c>
      <c r="D6" s="2449" t="s">
        <v>1267</v>
      </c>
      <c r="E6" s="2205" t="s">
        <v>984</v>
      </c>
      <c r="F6" s="2213" t="s">
        <v>783</v>
      </c>
      <c r="G6" s="2193" t="s">
        <v>979</v>
      </c>
      <c r="H6" s="2193" t="s">
        <v>506</v>
      </c>
      <c r="I6" s="2214" t="s">
        <v>977</v>
      </c>
      <c r="J6" s="2132"/>
      <c r="K6" s="2249" t="s">
        <v>1172</v>
      </c>
      <c r="L6" s="2256" t="s">
        <v>1190</v>
      </c>
      <c r="M6" s="2135" t="s">
        <v>155</v>
      </c>
      <c r="N6" s="2133" t="s">
        <v>155</v>
      </c>
      <c r="O6" s="2235" t="s">
        <v>564</v>
      </c>
      <c r="P6" s="2256"/>
      <c r="Q6" s="2215"/>
      <c r="R6" s="2220" t="str">
        <f>"Nämnare nyckeltal"</f>
        <v>Nämnare nyckeltal</v>
      </c>
      <c r="S6" s="307"/>
      <c r="T6" s="307"/>
      <c r="U6" s="307"/>
    </row>
    <row r="7" spans="1:21" ht="31.5" customHeight="1">
      <c r="A7" s="1285"/>
      <c r="B7" s="1284"/>
      <c r="C7" s="1503" t="s">
        <v>48</v>
      </c>
      <c r="D7" s="2450"/>
      <c r="E7" s="2216"/>
      <c r="F7" s="2213"/>
      <c r="G7" s="2193"/>
      <c r="H7" s="2193"/>
      <c r="I7" s="2116"/>
      <c r="J7" s="2132"/>
      <c r="K7" s="2203" t="s">
        <v>1173</v>
      </c>
      <c r="L7" s="2228"/>
      <c r="M7" s="2237" t="s">
        <v>156</v>
      </c>
      <c r="N7" s="2133" t="s">
        <v>156</v>
      </c>
      <c r="O7" s="2133" t="str">
        <f>År-1&amp;"-"&amp; År</f>
        <v>2015-2016</v>
      </c>
      <c r="P7" s="2211"/>
      <c r="Q7" s="2210"/>
      <c r="R7" s="2117"/>
      <c r="S7" s="307"/>
      <c r="T7" s="307"/>
      <c r="U7" s="307"/>
    </row>
    <row r="8" spans="1:21" ht="21" customHeight="1">
      <c r="A8" s="1285"/>
      <c r="B8" s="1286"/>
      <c r="C8" s="1281"/>
      <c r="D8" s="2132"/>
      <c r="E8" s="1565" t="s">
        <v>983</v>
      </c>
      <c r="F8" s="2226" t="s">
        <v>983</v>
      </c>
      <c r="G8" s="2225" t="s">
        <v>983</v>
      </c>
      <c r="H8" s="2224" t="s">
        <v>983</v>
      </c>
      <c r="I8" s="2196" t="s">
        <v>983</v>
      </c>
      <c r="J8" s="2132"/>
      <c r="K8" s="2242"/>
      <c r="L8" s="2253"/>
      <c r="M8" s="1287">
        <f>År</f>
        <v>2016</v>
      </c>
      <c r="N8" s="2136">
        <f>År-1</f>
        <v>2015</v>
      </c>
      <c r="O8" s="2133"/>
      <c r="P8" s="2211"/>
      <c r="Q8" s="2198"/>
      <c r="R8" s="1755"/>
      <c r="S8" s="1720"/>
      <c r="T8" s="2221"/>
      <c r="U8" s="307"/>
    </row>
    <row r="9" spans="1:21" ht="30" customHeight="1">
      <c r="A9" s="1285"/>
      <c r="B9" s="1284"/>
      <c r="C9" s="1281"/>
      <c r="D9" s="2451" t="s">
        <v>1268</v>
      </c>
      <c r="E9" s="1828" t="s">
        <v>937</v>
      </c>
      <c r="F9" s="2197" t="s">
        <v>998</v>
      </c>
      <c r="G9" s="2227" t="s">
        <v>52</v>
      </c>
      <c r="H9" s="2193" t="s">
        <v>978</v>
      </c>
      <c r="I9" s="2218" t="s">
        <v>980</v>
      </c>
      <c r="J9" s="2133"/>
      <c r="K9" s="2191"/>
      <c r="L9" s="2249"/>
      <c r="M9" s="2135"/>
      <c r="N9" s="2133"/>
      <c r="O9" s="2133"/>
      <c r="P9" s="2212"/>
      <c r="Q9" s="1756"/>
      <c r="R9" s="2117"/>
      <c r="S9" s="307"/>
      <c r="T9" s="307"/>
      <c r="U9" s="307"/>
    </row>
    <row r="10" spans="1:21" ht="3" customHeight="1">
      <c r="A10" s="1285"/>
      <c r="B10" s="1289"/>
      <c r="C10" s="1281"/>
      <c r="D10" s="2452"/>
      <c r="E10" s="1829"/>
      <c r="F10" s="2197"/>
      <c r="G10" s="1944"/>
      <c r="H10" s="2200"/>
      <c r="I10" s="2201"/>
      <c r="J10" s="2133"/>
      <c r="K10" s="2185"/>
      <c r="L10" s="2250"/>
      <c r="M10" s="1290"/>
      <c r="N10" s="2137"/>
      <c r="O10" s="2137"/>
      <c r="P10" s="2212"/>
      <c r="Q10" s="1757"/>
      <c r="R10" s="2138"/>
      <c r="S10" s="307"/>
      <c r="T10" s="307"/>
      <c r="U10" s="307"/>
    </row>
    <row r="11" spans="1:21" ht="3" customHeight="1">
      <c r="A11" s="1291"/>
      <c r="B11" s="1578"/>
      <c r="C11" s="1292"/>
      <c r="D11" s="2139"/>
      <c r="E11" s="1830"/>
      <c r="F11" s="2197"/>
      <c r="G11" s="2113"/>
      <c r="H11" s="2114"/>
      <c r="I11" s="2202"/>
      <c r="J11" s="2140"/>
      <c r="K11" s="2141"/>
      <c r="L11" s="2251"/>
      <c r="M11" s="1294"/>
      <c r="N11" s="1295"/>
      <c r="O11" s="2142"/>
      <c r="P11" s="2115"/>
      <c r="Q11" s="2143"/>
      <c r="R11" s="2144"/>
      <c r="S11" s="312"/>
      <c r="T11" s="312"/>
    </row>
    <row r="12" spans="1:21" ht="12.75">
      <c r="A12" s="1296">
        <v>510</v>
      </c>
      <c r="B12" s="1297" t="s">
        <v>534</v>
      </c>
      <c r="C12" s="373">
        <f>Drift!P73</f>
        <v>131047</v>
      </c>
      <c r="D12" s="373">
        <f>SUM(Drift!C73:D73)</f>
        <v>72161</v>
      </c>
      <c r="E12" s="373">
        <f>Drift!F73</f>
        <v>19382</v>
      </c>
      <c r="F12" s="373">
        <f>Drift!R73</f>
        <v>4548</v>
      </c>
      <c r="G12" s="373">
        <f>Drift!S73</f>
        <v>4241</v>
      </c>
      <c r="H12" s="373">
        <f>Drift!T73</f>
        <v>7169</v>
      </c>
      <c r="I12" s="373">
        <f>Motpart!Y27+Motpart!Z27</f>
        <v>240</v>
      </c>
      <c r="J12" s="373">
        <f>Drift!V73</f>
        <v>13453</v>
      </c>
      <c r="K12" s="2146">
        <f t="shared" ref="K12:K18" si="0">C12-I12-J12</f>
        <v>117354</v>
      </c>
      <c r="L12" s="2248">
        <f t="shared" ref="L12:L18" si="1">C12-SUM(F12:H12,J12)</f>
        <v>101636</v>
      </c>
      <c r="M12" s="1315">
        <f>IF(C12&gt;0,K12*1000000/Q12,"")</f>
        <v>59363.929712670164</v>
      </c>
      <c r="N12" s="2147">
        <v>58341.939588964204</v>
      </c>
      <c r="O12" s="2147"/>
      <c r="P12" s="2186"/>
      <c r="Q12" s="2148">
        <v>1976857</v>
      </c>
      <c r="R12" s="2149" t="s">
        <v>567</v>
      </c>
      <c r="S12" s="1498"/>
      <c r="T12" s="1498"/>
      <c r="U12" s="312"/>
    </row>
    <row r="13" spans="1:21" ht="12.75">
      <c r="A13" s="1298">
        <v>5101</v>
      </c>
      <c r="B13" s="1299" t="s">
        <v>477</v>
      </c>
      <c r="C13" s="152">
        <v>44541</v>
      </c>
      <c r="D13" s="152">
        <f>27038+3</f>
        <v>27041</v>
      </c>
      <c r="E13" s="152">
        <v>6249</v>
      </c>
      <c r="F13" s="152">
        <v>2168</v>
      </c>
      <c r="G13" s="152">
        <v>6</v>
      </c>
      <c r="H13" s="152">
        <v>1916</v>
      </c>
      <c r="I13" s="152">
        <v>111</v>
      </c>
      <c r="J13" s="152">
        <v>5074</v>
      </c>
      <c r="K13" s="2150">
        <f t="shared" si="0"/>
        <v>39356</v>
      </c>
      <c r="L13" s="2238">
        <f t="shared" si="1"/>
        <v>35377</v>
      </c>
      <c r="M13" s="2151">
        <f>IF(C13&gt;0,K13*1000000/Q12,"")</f>
        <v>19908.369699983359</v>
      </c>
      <c r="N13" s="2151">
        <v>19573.475511586475</v>
      </c>
      <c r="O13" s="2152">
        <f>IF(ISERROR((M13-N13)/N13),"",((M13-N13)/N13))</f>
        <v>1.7109592427703695E-2</v>
      </c>
      <c r="P13" s="2153"/>
      <c r="Q13" s="2154"/>
      <c r="R13" s="2155"/>
      <c r="S13" s="1498"/>
      <c r="T13" s="1498"/>
      <c r="U13" s="312"/>
    </row>
    <row r="14" spans="1:21" ht="12.75">
      <c r="A14" s="1298">
        <v>5103</v>
      </c>
      <c r="B14" s="1299" t="s">
        <v>859</v>
      </c>
      <c r="C14" s="317">
        <v>7639</v>
      </c>
      <c r="D14" s="152">
        <f>4124+3</f>
        <v>4127</v>
      </c>
      <c r="E14" s="152">
        <v>895</v>
      </c>
      <c r="F14" s="152">
        <v>194</v>
      </c>
      <c r="G14" s="152">
        <v>90</v>
      </c>
      <c r="H14" s="152">
        <v>337</v>
      </c>
      <c r="I14" s="152">
        <v>39</v>
      </c>
      <c r="J14" s="152">
        <v>938</v>
      </c>
      <c r="K14" s="2150">
        <f t="shared" si="0"/>
        <v>6662</v>
      </c>
      <c r="L14" s="2238">
        <f t="shared" si="1"/>
        <v>6080</v>
      </c>
      <c r="M14" s="2151">
        <f>IF(C14&gt;0,K14*1000000/Q12,"")</f>
        <v>3369.9959076453179</v>
      </c>
      <c r="N14" s="2156">
        <v>3369.4068539517989</v>
      </c>
      <c r="O14" s="2152">
        <f>IF(ISERROR((M14-N14)/N14),"",((M14-N14)/N14))</f>
        <v>1.7482415126807648E-4</v>
      </c>
      <c r="P14" s="2153"/>
      <c r="Q14" s="2154"/>
      <c r="R14" s="2155"/>
      <c r="S14" s="1498"/>
      <c r="T14" s="1498"/>
      <c r="U14" s="312"/>
    </row>
    <row r="15" spans="1:21" ht="12.75">
      <c r="A15" s="1298">
        <v>5104</v>
      </c>
      <c r="B15" s="1299" t="s">
        <v>478</v>
      </c>
      <c r="C15" s="317">
        <v>1386</v>
      </c>
      <c r="D15" s="152">
        <v>782</v>
      </c>
      <c r="E15" s="152">
        <v>113</v>
      </c>
      <c r="F15" s="152">
        <v>39</v>
      </c>
      <c r="G15" s="152">
        <v>1</v>
      </c>
      <c r="H15" s="152">
        <v>60</v>
      </c>
      <c r="I15" s="152">
        <v>2</v>
      </c>
      <c r="J15" s="317">
        <v>119</v>
      </c>
      <c r="K15" s="2150">
        <f t="shared" si="0"/>
        <v>1265</v>
      </c>
      <c r="L15" s="2238">
        <f t="shared" si="1"/>
        <v>1167</v>
      </c>
      <c r="M15" s="2151">
        <f>IF(C15&gt;0,K15*1000000/Q12,"")</f>
        <v>639.90465673541382</v>
      </c>
      <c r="N15" s="2156">
        <v>616.26097008720603</v>
      </c>
      <c r="O15" s="2152">
        <f>IF(ISERROR((M15-N15)/N15),"",((M15-N15)/N15))</f>
        <v>3.8366354184108095E-2</v>
      </c>
      <c r="P15" s="2153"/>
      <c r="Q15" s="2154"/>
      <c r="R15" s="2155"/>
      <c r="S15" s="1498"/>
      <c r="T15" s="1498"/>
      <c r="U15" s="312"/>
    </row>
    <row r="16" spans="1:21" ht="12.75">
      <c r="A16" s="1298">
        <v>5105</v>
      </c>
      <c r="B16" s="1299" t="s">
        <v>524</v>
      </c>
      <c r="C16" s="317">
        <v>74019</v>
      </c>
      <c r="D16" s="152">
        <f>38875+9</f>
        <v>38884</v>
      </c>
      <c r="E16" s="318">
        <v>11983</v>
      </c>
      <c r="F16" s="318">
        <v>2105</v>
      </c>
      <c r="G16" s="318">
        <v>4036</v>
      </c>
      <c r="H16" s="318">
        <v>4593</v>
      </c>
      <c r="I16" s="318">
        <v>70</v>
      </c>
      <c r="J16" s="318">
        <v>7075</v>
      </c>
      <c r="K16" s="2150">
        <f t="shared" si="0"/>
        <v>66874</v>
      </c>
      <c r="L16" s="2238">
        <f t="shared" si="1"/>
        <v>56210</v>
      </c>
      <c r="M16" s="2151">
        <f>IF(C16&gt;0,K16*1000000/Q12,"")</f>
        <v>33828.445861283843</v>
      </c>
      <c r="N16" s="2157">
        <v>33093.727644491373</v>
      </c>
      <c r="O16" s="2152">
        <f>IF(ISERROR((M16-N16)/N16),"",((M16-N16)/N16))</f>
        <v>2.220113202976598E-2</v>
      </c>
      <c r="P16" s="2153"/>
      <c r="Q16" s="2154"/>
      <c r="R16" s="2155"/>
      <c r="S16" s="312"/>
      <c r="T16" s="312"/>
      <c r="U16" s="312"/>
    </row>
    <row r="17" spans="1:21" ht="12.75">
      <c r="A17" s="1298">
        <v>5106</v>
      </c>
      <c r="B17" s="1300" t="s">
        <v>108</v>
      </c>
      <c r="C17" s="317">
        <v>1786</v>
      </c>
      <c r="D17" s="152">
        <v>870</v>
      </c>
      <c r="E17" s="152">
        <v>50</v>
      </c>
      <c r="F17" s="152">
        <v>26</v>
      </c>
      <c r="G17" s="152">
        <v>35</v>
      </c>
      <c r="H17" s="152">
        <v>191</v>
      </c>
      <c r="I17" s="152">
        <v>1</v>
      </c>
      <c r="J17" s="152">
        <v>173</v>
      </c>
      <c r="K17" s="2150">
        <f t="shared" si="0"/>
        <v>1612</v>
      </c>
      <c r="L17" s="2238">
        <f t="shared" si="1"/>
        <v>1361</v>
      </c>
      <c r="M17" s="2151">
        <f>IF(C17&gt;0,K17*1000000/Q12,"")</f>
        <v>815.43581553951549</v>
      </c>
      <c r="N17" s="2151">
        <v>817.57288698236005</v>
      </c>
      <c r="O17" s="2152">
        <f>IF(ISERROR((M17-N17)/N17),"",((M17-N17)/N17))</f>
        <v>-2.6139216171079649E-3</v>
      </c>
      <c r="P17" s="2153"/>
      <c r="Q17" s="2154"/>
      <c r="R17" s="2155"/>
      <c r="S17" s="312"/>
      <c r="T17" s="312"/>
      <c r="U17" s="312"/>
    </row>
    <row r="18" spans="1:21" ht="12.75">
      <c r="A18" s="1298">
        <v>5109</v>
      </c>
      <c r="B18" s="1299" t="s">
        <v>397</v>
      </c>
      <c r="C18" s="317">
        <v>1676</v>
      </c>
      <c r="D18" s="152">
        <v>457</v>
      </c>
      <c r="E18" s="152">
        <v>92</v>
      </c>
      <c r="F18" s="152">
        <v>16</v>
      </c>
      <c r="G18" s="152">
        <v>73</v>
      </c>
      <c r="H18" s="152">
        <v>72</v>
      </c>
      <c r="I18" s="152">
        <v>17</v>
      </c>
      <c r="J18" s="152">
        <v>73</v>
      </c>
      <c r="K18" s="2150">
        <f t="shared" si="0"/>
        <v>1586</v>
      </c>
      <c r="L18" s="2238">
        <f t="shared" si="1"/>
        <v>1442</v>
      </c>
      <c r="M18" s="2158"/>
      <c r="N18" s="2158"/>
      <c r="O18" s="2158"/>
      <c r="P18" s="2159"/>
      <c r="Q18" s="2160"/>
      <c r="R18" s="2155"/>
      <c r="S18" s="312"/>
      <c r="T18" s="312"/>
      <c r="U18" s="312"/>
    </row>
    <row r="19" spans="1:21" ht="12.75">
      <c r="A19" s="1301">
        <v>51099</v>
      </c>
      <c r="B19" s="1302" t="s">
        <v>176</v>
      </c>
      <c r="C19" s="358">
        <f t="shared" ref="C19:J19" si="2">SUM(C13:C18)</f>
        <v>131047</v>
      </c>
      <c r="D19" s="358">
        <f t="shared" si="2"/>
        <v>72161</v>
      </c>
      <c r="E19" s="358">
        <f t="shared" si="2"/>
        <v>19382</v>
      </c>
      <c r="F19" s="358">
        <f t="shared" si="2"/>
        <v>4548</v>
      </c>
      <c r="G19" s="358">
        <f t="shared" si="2"/>
        <v>4241</v>
      </c>
      <c r="H19" s="358">
        <f t="shared" si="2"/>
        <v>7169</v>
      </c>
      <c r="I19" s="358">
        <f t="shared" si="2"/>
        <v>240</v>
      </c>
      <c r="J19" s="358">
        <f t="shared" si="2"/>
        <v>13452</v>
      </c>
      <c r="K19" s="2161"/>
      <c r="L19" s="2252"/>
      <c r="M19" s="2162"/>
      <c r="N19" s="2239"/>
      <c r="O19" s="2162"/>
      <c r="P19" s="2187"/>
      <c r="Q19" s="2160"/>
      <c r="R19" s="2155"/>
      <c r="S19" s="312"/>
      <c r="T19" s="312"/>
      <c r="U19" s="312"/>
    </row>
    <row r="20" spans="1:21" ht="13.5" thickBot="1">
      <c r="A20" s="1303"/>
      <c r="B20" s="1304"/>
      <c r="C20" s="2313"/>
      <c r="D20" s="2315"/>
      <c r="E20" s="2316"/>
      <c r="F20" s="2316"/>
      <c r="G20" s="2316"/>
      <c r="H20" s="2316"/>
      <c r="I20" s="2316"/>
      <c r="J20" s="2316"/>
      <c r="K20" s="2240"/>
      <c r="L20" s="2255"/>
      <c r="M20" s="2164"/>
      <c r="N20" s="2240"/>
      <c r="O20" s="2164"/>
      <c r="P20" s="2165"/>
      <c r="Q20" s="2166"/>
      <c r="R20" s="2167"/>
      <c r="S20" s="312"/>
      <c r="T20" s="312"/>
      <c r="U20" s="312"/>
    </row>
    <row r="21" spans="1:21" ht="22.5" customHeight="1">
      <c r="A21" s="1305">
        <v>520</v>
      </c>
      <c r="B21" s="1306" t="s">
        <v>117</v>
      </c>
      <c r="C21" s="374">
        <f>Drift!P74</f>
        <v>14711</v>
      </c>
      <c r="D21" s="374">
        <f>SUM(Drift!C74:D74)</f>
        <v>7303</v>
      </c>
      <c r="E21" s="374">
        <f>Drift!F74</f>
        <v>3340</v>
      </c>
      <c r="F21" s="374">
        <f>Drift!R74</f>
        <v>249</v>
      </c>
      <c r="G21" s="374">
        <f>Drift!S74</f>
        <v>308</v>
      </c>
      <c r="H21" s="374">
        <f>Drift!T74</f>
        <v>787</v>
      </c>
      <c r="I21" s="374">
        <f>Motpart!Y28+Motpart!Z28</f>
        <v>46</v>
      </c>
      <c r="J21" s="374">
        <f>Drift!V74</f>
        <v>1106</v>
      </c>
      <c r="K21" s="2168">
        <f t="shared" ref="K21:K28" si="3">C21-I21-J21</f>
        <v>13559</v>
      </c>
      <c r="L21" s="2241">
        <f t="shared" ref="L21:L28" si="4">C21-SUM(F21:H21,J21)</f>
        <v>12261</v>
      </c>
      <c r="M21" s="2169">
        <f>IF(C21&gt;0,K21*1000000/Q21,"")</f>
        <v>1691.0076654690722</v>
      </c>
      <c r="N21" s="2169">
        <v>1638.0748982450191</v>
      </c>
      <c r="O21" s="2170"/>
      <c r="P21" s="2188"/>
      <c r="Q21" s="2171">
        <v>8018296</v>
      </c>
      <c r="R21" s="2172" t="s">
        <v>568</v>
      </c>
      <c r="S21" s="312"/>
      <c r="T21" s="312"/>
      <c r="U21" s="312"/>
    </row>
    <row r="22" spans="1:21" ht="12.75">
      <c r="A22" s="1298">
        <v>5201</v>
      </c>
      <c r="B22" s="1299" t="s">
        <v>479</v>
      </c>
      <c r="C22" s="152">
        <v>4281</v>
      </c>
      <c r="D22" s="152">
        <v>2337</v>
      </c>
      <c r="E22" s="152">
        <v>759</v>
      </c>
      <c r="F22" s="152">
        <v>128</v>
      </c>
      <c r="G22" s="152">
        <v>2</v>
      </c>
      <c r="H22" s="152">
        <v>185</v>
      </c>
      <c r="I22" s="152">
        <v>8</v>
      </c>
      <c r="J22" s="152">
        <v>368</v>
      </c>
      <c r="K22" s="2173">
        <f t="shared" si="3"/>
        <v>3905</v>
      </c>
      <c r="L22" s="2238">
        <f t="shared" si="4"/>
        <v>3598</v>
      </c>
      <c r="M22" s="2156">
        <f>IF(C22&gt;0,K22*1000000/Q21,"")</f>
        <v>487.01120537331121</v>
      </c>
      <c r="N22" s="2156">
        <v>467.24419550620649</v>
      </c>
      <c r="O22" s="2152">
        <f>IF(ISERROR((M22-N22)/N22),"",((M22-N22)/N22))</f>
        <v>4.2305522588010729E-2</v>
      </c>
      <c r="P22" s="2174"/>
      <c r="Q22" s="2154"/>
      <c r="R22" s="2175"/>
      <c r="S22" s="1947"/>
      <c r="T22" s="1947"/>
      <c r="U22" s="312"/>
    </row>
    <row r="23" spans="1:21" ht="12.75">
      <c r="A23" s="1298">
        <v>5202</v>
      </c>
      <c r="B23" s="1299" t="s">
        <v>480</v>
      </c>
      <c r="C23" s="317">
        <v>2334</v>
      </c>
      <c r="D23" s="152">
        <v>1601</v>
      </c>
      <c r="E23" s="152">
        <v>217</v>
      </c>
      <c r="F23" s="152">
        <v>17</v>
      </c>
      <c r="G23" s="152">
        <v>4</v>
      </c>
      <c r="H23" s="152">
        <v>61</v>
      </c>
      <c r="I23" s="152">
        <v>2</v>
      </c>
      <c r="J23" s="152">
        <v>162</v>
      </c>
      <c r="K23" s="2173">
        <f t="shared" si="3"/>
        <v>2170</v>
      </c>
      <c r="L23" s="2238">
        <f t="shared" si="4"/>
        <v>2090</v>
      </c>
      <c r="M23" s="2156">
        <f>IF(C23&gt;0,K23*1000000/Q21,"")</f>
        <v>270.63106675034197</v>
      </c>
      <c r="N23" s="2156">
        <v>258.73663141353705</v>
      </c>
      <c r="O23" s="2152">
        <f>IF(ISERROR((M23-N23)/N23),"",((M23-N23)/N23))</f>
        <v>4.5971207369528283E-2</v>
      </c>
      <c r="P23" s="2174"/>
      <c r="Q23" s="2154"/>
      <c r="R23" s="2175"/>
      <c r="S23" s="1947"/>
      <c r="T23" s="1947"/>
      <c r="U23" s="312"/>
    </row>
    <row r="24" spans="1:21" ht="12.75">
      <c r="A24" s="1298">
        <v>5203</v>
      </c>
      <c r="B24" s="1299" t="s">
        <v>859</v>
      </c>
      <c r="C24" s="317">
        <v>782</v>
      </c>
      <c r="D24" s="152">
        <v>237</v>
      </c>
      <c r="E24" s="152">
        <v>328</v>
      </c>
      <c r="F24" s="152">
        <v>10</v>
      </c>
      <c r="G24" s="152">
        <v>4</v>
      </c>
      <c r="H24" s="152">
        <v>41</v>
      </c>
      <c r="I24" s="152">
        <v>6</v>
      </c>
      <c r="J24" s="317">
        <v>62</v>
      </c>
      <c r="K24" s="2173">
        <f t="shared" si="3"/>
        <v>714</v>
      </c>
      <c r="L24" s="2238">
        <f t="shared" si="4"/>
        <v>665</v>
      </c>
      <c r="M24" s="2156">
        <f>IF(C24&gt;0,K24*1000000/Q21,"")</f>
        <v>89.046350995273812</v>
      </c>
      <c r="N24" s="2156">
        <v>89.324235588243113</v>
      </c>
      <c r="O24" s="2152">
        <f>IF(ISERROR((M24-N24)/N24),"",((M24-N24)/N24))</f>
        <v>-3.1109652508000398E-3</v>
      </c>
      <c r="P24" s="2174"/>
      <c r="Q24" s="2154"/>
      <c r="R24" s="2175"/>
      <c r="S24" s="1947"/>
      <c r="T24" s="1947"/>
      <c r="U24" s="312"/>
    </row>
    <row r="25" spans="1:21" ht="12.75">
      <c r="A25" s="1298">
        <v>5204</v>
      </c>
      <c r="B25" s="2145" t="s">
        <v>1269</v>
      </c>
      <c r="C25" s="317">
        <v>400</v>
      </c>
      <c r="D25" s="152">
        <v>218</v>
      </c>
      <c r="E25" s="152">
        <v>30</v>
      </c>
      <c r="F25" s="152">
        <v>6</v>
      </c>
      <c r="G25" s="152">
        <v>0</v>
      </c>
      <c r="H25" s="152">
        <v>29</v>
      </c>
      <c r="I25" s="152">
        <v>4</v>
      </c>
      <c r="J25" s="152">
        <v>37</v>
      </c>
      <c r="K25" s="2173">
        <f t="shared" si="3"/>
        <v>359</v>
      </c>
      <c r="L25" s="2238">
        <f t="shared" si="4"/>
        <v>328</v>
      </c>
      <c r="M25" s="2156"/>
      <c r="N25" s="2156"/>
      <c r="O25" s="2156"/>
      <c r="P25" s="2156"/>
      <c r="Q25" s="2184"/>
      <c r="R25" s="2219"/>
      <c r="S25" s="1947"/>
      <c r="T25" s="1947"/>
      <c r="U25" s="312"/>
    </row>
    <row r="26" spans="1:21" ht="12.75">
      <c r="A26" s="1298">
        <v>5205</v>
      </c>
      <c r="B26" s="1299" t="s">
        <v>524</v>
      </c>
      <c r="C26" s="317">
        <v>5215</v>
      </c>
      <c r="D26" s="152">
        <v>2124</v>
      </c>
      <c r="E26" s="152">
        <v>1846</v>
      </c>
      <c r="F26" s="152">
        <v>79</v>
      </c>
      <c r="G26" s="152">
        <v>280</v>
      </c>
      <c r="H26" s="152">
        <v>284</v>
      </c>
      <c r="I26" s="152">
        <v>12</v>
      </c>
      <c r="J26" s="152">
        <v>335</v>
      </c>
      <c r="K26" s="2173">
        <f t="shared" si="3"/>
        <v>4868</v>
      </c>
      <c r="L26" s="2238">
        <f t="shared" si="4"/>
        <v>4237</v>
      </c>
      <c r="M26" s="2156">
        <f>IF(C26&gt;0,K26*1000000/Q21,"")</f>
        <v>607.11153591735706</v>
      </c>
      <c r="N26" s="2156">
        <v>585.79491610986634</v>
      </c>
      <c r="O26" s="2156">
        <f>IF(ISERROR((M26-N26)/N26),"",((M26-N26)/N26))</f>
        <v>3.6389219539578209E-2</v>
      </c>
      <c r="P26" s="2156"/>
      <c r="Q26" s="2154"/>
      <c r="R26" s="2175"/>
      <c r="S26" s="312"/>
      <c r="T26" s="312"/>
      <c r="U26" s="312"/>
    </row>
    <row r="27" spans="1:21" ht="12.75">
      <c r="A27" s="1298">
        <v>5206</v>
      </c>
      <c r="B27" s="1299" t="s">
        <v>108</v>
      </c>
      <c r="C27" s="317">
        <v>720</v>
      </c>
      <c r="D27" s="152">
        <v>374</v>
      </c>
      <c r="E27" s="152">
        <v>42</v>
      </c>
      <c r="F27" s="152">
        <v>4</v>
      </c>
      <c r="G27" s="152">
        <v>7</v>
      </c>
      <c r="H27" s="152">
        <v>88</v>
      </c>
      <c r="I27" s="152">
        <v>7</v>
      </c>
      <c r="J27" s="152">
        <v>49</v>
      </c>
      <c r="K27" s="2176">
        <f t="shared" si="3"/>
        <v>664</v>
      </c>
      <c r="L27" s="2238">
        <f t="shared" si="4"/>
        <v>572</v>
      </c>
      <c r="M27" s="2156">
        <f>IF(C27&gt;0,K27*1000000/Q21,"")</f>
        <v>82.810612130058558</v>
      </c>
      <c r="N27" s="2156">
        <v>90.462929809622977</v>
      </c>
      <c r="O27" s="2156">
        <f>IF(ISERROR((M27-N27)/N27),"",((M27-N27)/N27))</f>
        <v>-8.4590646087502747E-2</v>
      </c>
      <c r="P27" s="2156"/>
      <c r="Q27" s="2154"/>
      <c r="R27" s="2175"/>
      <c r="S27" s="312"/>
      <c r="T27" s="312"/>
      <c r="U27" s="312"/>
    </row>
    <row r="28" spans="1:21" ht="21.75" customHeight="1">
      <c r="A28" s="1298">
        <v>5209</v>
      </c>
      <c r="B28" s="1299" t="s">
        <v>397</v>
      </c>
      <c r="C28" s="317">
        <v>979</v>
      </c>
      <c r="D28" s="152">
        <v>412</v>
      </c>
      <c r="E28" s="152">
        <v>118</v>
      </c>
      <c r="F28" s="152">
        <v>5</v>
      </c>
      <c r="G28" s="152">
        <v>11</v>
      </c>
      <c r="H28" s="152">
        <v>99</v>
      </c>
      <c r="I28" s="152">
        <v>7</v>
      </c>
      <c r="J28" s="152">
        <v>93</v>
      </c>
      <c r="K28" s="2173">
        <f t="shared" si="3"/>
        <v>879</v>
      </c>
      <c r="L28" s="2238">
        <f t="shared" si="4"/>
        <v>771</v>
      </c>
      <c r="M28" s="2156"/>
      <c r="N28" s="2156"/>
      <c r="O28" s="2156"/>
      <c r="P28" s="2156"/>
      <c r="Q28" s="2160"/>
      <c r="R28" s="2155"/>
      <c r="S28" s="312"/>
      <c r="T28" s="312"/>
      <c r="U28" s="312"/>
    </row>
    <row r="29" spans="1:21" ht="18.75">
      <c r="A29" s="1301">
        <v>52099</v>
      </c>
      <c r="B29" s="1307" t="s">
        <v>687</v>
      </c>
      <c r="C29" s="153">
        <f t="shared" ref="C29:J29" si="5">SUM(C22:C28)</f>
        <v>14711</v>
      </c>
      <c r="D29" s="153">
        <f t="shared" si="5"/>
        <v>7303</v>
      </c>
      <c r="E29" s="153">
        <f t="shared" si="5"/>
        <v>3340</v>
      </c>
      <c r="F29" s="153">
        <f t="shared" si="5"/>
        <v>249</v>
      </c>
      <c r="G29" s="153">
        <f t="shared" si="5"/>
        <v>308</v>
      </c>
      <c r="H29" s="153">
        <f t="shared" si="5"/>
        <v>787</v>
      </c>
      <c r="I29" s="153">
        <f t="shared" si="5"/>
        <v>46</v>
      </c>
      <c r="J29" s="153">
        <f t="shared" si="5"/>
        <v>1106</v>
      </c>
      <c r="K29" s="2161"/>
      <c r="L29" s="2252"/>
      <c r="M29" s="2162"/>
      <c r="N29" s="2239"/>
      <c r="O29" s="2162"/>
      <c r="P29" s="2187"/>
      <c r="Q29" s="2160"/>
      <c r="R29" s="2155"/>
      <c r="S29" s="312"/>
      <c r="T29" s="312"/>
      <c r="U29" s="312"/>
    </row>
    <row r="30" spans="1:21" ht="13.5" thickBot="1">
      <c r="A30" s="1308"/>
      <c r="B30" s="1309"/>
      <c r="C30" s="2313"/>
      <c r="D30" s="2315"/>
      <c r="E30" s="2316"/>
      <c r="F30" s="2316"/>
      <c r="G30" s="2316"/>
      <c r="H30" s="2316"/>
      <c r="I30" s="2316"/>
      <c r="J30" s="2314"/>
      <c r="K30" s="2163"/>
      <c r="L30" s="2255"/>
      <c r="M30" s="2164"/>
      <c r="N30" s="2240"/>
      <c r="O30" s="2164"/>
      <c r="P30" s="2165"/>
      <c r="Q30" s="2166"/>
      <c r="R30" s="2167"/>
      <c r="S30" s="312"/>
      <c r="T30" s="312"/>
      <c r="U30" s="312"/>
    </row>
    <row r="31" spans="1:21" ht="12.75">
      <c r="A31" s="1310">
        <v>513</v>
      </c>
      <c r="B31" s="1311" t="s">
        <v>688</v>
      </c>
      <c r="C31" s="373">
        <f>Drift!P75</f>
        <v>61615</v>
      </c>
      <c r="D31" s="373">
        <f>SUM(Drift!C75:D75)</f>
        <v>33355</v>
      </c>
      <c r="E31" s="373">
        <f>Drift!F75</f>
        <v>10720</v>
      </c>
      <c r="F31" s="373">
        <f>Drift!R75</f>
        <v>128</v>
      </c>
      <c r="G31" s="373">
        <f>Drift!S75</f>
        <v>1136</v>
      </c>
      <c r="H31" s="374">
        <f>Drift!T75</f>
        <v>8779</v>
      </c>
      <c r="I31" s="374">
        <f>Motpart!Y29+Motpart!Z29</f>
        <v>280</v>
      </c>
      <c r="J31" s="373">
        <f>Drift!V75</f>
        <v>4272</v>
      </c>
      <c r="K31" s="2177">
        <f>C31-I31-J31-G41-G43</f>
        <v>50071</v>
      </c>
      <c r="L31" s="2254">
        <f t="shared" ref="L31:L36" si="6">C31-SUM(F31:H31,J31)</f>
        <v>47300</v>
      </c>
      <c r="M31" s="2208">
        <f>IF(C31&gt;0,K31*1000000/Q31,"")</f>
        <v>5009.5281182789295</v>
      </c>
      <c r="N31" s="2208">
        <v>4809.6556934172377</v>
      </c>
      <c r="O31" s="2152">
        <f>IF(ISERROR((M31-N31)/N31),"",((M31-N31)/N31))</f>
        <v>4.1556493354659114E-2</v>
      </c>
      <c r="P31" s="2188"/>
      <c r="Q31" s="2209">
        <v>9995153</v>
      </c>
      <c r="R31" s="2172" t="s">
        <v>574</v>
      </c>
      <c r="S31" s="2109"/>
      <c r="T31" s="2109"/>
      <c r="U31" s="312"/>
    </row>
    <row r="32" spans="1:21" ht="12.75">
      <c r="A32" s="1312">
        <v>5131</v>
      </c>
      <c r="B32" s="1313" t="s">
        <v>218</v>
      </c>
      <c r="C32" s="152">
        <v>27274</v>
      </c>
      <c r="D32" s="152">
        <v>16090</v>
      </c>
      <c r="E32" s="152">
        <v>4845</v>
      </c>
      <c r="F32" s="152">
        <v>53</v>
      </c>
      <c r="G32" s="152">
        <v>1103</v>
      </c>
      <c r="H32" s="152">
        <v>752</v>
      </c>
      <c r="I32" s="152">
        <v>51</v>
      </c>
      <c r="J32" s="152">
        <v>2009</v>
      </c>
      <c r="K32" s="2173">
        <f>C32-I32-J32</f>
        <v>25214</v>
      </c>
      <c r="L32" s="2252">
        <f t="shared" si="6"/>
        <v>23357</v>
      </c>
      <c r="M32" s="2156">
        <f>IF(C32&gt;0,K32*1000000/Q32,"")</f>
        <v>3434.1935297581981</v>
      </c>
      <c r="N32" s="2156">
        <v>3280.2346444413056</v>
      </c>
      <c r="O32" s="2152">
        <f>IF(ISERROR((M32-N32)/N32),"",((M32-N32)/N32))</f>
        <v>4.6935326891261168E-2</v>
      </c>
      <c r="P32" s="2174"/>
      <c r="Q32" s="2178">
        <v>7342044</v>
      </c>
      <c r="R32" s="2179" t="s">
        <v>651</v>
      </c>
      <c r="S32" s="2109"/>
      <c r="T32" s="2109"/>
      <c r="U32" s="312"/>
    </row>
    <row r="33" spans="1:21" ht="12.75">
      <c r="A33" s="1312">
        <v>5132</v>
      </c>
      <c r="B33" s="1314" t="s">
        <v>607</v>
      </c>
      <c r="C33" s="317">
        <v>1918</v>
      </c>
      <c r="D33" s="152">
        <v>511</v>
      </c>
      <c r="E33" s="152">
        <v>1066</v>
      </c>
      <c r="F33" s="152">
        <v>6</v>
      </c>
      <c r="G33" s="152">
        <v>14</v>
      </c>
      <c r="H33" s="152">
        <v>175</v>
      </c>
      <c r="I33" s="152">
        <v>87</v>
      </c>
      <c r="J33" s="152">
        <v>104</v>
      </c>
      <c r="K33" s="2173">
        <f>C33-I33-J33</f>
        <v>1727</v>
      </c>
      <c r="L33" s="2252">
        <f t="shared" si="6"/>
        <v>1619</v>
      </c>
      <c r="M33" s="2156">
        <f>IF(C33&gt;0,K33*1000000/Q33,"")</f>
        <v>650.93443201918956</v>
      </c>
      <c r="N33" s="2156">
        <v>633.8989103285378</v>
      </c>
      <c r="O33" s="2152">
        <f>IF(ISERROR((M33-N33)/N33),"",((M33-N33)/N33))</f>
        <v>2.6874193050470105E-2</v>
      </c>
      <c r="P33" s="2174"/>
      <c r="Q33" s="2180">
        <v>2653109</v>
      </c>
      <c r="R33" s="2181" t="s">
        <v>569</v>
      </c>
      <c r="S33" s="2109"/>
      <c r="T33" s="2109"/>
      <c r="U33" s="312"/>
    </row>
    <row r="34" spans="1:21" ht="12.75">
      <c r="A34" s="1312">
        <v>5133</v>
      </c>
      <c r="B34" s="1313" t="s">
        <v>689</v>
      </c>
      <c r="C34" s="317">
        <v>17938</v>
      </c>
      <c r="D34" s="152">
        <v>9227</v>
      </c>
      <c r="E34" s="152">
        <v>2617</v>
      </c>
      <c r="F34" s="152">
        <v>8</v>
      </c>
      <c r="G34" s="152">
        <v>9</v>
      </c>
      <c r="H34" s="152">
        <v>7263</v>
      </c>
      <c r="I34" s="152">
        <v>12</v>
      </c>
      <c r="J34" s="317">
        <v>460</v>
      </c>
      <c r="K34" s="2173">
        <f>C34-I34-J34</f>
        <v>17466</v>
      </c>
      <c r="L34" s="2252">
        <f t="shared" si="6"/>
        <v>10198</v>
      </c>
      <c r="M34" s="2156">
        <f>IF(C34&gt;0,K34*1000000/Q34,"")</f>
        <v>1747.4469875548677</v>
      </c>
      <c r="N34" s="2156">
        <v>1750.479163724923</v>
      </c>
      <c r="O34" s="2152">
        <f>IF(ISERROR((M34-N34)/N34),"",((M34-N34)/N34))</f>
        <v>-1.7321978078293178E-3</v>
      </c>
      <c r="P34" s="2174"/>
      <c r="Q34" s="2180">
        <v>9995153</v>
      </c>
      <c r="R34" s="2181" t="s">
        <v>574</v>
      </c>
      <c r="S34" s="2109"/>
      <c r="T34" s="2109"/>
      <c r="U34" s="312"/>
    </row>
    <row r="35" spans="1:21" ht="12.75">
      <c r="A35" s="1312">
        <v>5135</v>
      </c>
      <c r="B35" s="1299" t="s">
        <v>177</v>
      </c>
      <c r="C35" s="317">
        <v>8812</v>
      </c>
      <c r="D35" s="152">
        <v>4268</v>
      </c>
      <c r="E35" s="318">
        <v>1478</v>
      </c>
      <c r="F35" s="318">
        <v>34</v>
      </c>
      <c r="G35" s="318">
        <v>3</v>
      </c>
      <c r="H35" s="318">
        <v>395</v>
      </c>
      <c r="I35" s="318">
        <v>45</v>
      </c>
      <c r="J35" s="318">
        <v>1043</v>
      </c>
      <c r="K35" s="2173">
        <f>C35-I35-J35</f>
        <v>7724</v>
      </c>
      <c r="L35" s="2252">
        <f t="shared" si="6"/>
        <v>7337</v>
      </c>
      <c r="M35" s="2156">
        <f>IF(C35&gt;0,K35*1000000/Q35,"")</f>
        <v>1439.6515908951542</v>
      </c>
      <c r="N35" s="2156">
        <v>1414.8398585462701</v>
      </c>
      <c r="O35" s="2152">
        <f>IF(ISERROR((M35-N35)/N35),"",((M35-N35)/N35))</f>
        <v>1.7536777889744955E-2</v>
      </c>
      <c r="P35" s="2174"/>
      <c r="Q35" s="2180">
        <v>5365187</v>
      </c>
      <c r="R35" s="2181" t="s">
        <v>685</v>
      </c>
      <c r="S35" s="312"/>
      <c r="T35" s="312"/>
      <c r="U35" s="312"/>
    </row>
    <row r="36" spans="1:21" ht="12.75">
      <c r="A36" s="1312">
        <v>5139</v>
      </c>
      <c r="B36" s="1299" t="s">
        <v>178</v>
      </c>
      <c r="C36" s="317">
        <v>5673</v>
      </c>
      <c r="D36" s="152">
        <v>3259</v>
      </c>
      <c r="E36" s="152">
        <v>714</v>
      </c>
      <c r="F36" s="152">
        <v>27</v>
      </c>
      <c r="G36" s="152">
        <v>7</v>
      </c>
      <c r="H36" s="152">
        <v>194</v>
      </c>
      <c r="I36" s="152">
        <v>85</v>
      </c>
      <c r="J36" s="152">
        <v>656</v>
      </c>
      <c r="K36" s="2173">
        <f>C36-I36-J36</f>
        <v>4932</v>
      </c>
      <c r="L36" s="2238">
        <f t="shared" si="6"/>
        <v>4789</v>
      </c>
      <c r="M36" s="2161"/>
      <c r="N36" s="2158"/>
      <c r="O36" s="2158"/>
      <c r="P36" s="2301"/>
      <c r="Q36" s="2160"/>
      <c r="R36" s="2182"/>
      <c r="S36" s="312"/>
      <c r="T36" s="312"/>
      <c r="U36" s="312"/>
    </row>
    <row r="37" spans="1:21" ht="12.75">
      <c r="A37" s="1301">
        <v>51399</v>
      </c>
      <c r="B37" s="1302" t="s">
        <v>690</v>
      </c>
      <c r="C37" s="358">
        <f t="shared" ref="C37:J37" si="7">SUM(C32:C36)</f>
        <v>61615</v>
      </c>
      <c r="D37" s="358">
        <f t="shared" si="7"/>
        <v>33355</v>
      </c>
      <c r="E37" s="358">
        <f t="shared" si="7"/>
        <v>10720</v>
      </c>
      <c r="F37" s="358">
        <f t="shared" si="7"/>
        <v>128</v>
      </c>
      <c r="G37" s="358">
        <f t="shared" si="7"/>
        <v>1136</v>
      </c>
      <c r="H37" s="358">
        <f t="shared" si="7"/>
        <v>8779</v>
      </c>
      <c r="I37" s="358">
        <f t="shared" si="7"/>
        <v>280</v>
      </c>
      <c r="J37" s="2121">
        <f t="shared" si="7"/>
        <v>4272</v>
      </c>
      <c r="K37" s="2161"/>
      <c r="L37" s="2239"/>
      <c r="M37" s="2162"/>
      <c r="N37" s="2162"/>
      <c r="O37" s="2162"/>
      <c r="P37" s="2187"/>
      <c r="Q37" s="2160"/>
      <c r="R37" s="2207"/>
      <c r="S37" s="312"/>
      <c r="T37" s="312"/>
      <c r="U37" s="312"/>
    </row>
    <row r="38" spans="1:21" ht="13.5" thickBot="1">
      <c r="A38" s="1303"/>
      <c r="B38" s="1309"/>
      <c r="C38" s="2313"/>
      <c r="D38" s="2315"/>
      <c r="E38" s="2316"/>
      <c r="F38" s="2316"/>
      <c r="G38" s="2316"/>
      <c r="H38" s="2316"/>
      <c r="I38" s="2317"/>
      <c r="J38" s="2316"/>
      <c r="K38" s="2240"/>
      <c r="L38" s="2240"/>
      <c r="M38" s="2164"/>
      <c r="N38" s="2164"/>
      <c r="O38" s="2164"/>
      <c r="P38" s="2165"/>
      <c r="Q38" s="2166"/>
      <c r="R38" s="2183"/>
      <c r="S38" s="312"/>
      <c r="T38" s="312"/>
      <c r="U38" s="312"/>
    </row>
    <row r="39" spans="1:21" ht="12.75">
      <c r="B39" s="336" t="s">
        <v>693</v>
      </c>
      <c r="C39" s="337"/>
      <c r="D39" s="337"/>
      <c r="E39" s="337"/>
      <c r="F39" s="337"/>
      <c r="G39" s="338"/>
      <c r="H39" s="338"/>
      <c r="I39" s="338"/>
      <c r="J39" s="338"/>
      <c r="K39" s="313"/>
      <c r="L39" s="313"/>
      <c r="M39" s="313"/>
      <c r="N39" s="313"/>
    </row>
    <row r="40" spans="1:21" ht="12.75">
      <c r="B40" s="336" t="s">
        <v>691</v>
      </c>
      <c r="C40" s="308"/>
      <c r="D40" s="308"/>
      <c r="E40" s="337"/>
      <c r="F40" s="338"/>
      <c r="H40" s="371"/>
      <c r="I40" s="313"/>
      <c r="J40" s="313"/>
      <c r="K40" s="313"/>
      <c r="L40" s="313"/>
      <c r="M40" s="313"/>
      <c r="N40" s="313"/>
    </row>
    <row r="41" spans="1:21" ht="12.75">
      <c r="B41" s="2465" t="s">
        <v>182</v>
      </c>
      <c r="C41" s="308"/>
      <c r="D41" s="308"/>
      <c r="E41" s="337"/>
      <c r="F41" s="338"/>
      <c r="G41" s="154">
        <f>'Verks int o kostn'!D20</f>
        <v>6984</v>
      </c>
      <c r="H41" s="354"/>
      <c r="I41" s="313"/>
      <c r="J41" s="313"/>
      <c r="K41" s="313"/>
      <c r="L41" s="313"/>
      <c r="M41" s="313"/>
      <c r="N41" s="313"/>
    </row>
    <row r="42" spans="1:21" ht="12.75">
      <c r="A42" s="480">
        <v>51398</v>
      </c>
      <c r="B42" s="2465" t="s">
        <v>183</v>
      </c>
      <c r="C42" s="308"/>
      <c r="D42" s="308"/>
      <c r="E42" s="337"/>
      <c r="F42" s="338"/>
      <c r="G42" s="154">
        <f>'Verks int o kostn'!I41</f>
        <v>4831</v>
      </c>
      <c r="H42" s="355"/>
      <c r="I42" s="313"/>
      <c r="J42" s="313"/>
      <c r="K42" s="313"/>
      <c r="L42" s="313"/>
      <c r="M42" s="313"/>
      <c r="N42" s="313"/>
    </row>
    <row r="43" spans="1:21" ht="12.75">
      <c r="B43" s="2466" t="s">
        <v>213</v>
      </c>
      <c r="C43" s="2467"/>
      <c r="D43" s="2467"/>
      <c r="E43" s="2467"/>
      <c r="F43" s="2468"/>
      <c r="G43" s="152">
        <v>8</v>
      </c>
      <c r="H43" s="474" t="s">
        <v>823</v>
      </c>
      <c r="I43" s="474" t="s">
        <v>824</v>
      </c>
      <c r="J43" s="474" t="s">
        <v>825</v>
      </c>
      <c r="K43" s="474" t="s">
        <v>826</v>
      </c>
      <c r="L43" s="474" t="s">
        <v>827</v>
      </c>
      <c r="M43" s="474" t="s">
        <v>828</v>
      </c>
    </row>
    <row r="44" spans="1:21" ht="14.25" customHeight="1" thickBot="1">
      <c r="R44" s="319"/>
      <c r="S44" s="312"/>
      <c r="T44" s="312"/>
      <c r="U44" s="312"/>
    </row>
    <row r="45" spans="1:21" ht="27">
      <c r="A45" s="2453" t="s">
        <v>953</v>
      </c>
      <c r="B45" s="2454"/>
      <c r="C45" s="2247" t="s">
        <v>1271</v>
      </c>
      <c r="D45" s="1316"/>
      <c r="E45" s="2265" t="s">
        <v>1272</v>
      </c>
      <c r="F45" s="2265" t="s">
        <v>1273</v>
      </c>
      <c r="G45" s="2265" t="s">
        <v>510</v>
      </c>
      <c r="H45" s="2231" t="s">
        <v>132</v>
      </c>
      <c r="I45" s="2243" t="s">
        <v>495</v>
      </c>
      <c r="J45" s="2265" t="s">
        <v>1274</v>
      </c>
      <c r="K45" s="2257" t="s">
        <v>973</v>
      </c>
      <c r="L45" s="2265" t="s">
        <v>1275</v>
      </c>
      <c r="M45" s="2231" t="s">
        <v>168</v>
      </c>
      <c r="N45" s="2233"/>
      <c r="O45" s="2232"/>
      <c r="P45" s="2244"/>
      <c r="R45" s="2457"/>
      <c r="S45" s="2457"/>
      <c r="T45" s="2457"/>
      <c r="U45" s="312"/>
    </row>
    <row r="46" spans="1:21" ht="10.5" customHeight="1">
      <c r="A46" s="2455"/>
      <c r="B46" s="2456"/>
      <c r="C46" s="1561"/>
      <c r="D46" s="1278"/>
      <c r="E46" s="2245"/>
      <c r="F46" s="1317"/>
      <c r="G46" s="2245"/>
      <c r="H46" s="2245"/>
      <c r="I46" s="2234"/>
      <c r="J46" s="2245"/>
      <c r="K46" s="2263"/>
      <c r="L46" s="2245"/>
      <c r="M46" s="2245"/>
      <c r="N46" s="2236"/>
      <c r="O46" s="2237"/>
      <c r="P46" s="2246"/>
      <c r="R46" s="2457"/>
      <c r="S46" s="2457"/>
      <c r="T46" s="2457"/>
      <c r="U46" s="312"/>
    </row>
    <row r="47" spans="1:21" ht="32.25" customHeight="1">
      <c r="A47" s="2261"/>
      <c r="B47" s="2262"/>
      <c r="C47" s="1562" t="s">
        <v>863</v>
      </c>
      <c r="D47" s="1489"/>
      <c r="E47" s="1656" t="s">
        <v>903</v>
      </c>
      <c r="F47" s="1657" t="s">
        <v>904</v>
      </c>
      <c r="G47" s="1657" t="s">
        <v>905</v>
      </c>
      <c r="H47" s="1657" t="s">
        <v>906</v>
      </c>
      <c r="I47" s="1657" t="s">
        <v>907</v>
      </c>
      <c r="J47" s="1657" t="s">
        <v>908</v>
      </c>
      <c r="K47" s="1657" t="s">
        <v>909</v>
      </c>
      <c r="L47" s="1657" t="s">
        <v>910</v>
      </c>
      <c r="M47" s="1657" t="s">
        <v>911</v>
      </c>
      <c r="N47" s="2236"/>
      <c r="O47" s="2237"/>
      <c r="P47" s="2246"/>
      <c r="R47" s="2457"/>
      <c r="S47" s="2457"/>
      <c r="T47" s="2457"/>
      <c r="U47" s="312"/>
    </row>
    <row r="48" spans="1:21" ht="9" customHeight="1">
      <c r="A48" s="1945"/>
      <c r="B48" s="1946"/>
      <c r="C48" s="2264"/>
      <c r="D48" s="2258"/>
      <c r="E48" s="2259"/>
      <c r="F48" s="2259"/>
      <c r="G48" s="2259"/>
      <c r="H48" s="2259"/>
      <c r="I48" s="2260"/>
      <c r="J48" s="2259"/>
      <c r="K48" s="2260"/>
      <c r="L48" s="2259"/>
      <c r="M48" s="2259"/>
      <c r="N48" s="2236"/>
      <c r="O48" s="2230"/>
      <c r="P48" s="2246"/>
      <c r="R48" s="2457"/>
      <c r="S48" s="2457"/>
      <c r="T48" s="2457"/>
      <c r="U48" s="312"/>
    </row>
    <row r="49" spans="1:21" ht="12.75">
      <c r="A49" s="1318">
        <v>510</v>
      </c>
      <c r="B49" s="1319" t="s">
        <v>570</v>
      </c>
      <c r="C49" s="475">
        <f>E12</f>
        <v>19382</v>
      </c>
      <c r="D49" s="2318"/>
      <c r="E49" s="475">
        <f>Motpart!D27</f>
        <v>1584</v>
      </c>
      <c r="F49" s="475">
        <f>Motpart!E27</f>
        <v>230</v>
      </c>
      <c r="G49" s="475">
        <f>Motpart!F27</f>
        <v>16396</v>
      </c>
      <c r="H49" s="475">
        <f>Motpart!G27</f>
        <v>145</v>
      </c>
      <c r="I49" s="475">
        <f>Motpart!H27</f>
        <v>279</v>
      </c>
      <c r="J49" s="475">
        <f>Motpart!I27</f>
        <v>19</v>
      </c>
      <c r="K49" s="475">
        <f>Motpart!J27</f>
        <v>0</v>
      </c>
      <c r="L49" s="475">
        <f>Motpart!K27</f>
        <v>729</v>
      </c>
      <c r="M49" s="479">
        <f>Motpart!L27</f>
        <v>0</v>
      </c>
      <c r="N49" s="362"/>
      <c r="O49" s="363"/>
      <c r="P49" s="2122"/>
      <c r="R49" s="312"/>
      <c r="S49" s="312"/>
      <c r="T49" s="312"/>
      <c r="U49" s="312"/>
    </row>
    <row r="50" spans="1:21" ht="12.75">
      <c r="A50" s="1312">
        <v>5101</v>
      </c>
      <c r="B50" s="1320" t="s">
        <v>477</v>
      </c>
      <c r="C50" s="476">
        <f>E13</f>
        <v>6249</v>
      </c>
      <c r="D50" s="2319"/>
      <c r="E50" s="152">
        <v>130</v>
      </c>
      <c r="F50" s="152">
        <v>62</v>
      </c>
      <c r="G50" s="152">
        <v>5779</v>
      </c>
      <c r="H50" s="152">
        <v>48</v>
      </c>
      <c r="I50" s="152">
        <v>33</v>
      </c>
      <c r="J50" s="152">
        <v>1</v>
      </c>
      <c r="K50" s="152">
        <v>0</v>
      </c>
      <c r="L50" s="152">
        <v>196</v>
      </c>
      <c r="M50" s="361">
        <v>0</v>
      </c>
      <c r="N50" s="364"/>
      <c r="O50" s="365"/>
      <c r="P50" s="2123"/>
      <c r="R50" s="312"/>
      <c r="S50" s="312"/>
      <c r="T50" s="312"/>
      <c r="U50" s="312"/>
    </row>
    <row r="51" spans="1:21" ht="12.75">
      <c r="A51" s="1312">
        <v>5103</v>
      </c>
      <c r="B51" s="1321" t="s">
        <v>476</v>
      </c>
      <c r="C51" s="476">
        <f>E14</f>
        <v>895</v>
      </c>
      <c r="D51" s="2320"/>
      <c r="E51" s="152">
        <v>36</v>
      </c>
      <c r="F51" s="152">
        <v>27</v>
      </c>
      <c r="G51" s="152">
        <v>601</v>
      </c>
      <c r="H51" s="152">
        <v>18</v>
      </c>
      <c r="I51" s="152">
        <v>174</v>
      </c>
      <c r="J51" s="152">
        <v>8</v>
      </c>
      <c r="K51" s="152">
        <v>0</v>
      </c>
      <c r="L51" s="152">
        <v>31</v>
      </c>
      <c r="M51" s="348">
        <v>0</v>
      </c>
      <c r="N51" s="366"/>
      <c r="O51" s="367"/>
      <c r="P51" s="2123"/>
      <c r="R51" s="312"/>
      <c r="S51" s="312"/>
      <c r="T51" s="312"/>
      <c r="U51" s="312"/>
    </row>
    <row r="52" spans="1:21" ht="12.75">
      <c r="A52" s="1322">
        <v>5105</v>
      </c>
      <c r="B52" s="1293" t="s">
        <v>524</v>
      </c>
      <c r="C52" s="477">
        <f>E16</f>
        <v>11983</v>
      </c>
      <c r="D52" s="2321"/>
      <c r="E52" s="347">
        <v>1397</v>
      </c>
      <c r="F52" s="347">
        <v>127</v>
      </c>
      <c r="G52" s="347">
        <v>9863</v>
      </c>
      <c r="H52" s="347">
        <v>65</v>
      </c>
      <c r="I52" s="347">
        <v>50</v>
      </c>
      <c r="J52" s="347">
        <v>7</v>
      </c>
      <c r="K52" s="347">
        <v>0</v>
      </c>
      <c r="L52" s="347">
        <v>474</v>
      </c>
      <c r="M52" s="349">
        <v>0</v>
      </c>
      <c r="N52" s="555"/>
      <c r="O52" s="556"/>
      <c r="P52" s="2125"/>
    </row>
    <row r="53" spans="1:21" ht="12.75">
      <c r="A53" s="1323">
        <v>520</v>
      </c>
      <c r="B53" s="1289" t="s">
        <v>487</v>
      </c>
      <c r="C53" s="475">
        <f>E21</f>
        <v>3340</v>
      </c>
      <c r="D53" s="2319"/>
      <c r="E53" s="1613">
        <f>Motpart!D28</f>
        <v>206</v>
      </c>
      <c r="F53" s="1613">
        <f>Motpart!E28</f>
        <v>10</v>
      </c>
      <c r="G53" s="1613">
        <f>Motpart!F28</f>
        <v>2955</v>
      </c>
      <c r="H53" s="1613">
        <f>Motpart!G28</f>
        <v>50</v>
      </c>
      <c r="I53" s="1613">
        <f>Motpart!H28</f>
        <v>26</v>
      </c>
      <c r="J53" s="1613">
        <f>Motpart!I28</f>
        <v>5</v>
      </c>
      <c r="K53" s="1613">
        <f>Motpart!J28</f>
        <v>0</v>
      </c>
      <c r="L53" s="1613">
        <f>Motpart!K28</f>
        <v>87</v>
      </c>
      <c r="M53" s="1613">
        <f>Motpart!L28</f>
        <v>0</v>
      </c>
      <c r="N53" s="362"/>
      <c r="O53" s="363"/>
      <c r="P53" s="2122"/>
    </row>
    <row r="54" spans="1:21" ht="12.75">
      <c r="A54" s="1312">
        <v>5201</v>
      </c>
      <c r="B54" s="1320" t="s">
        <v>479</v>
      </c>
      <c r="C54" s="476">
        <f>E22</f>
        <v>759</v>
      </c>
      <c r="D54" s="2320"/>
      <c r="E54" s="152">
        <v>11</v>
      </c>
      <c r="F54" s="152">
        <v>4</v>
      </c>
      <c r="G54" s="152">
        <v>724</v>
      </c>
      <c r="H54" s="152">
        <v>4</v>
      </c>
      <c r="I54" s="152">
        <v>2</v>
      </c>
      <c r="J54" s="152">
        <v>0</v>
      </c>
      <c r="K54" s="152">
        <v>0</v>
      </c>
      <c r="L54" s="152">
        <v>14</v>
      </c>
      <c r="M54" s="348">
        <v>0</v>
      </c>
      <c r="N54" s="366"/>
      <c r="O54" s="367"/>
      <c r="P54" s="2123"/>
    </row>
    <row r="55" spans="1:21" ht="12.75">
      <c r="A55" s="1312">
        <v>5203</v>
      </c>
      <c r="B55" s="1320" t="s">
        <v>476</v>
      </c>
      <c r="C55" s="476">
        <f>E24</f>
        <v>328</v>
      </c>
      <c r="D55" s="2320"/>
      <c r="E55" s="152">
        <v>36</v>
      </c>
      <c r="F55" s="152">
        <v>0</v>
      </c>
      <c r="G55" s="152">
        <v>282</v>
      </c>
      <c r="H55" s="152">
        <v>4</v>
      </c>
      <c r="I55" s="152">
        <v>5</v>
      </c>
      <c r="J55" s="152">
        <v>0</v>
      </c>
      <c r="K55" s="152">
        <v>0</v>
      </c>
      <c r="L55" s="152">
        <v>1</v>
      </c>
      <c r="M55" s="348">
        <v>0</v>
      </c>
      <c r="N55" s="366"/>
      <c r="O55" s="367"/>
      <c r="P55" s="2123"/>
    </row>
    <row r="56" spans="1:21" ht="12.75">
      <c r="A56" s="1324">
        <v>5205</v>
      </c>
      <c r="B56" s="1286" t="s">
        <v>524</v>
      </c>
      <c r="C56" s="477">
        <f>E26</f>
        <v>1846</v>
      </c>
      <c r="D56" s="2322"/>
      <c r="E56" s="152">
        <v>120</v>
      </c>
      <c r="F56" s="152">
        <v>0</v>
      </c>
      <c r="G56" s="152">
        <v>1654</v>
      </c>
      <c r="H56" s="152">
        <v>21</v>
      </c>
      <c r="I56" s="152">
        <v>8</v>
      </c>
      <c r="J56" s="152">
        <v>3</v>
      </c>
      <c r="K56" s="152">
        <v>0</v>
      </c>
      <c r="L56" s="152">
        <v>40</v>
      </c>
      <c r="M56" s="349">
        <v>0</v>
      </c>
      <c r="N56" s="555"/>
      <c r="O56" s="556"/>
      <c r="P56" s="2125"/>
    </row>
    <row r="57" spans="1:21" ht="12.75">
      <c r="A57" s="1325">
        <v>513</v>
      </c>
      <c r="B57" s="1326" t="s">
        <v>486</v>
      </c>
      <c r="C57" s="475">
        <f>E31</f>
        <v>10720</v>
      </c>
      <c r="D57" s="2318"/>
      <c r="E57" s="1613">
        <f>Motpart!D29</f>
        <v>1226</v>
      </c>
      <c r="F57" s="1613">
        <f>Motpart!E29</f>
        <v>138</v>
      </c>
      <c r="G57" s="1613">
        <f>Motpart!F29</f>
        <v>8590</v>
      </c>
      <c r="H57" s="1613">
        <f>Motpart!G29</f>
        <v>327</v>
      </c>
      <c r="I57" s="1613">
        <f>Motpart!H29</f>
        <v>90</v>
      </c>
      <c r="J57" s="1613">
        <f>Motpart!I29</f>
        <v>22</v>
      </c>
      <c r="K57" s="1613">
        <f>Motpart!J29</f>
        <v>0</v>
      </c>
      <c r="L57" s="1613">
        <f>Motpart!K29</f>
        <v>327</v>
      </c>
      <c r="M57" s="1613">
        <f>Motpart!L29</f>
        <v>0</v>
      </c>
      <c r="N57" s="1513"/>
      <c r="O57" s="557"/>
      <c r="P57" s="2122"/>
    </row>
    <row r="58" spans="1:21" ht="13.5" thickBot="1">
      <c r="A58" s="1303">
        <v>5131</v>
      </c>
      <c r="B58" s="1327" t="s">
        <v>218</v>
      </c>
      <c r="C58" s="478">
        <f>E32</f>
        <v>4845</v>
      </c>
      <c r="D58" s="2323"/>
      <c r="E58" s="350">
        <v>636</v>
      </c>
      <c r="F58" s="350">
        <v>79</v>
      </c>
      <c r="G58" s="350">
        <v>3890</v>
      </c>
      <c r="H58" s="350">
        <v>64</v>
      </c>
      <c r="I58" s="350">
        <v>21</v>
      </c>
      <c r="J58" s="350">
        <v>2</v>
      </c>
      <c r="K58" s="350">
        <v>0</v>
      </c>
      <c r="L58" s="350">
        <v>153</v>
      </c>
      <c r="M58" s="351">
        <v>0</v>
      </c>
      <c r="N58" s="368"/>
      <c r="O58" s="369"/>
      <c r="P58" s="2124"/>
    </row>
    <row r="59" spans="1:21" ht="12.75">
      <c r="D59" s="370"/>
      <c r="N59" s="352"/>
      <c r="O59" s="353"/>
    </row>
  </sheetData>
  <customSheetViews>
    <customSheetView guid="{27C9E95B-0E2B-454F-B637-1CECC9579A10}" showGridLines="0" fitToPage="1" hiddenRows="1" hiddenColumns="1" showRuler="0">
      <selection activeCell="J30" sqref="J30"/>
      <pageMargins left="0.31496062992125984" right="0.6692913385826772" top="0.74803149606299213" bottom="0.15748031496062992" header="0.31496062992125984" footer="0.31496062992125984"/>
      <pageSetup paperSize="9" scale="56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fitToPage="1" hiddenRows="1" hiddenColumns="1">
      <selection activeCell="A43" sqref="A43:B47"/>
      <pageMargins left="0.31496062992125984" right="0.6692913385826772" top="0.74803149606299213" bottom="0.15748031496062992" header="0.31496062992125984" footer="0.31496062992125984"/>
      <pageSetup paperSize="9" scale="56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fitToPage="1" hiddenRows="1" hiddenColumns="1" topLeftCell="A15">
      <selection activeCell="A44" sqref="A44:B48"/>
      <pageMargins left="0.31496062992125984" right="0.6692913385826772" top="0.74803149606299213" bottom="0.15748031496062992" header="0.31496062992125984" footer="0.31496062992125984"/>
      <pageSetup paperSize="9" scale="54" orientation="landscape" r:id="rId3"/>
      <headerFooter>
        <oddHeader>&amp;L&amp;8Statistiska Centralbyrån
Offentlig ekonomi&amp;R&amp;P</oddHeader>
      </headerFooter>
    </customSheetView>
  </customSheetViews>
  <mergeCells count="5">
    <mergeCell ref="D6:D7"/>
    <mergeCell ref="D9:D10"/>
    <mergeCell ref="A45:B46"/>
    <mergeCell ref="R45:T48"/>
    <mergeCell ref="B43:F43"/>
  </mergeCells>
  <phoneticPr fontId="90" type="noConversion"/>
  <conditionalFormatting sqref="E58:M58 G43 H35:H36 I32:J36 H32:H33 E32:G36 C32:C33 C35:C36 E50:M52 E54:M56 C13:C18 E13:J18 C22:C24 C27:C28 E22:J24 E27:J28">
    <cfRule type="cellIs" dxfId="12" priority="8" stopIfTrue="1" operator="lessThan">
      <formula>0</formula>
    </cfRule>
  </conditionalFormatting>
  <conditionalFormatting sqref="C34:D34">
    <cfRule type="cellIs" dxfId="11" priority="5" stopIfTrue="1" operator="lessThan">
      <formula>0</formula>
    </cfRule>
    <cfRule type="cellIs" dxfId="10" priority="6" stopIfTrue="1" operator="lessThan">
      <formula>SUM(G42)</formula>
    </cfRule>
  </conditionalFormatting>
  <conditionalFormatting sqref="D13:D18 D22:D28 D32:D33 D35:D36">
    <cfRule type="cellIs" dxfId="9" priority="4" stopIfTrue="1" operator="lessThan">
      <formula>0</formula>
    </cfRule>
  </conditionalFormatting>
  <conditionalFormatting sqref="C25:C26">
    <cfRule type="cellIs" dxfId="8" priority="3" stopIfTrue="1" operator="lessThan">
      <formula>0</formula>
    </cfRule>
  </conditionalFormatting>
  <conditionalFormatting sqref="E25:I26">
    <cfRule type="cellIs" dxfId="7" priority="2" stopIfTrue="1" operator="lessThan">
      <formula>0</formula>
    </cfRule>
  </conditionalFormatting>
  <conditionalFormatting sqref="J25:J26">
    <cfRule type="cellIs" dxfId="6" priority="1" stopIfTrue="1" operator="lessThan">
      <formula>0</formula>
    </cfRule>
  </conditionalFormatting>
  <conditionalFormatting sqref="H34">
    <cfRule type="cellIs" dxfId="1" priority="62" stopIfTrue="1" operator="lessThan">
      <formula>0</formula>
    </cfRule>
    <cfRule type="cellIs" dxfId="0" priority="63" stopIfTrue="1" operator="lessThan">
      <formula>SUM(G41)</formula>
    </cfRule>
  </conditionalFormatting>
  <dataValidations disablePrompts="1" count="2">
    <dataValidation type="decimal" operator="lessThan" allowBlank="1" showInputMessage="1" showErrorMessage="1" error="Beloppen ska vara i 1000 tal kronor" sqref="E58:M58 I29:I30 J29:J31 I21 G43 E50:M56 D32:J36 C13:J20 D29:H31 C26:C36 C22:C24 E26:J28 E22:J24 D22:D28">
      <formula1>99999999</formula1>
    </dataValidation>
    <dataValidation type="decimal" operator="lessThan" allowBlank="1" showInputMessage="1" showErrorMessage="1" error="Beloppet ska vara i 1000 tal kr" sqref="I31">
      <formula1>99999999</formula1>
    </dataValidation>
  </dataValidations>
  <pageMargins left="0.43" right="0.17" top="0.43" bottom="0.15748031496062992" header="0.21" footer="0.31496062992125984"/>
  <pageSetup paperSize="9" scale="70" orientation="landscape" r:id="rId4"/>
  <headerFooter>
    <oddHeader>&amp;L&amp;8Statistiska Centralbyrån
Offentlig ekonomi&amp;R&amp;P</oddHeader>
  </headerFooter>
  <ignoredErrors>
    <ignoredError sqref="E53:M53 E57:M57 D13:D16" unlockedFormula="1"/>
    <ignoredError sqref="D21:D29 D12 D31" formulaRange="1"/>
  </ignoredErrors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8"/>
  <sheetViews>
    <sheetView showGridLines="0" zoomScaleNormal="100" workbookViewId="0">
      <pane xSplit="2" ySplit="11" topLeftCell="C12" activePane="bottomRight" state="frozen"/>
      <selection activeCell="F32" sqref="F32"/>
      <selection pane="topRight" activeCell="F32" sqref="F32"/>
      <selection pane="bottomLeft" activeCell="F32" sqref="F32"/>
      <selection pane="bottomRight" activeCell="A2" sqref="A2"/>
    </sheetView>
  </sheetViews>
  <sheetFormatPr defaultColWidth="0" defaultRowHeight="12.75" zeroHeight="1"/>
  <cols>
    <col min="1" max="1" width="5.7109375" style="321" customWidth="1"/>
    <col min="2" max="2" width="34.140625" style="229" customWidth="1"/>
    <col min="3" max="3" width="9.42578125" style="229" customWidth="1"/>
    <col min="4" max="4" width="8.7109375" style="229" customWidth="1"/>
    <col min="5" max="5" width="10.28515625" style="229" customWidth="1"/>
    <col min="6" max="7" width="8.7109375" style="229" customWidth="1"/>
    <col min="8" max="8" width="8.5703125" style="229" customWidth="1"/>
    <col min="9" max="9" width="8.7109375" style="229" customWidth="1"/>
    <col min="10" max="10" width="7.85546875" style="229" customWidth="1"/>
    <col min="11" max="11" width="9.5703125" style="190" customWidth="1"/>
    <col min="12" max="12" width="3.85546875" style="190" customWidth="1"/>
    <col min="13" max="13" width="7.42578125" style="190" customWidth="1"/>
    <col min="14" max="17" width="9.140625" style="190" customWidth="1"/>
    <col min="18" max="16384" width="9.140625" style="190" hidden="1"/>
  </cols>
  <sheetData>
    <row r="1" spans="1:20" s="4" customFormat="1" ht="21.75">
      <c r="A1" s="90" t="str">
        <f>"Specificering individ- och familjeomsorg "&amp;År&amp;", miljoner kronor"</f>
        <v>Specificering individ- och familjeomsorg 2016, miljoner kronor</v>
      </c>
      <c r="B1" s="91"/>
      <c r="C1" s="91"/>
      <c r="D1" s="91"/>
      <c r="E1" s="189"/>
      <c r="F1" s="189"/>
      <c r="G1" s="189"/>
      <c r="H1" s="189"/>
      <c r="I1" s="560" t="s">
        <v>494</v>
      </c>
      <c r="J1" s="561" t="str">
        <f>'Kn Information'!B2</f>
        <v>RIKSTOTAL</v>
      </c>
      <c r="K1" s="189"/>
      <c r="L1" s="189"/>
      <c r="M1" s="189"/>
      <c r="N1" s="189"/>
      <c r="O1" s="189"/>
      <c r="P1" s="189"/>
      <c r="Q1" s="189"/>
    </row>
    <row r="2" spans="1:20" s="227" customFormat="1" ht="12.75" customHeight="1">
      <c r="A2" s="1388"/>
      <c r="B2" s="92"/>
      <c r="C2" s="84"/>
      <c r="D2" s="84"/>
      <c r="O2" s="83"/>
    </row>
    <row r="3" spans="1:20" s="4" customFormat="1" ht="12.75" customHeight="1" thickBot="1">
      <c r="A3" s="291"/>
      <c r="B3" s="224"/>
      <c r="C3" s="224" t="s">
        <v>695</v>
      </c>
      <c r="D3" s="224" t="s">
        <v>700</v>
      </c>
      <c r="E3" s="224" t="s">
        <v>696</v>
      </c>
      <c r="F3" s="224" t="s">
        <v>699</v>
      </c>
      <c r="G3" s="224" t="s">
        <v>698</v>
      </c>
      <c r="H3" s="224"/>
      <c r="I3" s="224"/>
      <c r="J3" s="224"/>
      <c r="K3" s="227"/>
      <c r="L3" s="227"/>
      <c r="M3" s="227"/>
      <c r="N3" s="227"/>
    </row>
    <row r="4" spans="1:20" s="191" customFormat="1" ht="14.25" customHeight="1">
      <c r="A4" s="710" t="s">
        <v>701</v>
      </c>
      <c r="B4" s="1333" t="s">
        <v>21</v>
      </c>
      <c r="C4" s="1328"/>
      <c r="D4" s="2271"/>
      <c r="E4" s="2271"/>
      <c r="F4" s="1348"/>
      <c r="G4" s="1328"/>
      <c r="H4" s="1349"/>
      <c r="I4" s="1350"/>
      <c r="J4" s="1350"/>
      <c r="K4" s="1350"/>
      <c r="L4" s="1560"/>
      <c r="M4" s="1724"/>
      <c r="N4" s="1758"/>
      <c r="O4" s="190"/>
      <c r="P4" s="227"/>
    </row>
    <row r="5" spans="1:20" s="191" customFormat="1" ht="15" customHeight="1">
      <c r="A5" s="711" t="s">
        <v>704</v>
      </c>
      <c r="B5" s="615"/>
      <c r="C5" s="1563" t="s">
        <v>47</v>
      </c>
      <c r="D5" s="1563"/>
      <c r="E5" s="1563"/>
      <c r="F5" s="1331"/>
      <c r="G5" s="1331"/>
      <c r="H5" s="1564" t="s">
        <v>46</v>
      </c>
      <c r="I5" s="1353"/>
      <c r="J5" s="1353"/>
      <c r="K5" s="1353"/>
      <c r="L5" s="1836"/>
      <c r="M5" s="1352"/>
      <c r="N5" s="1247"/>
      <c r="O5" s="190"/>
      <c r="P5" s="227"/>
    </row>
    <row r="6" spans="1:20" s="191" customFormat="1" ht="22.5" customHeight="1">
      <c r="A6" s="1330"/>
      <c r="B6" s="1334"/>
      <c r="C6" s="1563" t="s">
        <v>48</v>
      </c>
      <c r="D6" s="2458" t="s">
        <v>1267</v>
      </c>
      <c r="E6" s="2458" t="s">
        <v>1276</v>
      </c>
      <c r="F6" s="1948" t="s">
        <v>159</v>
      </c>
      <c r="G6" s="2460" t="s">
        <v>981</v>
      </c>
      <c r="H6" s="2460" t="s">
        <v>1174</v>
      </c>
      <c r="I6" s="1282" t="s">
        <v>155</v>
      </c>
      <c r="J6" s="1282" t="s">
        <v>155</v>
      </c>
      <c r="K6" s="1282" t="s">
        <v>564</v>
      </c>
      <c r="L6" s="1840"/>
      <c r="M6" s="1842" t="str">
        <f>"Nämnare nyckeltal"</f>
        <v>Nämnare nyckeltal</v>
      </c>
      <c r="N6" s="1843"/>
      <c r="O6" s="190"/>
      <c r="P6" s="227"/>
    </row>
    <row r="7" spans="1:20" s="191" customFormat="1" ht="14.25" customHeight="1">
      <c r="A7" s="1187"/>
      <c r="B7" s="929"/>
      <c r="C7" s="1563"/>
      <c r="D7" s="2459"/>
      <c r="E7" s="2459"/>
      <c r="F7" s="2270"/>
      <c r="G7" s="2461"/>
      <c r="H7" s="2464"/>
      <c r="I7" s="1282" t="s">
        <v>156</v>
      </c>
      <c r="J7" s="1282" t="s">
        <v>156</v>
      </c>
      <c r="K7" s="1282" t="str">
        <f>År-1&amp;"-"&amp; År</f>
        <v>2015-2016</v>
      </c>
      <c r="L7" s="1931"/>
      <c r="M7" s="1842"/>
      <c r="N7" s="1843"/>
      <c r="O7" s="190"/>
      <c r="P7" s="227"/>
    </row>
    <row r="8" spans="1:20" s="191" customFormat="1" ht="27.75" customHeight="1">
      <c r="A8" s="1330"/>
      <c r="B8" s="1335"/>
      <c r="C8" s="1331"/>
      <c r="D8" s="2459"/>
      <c r="E8" s="2459"/>
      <c r="F8" s="2270"/>
      <c r="G8" s="2463"/>
      <c r="H8" s="2464"/>
      <c r="I8" s="1288">
        <f>År</f>
        <v>2016</v>
      </c>
      <c r="J8" s="1288">
        <f>År-1</f>
        <v>2015</v>
      </c>
      <c r="K8" s="1282"/>
      <c r="L8" s="1931"/>
      <c r="M8" s="1905"/>
      <c r="N8" s="1355"/>
      <c r="O8" s="227"/>
      <c r="P8" s="227"/>
    </row>
    <row r="9" spans="1:20" s="191" customFormat="1" ht="30.75" customHeight="1">
      <c r="A9" s="1330"/>
      <c r="B9" s="1335"/>
      <c r="C9" s="1331"/>
      <c r="D9" s="2460" t="s">
        <v>1277</v>
      </c>
      <c r="E9" s="1831" t="s">
        <v>937</v>
      </c>
      <c r="F9" s="1331"/>
      <c r="G9" s="1833" t="s">
        <v>982</v>
      </c>
      <c r="H9" s="1831"/>
      <c r="I9" s="1353"/>
      <c r="J9" s="1353"/>
      <c r="K9" s="1353"/>
      <c r="L9" s="1932"/>
      <c r="M9" s="1905"/>
      <c r="N9" s="1355"/>
      <c r="O9" s="227"/>
      <c r="P9" s="227"/>
    </row>
    <row r="10" spans="1:20" s="191" customFormat="1" ht="3" customHeight="1">
      <c r="A10" s="1330"/>
      <c r="B10" s="1335"/>
      <c r="C10" s="1331"/>
      <c r="D10" s="2461"/>
      <c r="E10" s="2266"/>
      <c r="F10" s="1331"/>
      <c r="G10" s="1351"/>
      <c r="H10" s="1331"/>
      <c r="I10" s="1354"/>
      <c r="J10" s="1354"/>
      <c r="K10" s="1353"/>
      <c r="L10" s="1933"/>
      <c r="M10" s="1905"/>
      <c r="N10" s="1355"/>
      <c r="O10" s="227"/>
      <c r="P10" s="227"/>
    </row>
    <row r="11" spans="1:20" s="191" customFormat="1" ht="3.75" customHeight="1">
      <c r="A11" s="1336"/>
      <c r="B11" s="1183"/>
      <c r="C11" s="1356"/>
      <c r="D11" s="2462"/>
      <c r="E11" s="1356"/>
      <c r="F11" s="1356"/>
      <c r="G11" s="1832"/>
      <c r="H11" s="1357"/>
      <c r="I11" s="1358"/>
      <c r="J11" s="1358"/>
      <c r="K11" s="1358"/>
      <c r="L11" s="1934"/>
      <c r="M11" s="1906"/>
      <c r="N11" s="1359"/>
      <c r="O11" s="227"/>
      <c r="P11" s="227"/>
    </row>
    <row r="12" spans="1:20" s="191" customFormat="1">
      <c r="A12" s="1337">
        <v>559</v>
      </c>
      <c r="B12" s="1338" t="s">
        <v>535</v>
      </c>
      <c r="C12" s="375">
        <f>Drift!P79</f>
        <v>7842</v>
      </c>
      <c r="D12" s="2267">
        <f>SUM(Drift!C79:D79)</f>
        <v>2843</v>
      </c>
      <c r="E12" s="2267">
        <f>Drift!F79</f>
        <v>2848</v>
      </c>
      <c r="F12" s="375">
        <f>Drift!V79</f>
        <v>452</v>
      </c>
      <c r="G12" s="376">
        <f>Motpart!Y31+Motpart!Z31</f>
        <v>82</v>
      </c>
      <c r="H12" s="1360">
        <f t="shared" ref="H12:H18" si="0">C12-F12-G12</f>
        <v>7308</v>
      </c>
      <c r="I12" s="1361">
        <f>IF(C12&gt;0,H12*1000000/M12,"")</f>
        <v>1301.4183108915249</v>
      </c>
      <c r="J12" s="1361">
        <v>1269.6953308094467</v>
      </c>
      <c r="K12" s="1485">
        <f>IF(ISERROR((I12-J12)/J12),"",((I12-J12)/J12))</f>
        <v>2.4984718233038213E-2</v>
      </c>
      <c r="L12" s="1844"/>
      <c r="M12" s="1834">
        <v>5615412</v>
      </c>
      <c r="N12" s="1362" t="s">
        <v>571</v>
      </c>
      <c r="O12" s="312"/>
      <c r="P12" s="312"/>
      <c r="Q12" s="312"/>
      <c r="R12" s="312"/>
      <c r="S12" s="312"/>
      <c r="T12" s="312"/>
    </row>
    <row r="13" spans="1:20" s="191" customFormat="1">
      <c r="A13" s="1339">
        <v>552</v>
      </c>
      <c r="B13" s="615" t="s">
        <v>471</v>
      </c>
      <c r="C13" s="57">
        <v>3300</v>
      </c>
      <c r="D13" s="57">
        <v>781</v>
      </c>
      <c r="E13" s="57">
        <v>1949</v>
      </c>
      <c r="F13" s="57">
        <v>114</v>
      </c>
      <c r="G13" s="113">
        <f>Motpart!Y32+Motpart!Z32</f>
        <v>51</v>
      </c>
      <c r="H13" s="1363">
        <f t="shared" si="0"/>
        <v>3135</v>
      </c>
      <c r="I13" s="1364">
        <f>IF(C13&gt;0,H13*1000000/M12,"")</f>
        <v>558.28494863778474</v>
      </c>
      <c r="J13" s="1364">
        <v>568.05480439877408</v>
      </c>
      <c r="K13" s="1486">
        <f t="shared" ref="K13:K18" si="1">IF(ISERROR((I13-J13)/J13),"",((I13-J13)/J13))</f>
        <v>-1.7198790830278608E-2</v>
      </c>
      <c r="L13" s="1931"/>
      <c r="M13" s="1907"/>
      <c r="N13" s="1365"/>
      <c r="O13" s="1949"/>
      <c r="P13" s="1949"/>
      <c r="Q13" s="312"/>
      <c r="R13" s="312"/>
      <c r="S13" s="312"/>
      <c r="T13" s="312"/>
    </row>
    <row r="14" spans="1:20" s="191" customFormat="1">
      <c r="A14" s="1339">
        <v>556</v>
      </c>
      <c r="B14" s="617" t="s">
        <v>547</v>
      </c>
      <c r="C14" s="57">
        <v>198</v>
      </c>
      <c r="D14" s="57">
        <v>67</v>
      </c>
      <c r="E14" s="57">
        <v>93</v>
      </c>
      <c r="F14" s="57">
        <v>8</v>
      </c>
      <c r="G14" s="57">
        <v>5</v>
      </c>
      <c r="H14" s="1363">
        <f t="shared" si="0"/>
        <v>185</v>
      </c>
      <c r="I14" s="1364">
        <f>IF(C14&gt;0,H14*1000000/M12,"")</f>
        <v>32.945044815945828</v>
      </c>
      <c r="J14" s="1364">
        <v>32.810528213448713</v>
      </c>
      <c r="K14" s="1486">
        <f t="shared" si="1"/>
        <v>4.0997999673159152E-3</v>
      </c>
      <c r="L14" s="1931"/>
      <c r="M14" s="1907"/>
      <c r="N14" s="1365"/>
      <c r="O14" s="1949"/>
      <c r="P14" s="1949"/>
      <c r="Q14" s="312"/>
      <c r="R14" s="312"/>
      <c r="S14" s="312"/>
      <c r="T14" s="312"/>
    </row>
    <row r="15" spans="1:20" s="191" customFormat="1">
      <c r="A15" s="1339">
        <v>5581</v>
      </c>
      <c r="B15" s="617" t="s">
        <v>180</v>
      </c>
      <c r="C15" s="57">
        <v>2539</v>
      </c>
      <c r="D15" s="57">
        <v>937</v>
      </c>
      <c r="E15" s="57">
        <v>590</v>
      </c>
      <c r="F15" s="57">
        <v>262</v>
      </c>
      <c r="G15" s="57">
        <v>8</v>
      </c>
      <c r="H15" s="1363">
        <f t="shared" si="0"/>
        <v>2269</v>
      </c>
      <c r="I15" s="1366">
        <f>IF(C15&gt;0,H15*1000000/M12,"")</f>
        <v>404.06652263449234</v>
      </c>
      <c r="J15" s="1366">
        <v>372.27330088336038</v>
      </c>
      <c r="K15" s="1486">
        <f t="shared" si="1"/>
        <v>8.5402906079190807E-2</v>
      </c>
      <c r="L15" s="1920"/>
      <c r="M15" s="1907"/>
      <c r="N15" s="1365"/>
      <c r="O15" s="1949"/>
      <c r="P15" s="1949"/>
      <c r="Q15" s="312"/>
      <c r="R15" s="312"/>
      <c r="S15" s="312"/>
      <c r="T15" s="312"/>
    </row>
    <row r="16" spans="1:20" s="191" customFormat="1">
      <c r="A16" s="1339">
        <v>5582</v>
      </c>
      <c r="B16" s="617" t="s">
        <v>179</v>
      </c>
      <c r="C16" s="57">
        <v>1134</v>
      </c>
      <c r="D16" s="57">
        <v>693</v>
      </c>
      <c r="E16" s="57">
        <v>163</v>
      </c>
      <c r="F16" s="57">
        <v>30</v>
      </c>
      <c r="G16" s="57">
        <v>8</v>
      </c>
      <c r="H16" s="1363">
        <f t="shared" si="0"/>
        <v>1096</v>
      </c>
      <c r="I16" s="1364">
        <f>IF(C16&gt;0,H16*1000000/M12,"")</f>
        <v>195.17713036906287</v>
      </c>
      <c r="J16" s="1364">
        <v>193.61817198485667</v>
      </c>
      <c r="K16" s="1486">
        <f t="shared" si="1"/>
        <v>8.0517152301599181E-3</v>
      </c>
      <c r="L16" s="1931"/>
      <c r="M16" s="1907"/>
      <c r="N16" s="1365"/>
      <c r="O16" s="1949"/>
      <c r="P16" s="1949"/>
      <c r="Q16" s="312"/>
      <c r="R16" s="312"/>
      <c r="S16" s="312"/>
      <c r="T16" s="312"/>
    </row>
    <row r="17" spans="1:20" s="191" customFormat="1">
      <c r="A17" s="1339">
        <v>5583</v>
      </c>
      <c r="B17" s="617" t="s">
        <v>181</v>
      </c>
      <c r="C17" s="57">
        <v>671</v>
      </c>
      <c r="D17" s="57">
        <v>365</v>
      </c>
      <c r="E17" s="57">
        <v>53</v>
      </c>
      <c r="F17" s="57">
        <v>38</v>
      </c>
      <c r="G17" s="57">
        <v>10</v>
      </c>
      <c r="H17" s="1363">
        <f t="shared" si="0"/>
        <v>623</v>
      </c>
      <c r="I17" s="1364">
        <f>IF(C17&gt;0,H17*1000000/M12,"")</f>
        <v>110.9446644342392</v>
      </c>
      <c r="J17" s="1366">
        <v>102.93852532900667</v>
      </c>
      <c r="K17" s="1486">
        <f t="shared" si="1"/>
        <v>7.7775925773598723E-2</v>
      </c>
      <c r="L17" s="1931"/>
      <c r="M17" s="1907"/>
      <c r="N17" s="1365"/>
      <c r="O17" s="312"/>
      <c r="P17" s="312"/>
      <c r="Q17" s="312"/>
      <c r="R17" s="312"/>
      <c r="S17" s="312"/>
      <c r="T17" s="312"/>
    </row>
    <row r="18" spans="1:20" s="191" customFormat="1">
      <c r="A18" s="1340">
        <v>558</v>
      </c>
      <c r="B18" s="790" t="s">
        <v>220</v>
      </c>
      <c r="C18" s="359">
        <f>SUM(C15:C17)</f>
        <v>4344</v>
      </c>
      <c r="D18" s="359">
        <f>SUM(D15:D17)</f>
        <v>1995</v>
      </c>
      <c r="E18" s="359">
        <f>SUM(E15:E17)</f>
        <v>806</v>
      </c>
      <c r="F18" s="359">
        <f>SUM(F15:F17)</f>
        <v>330</v>
      </c>
      <c r="G18" s="359">
        <f>SUM(G15:G17)</f>
        <v>26</v>
      </c>
      <c r="H18" s="1363">
        <f t="shared" si="0"/>
        <v>3988</v>
      </c>
      <c r="I18" s="1364">
        <f>IF(C18&gt;0,H18*1000000/M12,"")</f>
        <v>710.18831743779447</v>
      </c>
      <c r="J18" s="1364">
        <v>668.82999819722374</v>
      </c>
      <c r="K18" s="1486">
        <f t="shared" si="1"/>
        <v>6.1836818551872182E-2</v>
      </c>
      <c r="L18" s="1920"/>
      <c r="M18" s="1907"/>
      <c r="N18" s="1365"/>
      <c r="O18" s="312"/>
      <c r="P18" s="312"/>
      <c r="Q18" s="312"/>
      <c r="R18" s="312"/>
      <c r="S18" s="312"/>
      <c r="T18" s="312"/>
    </row>
    <row r="19" spans="1:20" s="248" customFormat="1">
      <c r="A19" s="1340">
        <v>55999</v>
      </c>
      <c r="B19" s="790" t="s">
        <v>225</v>
      </c>
      <c r="C19" s="359">
        <f>C13+C14+C15+C16+C17</f>
        <v>7842</v>
      </c>
      <c r="D19" s="359">
        <f>D13+D14+D15+D16+D17</f>
        <v>2843</v>
      </c>
      <c r="E19" s="359">
        <f>E13+E14+E15+E16+E17</f>
        <v>2848</v>
      </c>
      <c r="F19" s="359">
        <f>F13+F14+F15+F16+F17</f>
        <v>452</v>
      </c>
      <c r="G19" s="359">
        <f>G13+G14+G15+G16+G17</f>
        <v>82</v>
      </c>
      <c r="H19" s="1367"/>
      <c r="I19" s="1368"/>
      <c r="J19" s="1368"/>
      <c r="K19" s="1368"/>
      <c r="L19" s="1931"/>
      <c r="M19" s="1907"/>
      <c r="N19" s="1365"/>
      <c r="O19" s="312"/>
      <c r="P19" s="312"/>
      <c r="Q19" s="312"/>
      <c r="R19" s="312"/>
      <c r="S19" s="312"/>
      <c r="T19" s="312"/>
    </row>
    <row r="20" spans="1:20" s="248" customFormat="1" ht="13.5" thickBot="1">
      <c r="A20" s="1341"/>
      <c r="B20" s="1342"/>
      <c r="C20" s="2302"/>
      <c r="D20" s="2303"/>
      <c r="E20" s="2303"/>
      <c r="F20" s="2302"/>
      <c r="G20" s="2302"/>
      <c r="H20" s="1369"/>
      <c r="I20" s="1370"/>
      <c r="J20" s="1370"/>
      <c r="K20" s="1837"/>
      <c r="L20" s="1908"/>
      <c r="M20" s="1909"/>
      <c r="N20" s="1365"/>
      <c r="O20" s="312"/>
      <c r="P20" s="312"/>
      <c r="Q20" s="312"/>
      <c r="R20" s="312"/>
      <c r="S20" s="312"/>
      <c r="T20" s="312"/>
    </row>
    <row r="21" spans="1:20" s="191" customFormat="1">
      <c r="A21" s="1343">
        <v>569</v>
      </c>
      <c r="B21" s="1332" t="s">
        <v>536</v>
      </c>
      <c r="C21" s="377">
        <f>Drift!P80</f>
        <v>20311</v>
      </c>
      <c r="D21" s="2268">
        <f>SUM(Drift!C80:D80)</f>
        <v>9263</v>
      </c>
      <c r="E21" s="2268">
        <f>Drift!F80</f>
        <v>6739</v>
      </c>
      <c r="F21" s="377">
        <f>Drift!V80</f>
        <v>692</v>
      </c>
      <c r="G21" s="378">
        <f>Motpart!Y33+Motpart!Z33</f>
        <v>188</v>
      </c>
      <c r="H21" s="1371">
        <f t="shared" ref="H21:H26" si="2">C21-F21-G21</f>
        <v>19431</v>
      </c>
      <c r="I21" s="1364">
        <f>IF(C21&gt;0,H21*1000000/M21,"")</f>
        <v>8086.5326832256569</v>
      </c>
      <c r="J21" s="1364">
        <v>7985.5748833262624</v>
      </c>
      <c r="K21" s="1487">
        <f t="shared" ref="K21:K26" si="3">IF(ISERROR((I21-J21)/J21),"",((I21-J21)/J21))</f>
        <v>1.2642521217876578E-2</v>
      </c>
      <c r="L21" s="1841"/>
      <c r="M21" s="1835">
        <v>2402884</v>
      </c>
      <c r="N21" s="1372" t="s">
        <v>573</v>
      </c>
      <c r="O21" s="312"/>
      <c r="P21" s="312"/>
      <c r="Q21" s="312"/>
      <c r="R21" s="312"/>
      <c r="S21" s="312"/>
      <c r="T21" s="312"/>
    </row>
    <row r="22" spans="1:20" s="191" customFormat="1">
      <c r="A22" s="1339">
        <v>554</v>
      </c>
      <c r="B22" s="612" t="s">
        <v>221</v>
      </c>
      <c r="C22" s="57">
        <v>6802</v>
      </c>
      <c r="D22" s="57">
        <v>1642</v>
      </c>
      <c r="E22" s="57">
        <v>4067</v>
      </c>
      <c r="F22" s="57">
        <v>227</v>
      </c>
      <c r="G22" s="113">
        <f>Motpart!Y34+Motpart!Z34</f>
        <v>55</v>
      </c>
      <c r="H22" s="1371">
        <f t="shared" si="2"/>
        <v>6520</v>
      </c>
      <c r="I22" s="1364">
        <f>IF(C22&gt;0,H22*1000000/M21,"")</f>
        <v>2713.4060570547726</v>
      </c>
      <c r="J22" s="1364">
        <v>2794.2299533305049</v>
      </c>
      <c r="K22" s="1486">
        <f t="shared" si="3"/>
        <v>-2.8925284470376709E-2</v>
      </c>
      <c r="L22" s="1931"/>
      <c r="M22" s="1907"/>
      <c r="N22" s="1365"/>
      <c r="O22" s="2109"/>
      <c r="P22" s="2109"/>
      <c r="Q22" s="312"/>
      <c r="R22" s="312"/>
      <c r="S22" s="312"/>
      <c r="T22" s="312"/>
    </row>
    <row r="23" spans="1:20" s="191" customFormat="1">
      <c r="A23" s="1339">
        <v>557</v>
      </c>
      <c r="B23" s="612" t="s">
        <v>184</v>
      </c>
      <c r="C23" s="57">
        <v>7120</v>
      </c>
      <c r="D23" s="57">
        <v>3775</v>
      </c>
      <c r="E23" s="57">
        <v>1846</v>
      </c>
      <c r="F23" s="57">
        <v>172</v>
      </c>
      <c r="G23" s="57">
        <v>36</v>
      </c>
      <c r="H23" s="1371">
        <f t="shared" si="2"/>
        <v>6912</v>
      </c>
      <c r="I23" s="1364">
        <f>IF(C23&gt;0,H23*1000000/M21,"")</f>
        <v>2876.5433537365934</v>
      </c>
      <c r="J23" s="1364">
        <v>2712.7704709376326</v>
      </c>
      <c r="K23" s="1486">
        <f t="shared" si="3"/>
        <v>6.0371079880692943E-2</v>
      </c>
      <c r="L23" s="1931"/>
      <c r="M23" s="1907"/>
      <c r="N23" s="1365"/>
      <c r="O23" s="2109"/>
      <c r="P23" s="2109"/>
      <c r="Q23" s="312"/>
      <c r="R23" s="312"/>
      <c r="S23" s="312"/>
      <c r="T23" s="312"/>
    </row>
    <row r="24" spans="1:20" s="191" customFormat="1">
      <c r="A24" s="1339">
        <v>5681</v>
      </c>
      <c r="B24" s="612" t="s">
        <v>179</v>
      </c>
      <c r="C24" s="57">
        <v>3769</v>
      </c>
      <c r="D24" s="57">
        <v>2176</v>
      </c>
      <c r="E24" s="57">
        <v>659</v>
      </c>
      <c r="F24" s="57">
        <v>124</v>
      </c>
      <c r="G24" s="57">
        <v>27</v>
      </c>
      <c r="H24" s="1371">
        <f t="shared" si="2"/>
        <v>3618</v>
      </c>
      <c r="I24" s="1364">
        <f>IF(C24&gt;0,H24*1000000/M21,"")</f>
        <v>1505.6906617214979</v>
      </c>
      <c r="J24" s="1364">
        <v>1506.5761561306747</v>
      </c>
      <c r="K24" s="1486">
        <f t="shared" si="3"/>
        <v>-5.8775283650511169E-4</v>
      </c>
      <c r="L24" s="1920"/>
      <c r="M24" s="1907"/>
      <c r="N24" s="1365"/>
      <c r="O24" s="2109"/>
      <c r="P24" s="2109"/>
      <c r="Q24" s="312"/>
      <c r="R24" s="312"/>
      <c r="S24" s="312"/>
      <c r="T24" s="312"/>
    </row>
    <row r="25" spans="1:20" s="191" customFormat="1">
      <c r="A25" s="1339">
        <v>5682</v>
      </c>
      <c r="B25" s="612" t="s">
        <v>181</v>
      </c>
      <c r="C25" s="57">
        <v>2620</v>
      </c>
      <c r="D25" s="57">
        <v>1670</v>
      </c>
      <c r="E25" s="57">
        <v>167</v>
      </c>
      <c r="F25" s="57">
        <v>169</v>
      </c>
      <c r="G25" s="58">
        <v>70</v>
      </c>
      <c r="H25" s="1371">
        <f t="shared" si="2"/>
        <v>2381</v>
      </c>
      <c r="I25" s="1364">
        <f>IF(C25&gt;0,H25*1000000/M21,"")</f>
        <v>990.8926107127935</v>
      </c>
      <c r="J25" s="1364">
        <v>971.99830292745014</v>
      </c>
      <c r="K25" s="1486">
        <f t="shared" si="3"/>
        <v>1.9438622195571496E-2</v>
      </c>
      <c r="L25" s="1931"/>
      <c r="M25" s="1907"/>
      <c r="N25" s="1365"/>
      <c r="O25" s="2109"/>
      <c r="P25" s="2109"/>
      <c r="Q25" s="312"/>
      <c r="R25" s="312"/>
      <c r="S25" s="312"/>
      <c r="T25" s="312"/>
    </row>
    <row r="26" spans="1:20" s="191" customFormat="1">
      <c r="A26" s="1340">
        <v>568</v>
      </c>
      <c r="B26" s="633" t="s">
        <v>227</v>
      </c>
      <c r="C26" s="359">
        <f>SUM(C24:C25)</f>
        <v>6389</v>
      </c>
      <c r="D26" s="359">
        <f>SUM(D24:D25)</f>
        <v>3846</v>
      </c>
      <c r="E26" s="359">
        <f>SUM(E24:E25)</f>
        <v>826</v>
      </c>
      <c r="F26" s="359">
        <f>SUM(F24:F25)</f>
        <v>293</v>
      </c>
      <c r="G26" s="359">
        <f>SUM(G24:G25)</f>
        <v>97</v>
      </c>
      <c r="H26" s="1371">
        <f t="shared" si="2"/>
        <v>5999</v>
      </c>
      <c r="I26" s="1364">
        <f>IF(C26&gt;0,H26*1000000/M21,"")</f>
        <v>2496.5832724342913</v>
      </c>
      <c r="J26" s="1364">
        <v>2478.5744590581248</v>
      </c>
      <c r="K26" s="1486">
        <f t="shared" si="3"/>
        <v>7.2657947839137923E-3</v>
      </c>
      <c r="L26" s="1931"/>
      <c r="M26" s="1907"/>
      <c r="N26" s="1365"/>
      <c r="O26" s="312"/>
      <c r="P26" s="312"/>
      <c r="Q26" s="312"/>
      <c r="R26" s="312"/>
      <c r="S26" s="312"/>
      <c r="T26" s="312"/>
    </row>
    <row r="27" spans="1:20" s="191" customFormat="1">
      <c r="A27" s="1340">
        <v>56999</v>
      </c>
      <c r="B27" s="790" t="s">
        <v>185</v>
      </c>
      <c r="C27" s="359">
        <f>SUM(C22+C23+C24+C25)</f>
        <v>20311</v>
      </c>
      <c r="D27" s="359">
        <f>SUM(D22+D23+D24+D25)</f>
        <v>9263</v>
      </c>
      <c r="E27" s="359">
        <f>SUM(E22+E23+E24+E25)</f>
        <v>6739</v>
      </c>
      <c r="F27" s="359">
        <f>SUM(F22+F23+F24+F25)</f>
        <v>692</v>
      </c>
      <c r="G27" s="359">
        <f>SUM(G22+G23+G24+G25)</f>
        <v>188</v>
      </c>
      <c r="H27" s="1367"/>
      <c r="I27" s="1368"/>
      <c r="J27" s="1368"/>
      <c r="K27" s="1368"/>
      <c r="L27" s="1920"/>
      <c r="M27" s="1907"/>
      <c r="N27" s="1365"/>
      <c r="O27" s="312"/>
      <c r="P27" s="312"/>
      <c r="Q27" s="312"/>
      <c r="R27" s="312"/>
      <c r="S27" s="312"/>
      <c r="T27" s="312"/>
    </row>
    <row r="28" spans="1:20" s="191" customFormat="1" ht="13.5" thickBot="1">
      <c r="A28" s="1341"/>
      <c r="B28" s="1344"/>
      <c r="C28" s="2302"/>
      <c r="D28" s="2303"/>
      <c r="E28" s="2303"/>
      <c r="F28" s="2302"/>
      <c r="G28" s="2302"/>
      <c r="H28" s="1369"/>
      <c r="I28" s="1370"/>
      <c r="J28" s="1370"/>
      <c r="K28" s="1837"/>
      <c r="L28" s="1910"/>
      <c r="M28" s="1909"/>
      <c r="N28" s="1373"/>
      <c r="O28" s="312"/>
      <c r="P28" s="312"/>
      <c r="Q28" s="312"/>
      <c r="R28" s="312"/>
      <c r="S28" s="312"/>
      <c r="T28" s="312"/>
    </row>
    <row r="29" spans="1:20" s="191" customFormat="1">
      <c r="A29" s="1339">
        <v>571</v>
      </c>
      <c r="B29" s="612" t="s">
        <v>186</v>
      </c>
      <c r="C29" s="377">
        <f>Drift!P81</f>
        <v>2662</v>
      </c>
      <c r="D29" s="2268">
        <f>SUM(Drift!C81:D81)</f>
        <v>926</v>
      </c>
      <c r="E29" s="2268">
        <f>Drift!F81</f>
        <v>694</v>
      </c>
      <c r="F29" s="377">
        <f>Drift!V81</f>
        <v>215</v>
      </c>
      <c r="G29" s="57">
        <v>41</v>
      </c>
      <c r="H29" s="1371">
        <f t="shared" ref="H29:H34" si="4">C29-F29-G29</f>
        <v>2406</v>
      </c>
      <c r="I29" s="1364">
        <f>IF(C29&gt;0,H29*1000000/M12,"")</f>
        <v>428.46366393062522</v>
      </c>
      <c r="J29" s="1364">
        <v>365.42275103659637</v>
      </c>
      <c r="K29" s="1487">
        <f t="shared" ref="K29:K34" si="5">IF(ISERROR((I29-J29)/J29),"",((I29-J29)/J29))</f>
        <v>0.1725150191530232</v>
      </c>
      <c r="L29" s="1841"/>
      <c r="M29" s="1835"/>
      <c r="N29" s="1372"/>
      <c r="O29" s="312"/>
      <c r="P29" s="312"/>
      <c r="Q29" s="312"/>
      <c r="R29" s="312"/>
      <c r="S29" s="312"/>
      <c r="T29" s="312"/>
    </row>
    <row r="30" spans="1:20" s="191" customFormat="1">
      <c r="A30" s="1339">
        <v>575</v>
      </c>
      <c r="B30" s="612" t="s">
        <v>112</v>
      </c>
      <c r="C30" s="113">
        <f>Drift!P82</f>
        <v>13572</v>
      </c>
      <c r="D30" s="2269">
        <f>SUM(Drift!C82:D82)</f>
        <v>2577</v>
      </c>
      <c r="E30" s="2269">
        <f>Drift!F82</f>
        <v>60</v>
      </c>
      <c r="F30" s="113">
        <f>Drift!V82</f>
        <v>141</v>
      </c>
      <c r="G30" s="57">
        <v>5</v>
      </c>
      <c r="H30" s="1371">
        <f t="shared" si="4"/>
        <v>13426</v>
      </c>
      <c r="I30" s="1364">
        <f>IF(C30&gt;0,H30*1000000/M30,"")</f>
        <v>1343.2510737954688</v>
      </c>
      <c r="J30" s="1364">
        <v>1378.8447873312355</v>
      </c>
      <c r="K30" s="1486">
        <f t="shared" si="5"/>
        <v>-2.5814155344241908E-2</v>
      </c>
      <c r="L30" s="1931"/>
      <c r="M30" s="1835">
        <v>9995153</v>
      </c>
      <c r="N30" s="1376" t="s">
        <v>574</v>
      </c>
      <c r="O30" s="1498"/>
      <c r="P30" s="1498"/>
      <c r="Q30" s="312"/>
      <c r="R30" s="312"/>
      <c r="S30" s="312"/>
      <c r="T30" s="312"/>
    </row>
    <row r="31" spans="1:20" s="191" customFormat="1" ht="13.5" thickBot="1">
      <c r="A31" s="1345">
        <v>580</v>
      </c>
      <c r="B31" s="591" t="s">
        <v>189</v>
      </c>
      <c r="C31" s="93">
        <f>C12+C21+C29+C30</f>
        <v>44387</v>
      </c>
      <c r="D31" s="93">
        <f>D12+D21+D29+D30</f>
        <v>15609</v>
      </c>
      <c r="E31" s="93">
        <f>E12+E21+E29+E30</f>
        <v>10341</v>
      </c>
      <c r="F31" s="93">
        <f>F12+F21+F29+F30</f>
        <v>1500</v>
      </c>
      <c r="G31" s="93">
        <f>G12+G21+G29+G30</f>
        <v>316</v>
      </c>
      <c r="H31" s="1374">
        <f t="shared" si="4"/>
        <v>42571</v>
      </c>
      <c r="I31" s="1375">
        <f>IF(C31&gt;0,H31*1000000/M30,"")</f>
        <v>4259.1644169929168</v>
      </c>
      <c r="J31" s="1375">
        <v>4210.2324637092679</v>
      </c>
      <c r="K31" s="1488">
        <f t="shared" si="5"/>
        <v>1.1622150013194103E-2</v>
      </c>
      <c r="L31" s="1935"/>
      <c r="M31" s="1838"/>
      <c r="N31" s="1839"/>
      <c r="O31" s="1498"/>
      <c r="P31" s="1498"/>
      <c r="Q31" s="312"/>
      <c r="R31" s="312"/>
      <c r="S31" s="312"/>
      <c r="T31" s="312"/>
    </row>
    <row r="32" spans="1:20" s="191" customFormat="1">
      <c r="A32" s="1340">
        <v>585</v>
      </c>
      <c r="B32" s="633" t="s">
        <v>537</v>
      </c>
      <c r="C32" s="113">
        <f>Drift!P84</f>
        <v>914</v>
      </c>
      <c r="D32" s="2269">
        <f>SUM(Drift!C84:D84)</f>
        <v>593</v>
      </c>
      <c r="E32" s="2269">
        <f>Drift!F84</f>
        <v>109</v>
      </c>
      <c r="F32" s="113">
        <f>Drift!V84</f>
        <v>30</v>
      </c>
      <c r="G32" s="359">
        <f>SUM(G33:G34)</f>
        <v>47</v>
      </c>
      <c r="H32" s="1371">
        <f t="shared" si="4"/>
        <v>837</v>
      </c>
      <c r="I32" s="1364">
        <f>IF(C32&gt;0,H32*1000000/M32,"")</f>
        <v>403.10016292566922</v>
      </c>
      <c r="J32" s="1364">
        <v>384.19753086419752</v>
      </c>
      <c r="K32" s="1487">
        <f t="shared" si="5"/>
        <v>4.9200295532750911E-2</v>
      </c>
      <c r="L32" s="1841"/>
      <c r="M32" s="1835">
        <v>2076407</v>
      </c>
      <c r="N32" s="1376" t="s">
        <v>575</v>
      </c>
      <c r="O32" s="312"/>
      <c r="P32" s="312"/>
      <c r="Q32" s="312"/>
      <c r="R32" s="312"/>
      <c r="S32" s="312"/>
      <c r="T32" s="312"/>
    </row>
    <row r="33" spans="1:20" s="191" customFormat="1">
      <c r="A33" s="1339">
        <v>5851</v>
      </c>
      <c r="B33" s="612" t="s">
        <v>187</v>
      </c>
      <c r="C33" s="57">
        <v>621</v>
      </c>
      <c r="D33" s="57">
        <v>441</v>
      </c>
      <c r="E33" s="57">
        <v>37</v>
      </c>
      <c r="F33" s="57">
        <v>20</v>
      </c>
      <c r="G33" s="57">
        <v>20</v>
      </c>
      <c r="H33" s="1371">
        <f t="shared" si="4"/>
        <v>581</v>
      </c>
      <c r="I33" s="1364">
        <f>IF(C33&gt;0,H33*1000000/M33,"")</f>
        <v>279.8102684107692</v>
      </c>
      <c r="J33" s="1364">
        <v>268.14814814814815</v>
      </c>
      <c r="K33" s="1486">
        <f t="shared" si="5"/>
        <v>4.3491332471100583E-2</v>
      </c>
      <c r="L33" s="1931"/>
      <c r="M33" s="1835">
        <f>M32</f>
        <v>2076407</v>
      </c>
      <c r="N33" s="1376" t="s">
        <v>575</v>
      </c>
      <c r="O33" s="1498"/>
      <c r="P33" s="1498"/>
      <c r="Q33" s="312"/>
      <c r="R33" s="312"/>
      <c r="S33" s="312"/>
      <c r="T33" s="312"/>
    </row>
    <row r="34" spans="1:20" s="191" customFormat="1">
      <c r="A34" s="1339">
        <v>5855</v>
      </c>
      <c r="B34" s="612" t="s">
        <v>188</v>
      </c>
      <c r="C34" s="57">
        <v>293</v>
      </c>
      <c r="D34" s="57">
        <v>152</v>
      </c>
      <c r="E34" s="57">
        <v>72</v>
      </c>
      <c r="F34" s="57">
        <v>10</v>
      </c>
      <c r="G34" s="57">
        <v>27</v>
      </c>
      <c r="H34" s="1371">
        <f t="shared" si="4"/>
        <v>256</v>
      </c>
      <c r="I34" s="1364">
        <f>IF(C34&gt;0,H34*1000000/M34,"")</f>
        <v>39.293002238626713</v>
      </c>
      <c r="J34" s="1364">
        <v>36.332714904143472</v>
      </c>
      <c r="K34" s="1486">
        <f t="shared" si="5"/>
        <v>8.1477185018883402E-2</v>
      </c>
      <c r="L34" s="1931"/>
      <c r="M34" s="1835">
        <v>6515155</v>
      </c>
      <c r="N34" s="1376" t="s">
        <v>576</v>
      </c>
      <c r="O34" s="1498"/>
      <c r="P34" s="1498"/>
      <c r="Q34" s="312"/>
      <c r="R34" s="312"/>
      <c r="S34" s="312"/>
      <c r="T34" s="312"/>
    </row>
    <row r="35" spans="1:20" s="191" customFormat="1">
      <c r="A35" s="1346">
        <v>58599</v>
      </c>
      <c r="B35" s="873" t="s">
        <v>572</v>
      </c>
      <c r="C35" s="359">
        <f>SUM(C33:C34)</f>
        <v>914</v>
      </c>
      <c r="D35" s="359">
        <f>SUM(D33:D34)</f>
        <v>593</v>
      </c>
      <c r="E35" s="359">
        <f>SUM(E33:E34)</f>
        <v>109</v>
      </c>
      <c r="F35" s="359">
        <f>SUM(F33:F34)</f>
        <v>30</v>
      </c>
      <c r="G35" s="359">
        <f>SUM(G33:G34)</f>
        <v>47</v>
      </c>
      <c r="H35" s="1377"/>
      <c r="I35" s="1378"/>
      <c r="J35" s="1378"/>
      <c r="K35" s="1486"/>
      <c r="L35" s="1920"/>
      <c r="M35" s="1835"/>
      <c r="N35" s="1379"/>
      <c r="O35" s="1498"/>
      <c r="P35" s="1498"/>
      <c r="Q35" s="248"/>
      <c r="R35" s="248"/>
      <c r="S35" s="248"/>
      <c r="T35" s="248"/>
    </row>
    <row r="36" spans="1:20" s="191" customFormat="1" ht="13.5" thickBot="1">
      <c r="A36" s="1242"/>
      <c r="B36" s="1347"/>
      <c r="C36" s="2302"/>
      <c r="D36" s="2303"/>
      <c r="E36" s="2303"/>
      <c r="F36" s="2302"/>
      <c r="G36" s="2302"/>
      <c r="H36" s="1380"/>
      <c r="I36" s="1381"/>
      <c r="J36" s="1381"/>
      <c r="K36" s="1488"/>
      <c r="L36" s="1935"/>
      <c r="M36" s="1909"/>
      <c r="N36" s="1382"/>
      <c r="O36" s="1498"/>
      <c r="P36" s="1498"/>
      <c r="Q36" s="248"/>
      <c r="R36" s="248"/>
      <c r="S36" s="248"/>
      <c r="T36" s="248"/>
    </row>
    <row r="37" spans="1:20" s="191" customFormat="1">
      <c r="A37" s="101"/>
      <c r="B37" s="101"/>
      <c r="C37" s="85"/>
      <c r="D37" s="85"/>
      <c r="E37" s="1438"/>
      <c r="F37" s="320"/>
      <c r="G37" s="227"/>
      <c r="H37" s="320"/>
      <c r="I37" s="320"/>
      <c r="J37" s="320"/>
      <c r="K37" s="227"/>
      <c r="L37" s="227"/>
      <c r="M37" s="227"/>
      <c r="N37" s="227"/>
    </row>
    <row r="38" spans="1:20" ht="20.25" customHeight="1">
      <c r="A38" s="293"/>
      <c r="D38" s="85"/>
      <c r="E38" s="85"/>
    </row>
  </sheetData>
  <customSheetViews>
    <customSheetView guid="{27C9E95B-0E2B-454F-B637-1CECC9579A10}" showGridLines="0" hiddenRows="1" hiddenColumns="1" showRuler="0">
      <selection activeCell="E12" sqref="E12"/>
      <pageMargins left="0.31496062992125984" right="0.31496062992125984" top="0.74803149606299213" bottom="0.74803149606299213" header="0.31496062992125984" footer="0.31496062992125984"/>
      <pageSetup paperSize="9" scale="8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3"/>
      <headerFooter>
        <oddHeader>&amp;L&amp;8Statistiska Centralbyrån
Offentlig ekonomi&amp;R&amp;P</oddHeader>
      </headerFooter>
    </customSheetView>
  </customSheetViews>
  <mergeCells count="5">
    <mergeCell ref="E6:E8"/>
    <mergeCell ref="D6:D8"/>
    <mergeCell ref="D9:D11"/>
    <mergeCell ref="G6:G8"/>
    <mergeCell ref="H6:H8"/>
  </mergeCells>
  <phoneticPr fontId="90" type="noConversion"/>
  <conditionalFormatting sqref="G14:G17 G23:G25 G29:G30 C13:C17 F13:F17 C22:C25 F22:F25 C33:C34 F33:G34">
    <cfRule type="cellIs" dxfId="5" priority="3" stopIfTrue="1" operator="lessThan">
      <formula>-500</formula>
    </cfRule>
    <cfRule type="cellIs" dxfId="4" priority="4" stopIfTrue="1" operator="lessThan">
      <formula>0</formula>
    </cfRule>
  </conditionalFormatting>
  <conditionalFormatting sqref="D13:E17 D22:E25 D33:E34">
    <cfRule type="cellIs" dxfId="3" priority="1" stopIfTrue="1" operator="lessThan">
      <formula>-500</formula>
    </cfRule>
    <cfRule type="cellIs" dxfId="2" priority="2" stopIfTrue="1" operator="lessThan">
      <formula>0</formula>
    </cfRule>
  </conditionalFormatting>
  <dataValidations count="1">
    <dataValidation type="decimal" operator="lessThan" allowBlank="1" showInputMessage="1" showErrorMessage="1" error="Beloppet ska vara i 1000 tal kronor" sqref="G14:G17 G23:G25 G29:G30 C33:G34 C22:F25 C13:F17">
      <formula1>99999999</formula1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landscape" r:id="rId4"/>
  <headerFooter>
    <oddHeader>&amp;L&amp;8Statistiska Centralbyrån
Offentlig ekonomi&amp;R&amp;P</oddHeader>
  </headerFooter>
  <ignoredErrors>
    <ignoredError sqref="D12 C18:G18 C26:G26 D29:D32 D21" formulaRange="1"/>
    <ignoredError sqref="I31" formula="1"/>
  </ignoredErrors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>
      <selection activeCell="G59" sqref="G59"/>
    </sheetView>
  </sheetViews>
  <sheetFormatPr defaultRowHeight="12.75"/>
  <cols>
    <col min="1" max="1" width="26.140625" bestFit="1" customWidth="1"/>
    <col min="2" max="2" width="29.85546875" bestFit="1" customWidth="1"/>
  </cols>
  <sheetData>
    <row r="1" spans="1:2">
      <c r="A1">
        <f>Drift!$X$120</f>
        <v>0</v>
      </c>
      <c r="B1" t="s">
        <v>1009</v>
      </c>
    </row>
    <row r="2" spans="1:2">
      <c r="A2" s="356" t="str">
        <f>'Verks int o kostn'!$D$76</f>
        <v/>
      </c>
      <c r="B2" t="s">
        <v>1010</v>
      </c>
    </row>
    <row r="3" spans="1:2">
      <c r="A3">
        <f>RR!$E$7</f>
        <v>0</v>
      </c>
      <c r="B3" t="s">
        <v>1011</v>
      </c>
    </row>
    <row r="4" spans="1:2">
      <c r="A4">
        <f>BR!$F$79</f>
        <v>0</v>
      </c>
      <c r="B4" t="s">
        <v>1012</v>
      </c>
    </row>
    <row r="5" spans="1:2">
      <c r="A5">
        <f>BR!$F$61</f>
        <v>0</v>
      </c>
      <c r="B5" t="s">
        <v>1013</v>
      </c>
    </row>
    <row r="6" spans="1:2">
      <c r="A6">
        <f>'Verks int o kostn'!$E$20</f>
        <v>0</v>
      </c>
      <c r="B6" t="s">
        <v>1014</v>
      </c>
    </row>
    <row r="7" spans="1:2">
      <c r="A7">
        <f>'Verks int o kostn'!$E$21</f>
        <v>0</v>
      </c>
      <c r="B7" t="s">
        <v>1015</v>
      </c>
    </row>
    <row r="8" spans="1:2">
      <c r="A8">
        <f>'Verks int o kostn'!$J$23</f>
        <v>0</v>
      </c>
      <c r="B8" t="s">
        <v>1016</v>
      </c>
    </row>
    <row r="9" spans="1:2">
      <c r="A9" s="356">
        <f>'Verks int o kostn'!$J$45</f>
        <v>0</v>
      </c>
      <c r="B9" t="s">
        <v>1017</v>
      </c>
    </row>
    <row r="10" spans="1:2">
      <c r="A10">
        <f>'Verks int o kostn'!$J$23</f>
        <v>0</v>
      </c>
      <c r="B10" t="s">
        <v>1016</v>
      </c>
    </row>
    <row r="11" spans="1:2">
      <c r="A11">
        <f>'Verks int o kostn'!$J$41</f>
        <v>0</v>
      </c>
      <c r="B11" t="s">
        <v>1018</v>
      </c>
    </row>
    <row r="12" spans="1:2">
      <c r="A12" s="356">
        <f>'Verks int o kostn'!$J$45</f>
        <v>0</v>
      </c>
      <c r="B12" t="s">
        <v>1017</v>
      </c>
    </row>
    <row r="13" spans="1:2">
      <c r="A13">
        <f>'Skatter, bidrag o fin poster'!$E$11</f>
        <v>0</v>
      </c>
      <c r="B13" t="s">
        <v>1019</v>
      </c>
    </row>
    <row r="14" spans="1:2">
      <c r="A14">
        <f>'Skatter, bidrag o fin poster'!$Q$23</f>
        <v>0</v>
      </c>
      <c r="B14" t="s">
        <v>1020</v>
      </c>
    </row>
    <row r="15" spans="1:2">
      <c r="A15" s="356" t="str">
        <f>Investeringar!$C$16</f>
        <v/>
      </c>
      <c r="B15" t="s">
        <v>1021</v>
      </c>
    </row>
    <row r="16" spans="1:2">
      <c r="A16" s="356" t="str">
        <f>Investeringar!$D$16</f>
        <v/>
      </c>
      <c r="B16" t="s">
        <v>1022</v>
      </c>
    </row>
    <row r="17" spans="1:2">
      <c r="A17" s="356" t="str">
        <f>Investeringar!$E$16</f>
        <v/>
      </c>
      <c r="B17" t="s">
        <v>1023</v>
      </c>
    </row>
    <row r="18" spans="1:2">
      <c r="A18">
        <f>Investeringar!$I$66</f>
        <v>0</v>
      </c>
      <c r="B18" t="s">
        <v>1024</v>
      </c>
    </row>
    <row r="19" spans="1:2">
      <c r="A19" s="356" t="str">
        <f>Investeringar!$F$16</f>
        <v/>
      </c>
      <c r="B19" t="s">
        <v>1025</v>
      </c>
    </row>
    <row r="20" spans="1:2">
      <c r="A20">
        <f>Drift!$AD$113</f>
        <v>0</v>
      </c>
      <c r="B20" t="s">
        <v>1026</v>
      </c>
    </row>
    <row r="21" spans="1:2">
      <c r="A21">
        <f>Drift!$AD$116</f>
        <v>0</v>
      </c>
      <c r="B21" t="s">
        <v>1027</v>
      </c>
    </row>
    <row r="22" spans="1:2">
      <c r="A22">
        <f>Drift!$N$114</f>
        <v>0</v>
      </c>
      <c r="B22" t="s">
        <v>1028</v>
      </c>
    </row>
    <row r="23" spans="1:2">
      <c r="A23" t="e">
        <f>Drift!#REF!</f>
        <v>#REF!</v>
      </c>
      <c r="B23" t="s">
        <v>1029</v>
      </c>
    </row>
    <row r="24" spans="1:2">
      <c r="A24">
        <f>Drift!$Q$122</f>
        <v>0</v>
      </c>
      <c r="B24" t="s">
        <v>1030</v>
      </c>
    </row>
    <row r="25" spans="1:2">
      <c r="A25">
        <f>Drift!$W$123</f>
        <v>0</v>
      </c>
      <c r="B25" t="s">
        <v>1031</v>
      </c>
    </row>
    <row r="26" spans="1:2">
      <c r="A26" t="str">
        <f>Drift!$X$119</f>
        <v>Kommentera belopp</v>
      </c>
      <c r="B26" t="s">
        <v>1032</v>
      </c>
    </row>
    <row r="27" spans="1:2">
      <c r="A27">
        <f>Motpart!$M$41</f>
        <v>0</v>
      </c>
      <c r="B27" t="s">
        <v>1033</v>
      </c>
    </row>
    <row r="28" spans="1:2">
      <c r="A28">
        <f>Motpart!$U$43</f>
        <v>0</v>
      </c>
      <c r="B28" t="s">
        <v>1034</v>
      </c>
    </row>
    <row r="29" spans="1:2">
      <c r="A29" s="356">
        <f>Motpart!$X$41</f>
        <v>0</v>
      </c>
      <c r="B29" t="s">
        <v>1035</v>
      </c>
    </row>
    <row r="30" spans="1:2">
      <c r="A30" s="356">
        <f>Motpart!$Y$43</f>
        <v>0</v>
      </c>
      <c r="B30" t="s">
        <v>1036</v>
      </c>
    </row>
    <row r="31" spans="1:2">
      <c r="A31" s="356">
        <f>Motpart!$Z$43</f>
        <v>0</v>
      </c>
      <c r="B31" t="s">
        <v>1037</v>
      </c>
    </row>
    <row r="32" spans="1:2">
      <c r="A32" s="356">
        <f>Motpart!$AA$43</f>
        <v>0</v>
      </c>
      <c r="B32" t="s">
        <v>1038</v>
      </c>
    </row>
    <row r="33" spans="1:2">
      <c r="A33" s="356">
        <f>Motpart!$AB$43</f>
        <v>0</v>
      </c>
      <c r="B33" t="s">
        <v>1039</v>
      </c>
    </row>
    <row r="34" spans="1:2">
      <c r="A34" s="356">
        <f>Motpart!$AC$43</f>
        <v>0</v>
      </c>
      <c r="B34" t="s">
        <v>1040</v>
      </c>
    </row>
    <row r="35" spans="1:2">
      <c r="A35" t="e">
        <f>Motpart!#REF!</f>
        <v>#REF!</v>
      </c>
      <c r="B35" t="s">
        <v>1041</v>
      </c>
    </row>
    <row r="36" spans="1:2">
      <c r="A36" t="e">
        <f>Motpart!#REF!</f>
        <v>#REF!</v>
      </c>
      <c r="B36" t="s">
        <v>1042</v>
      </c>
    </row>
    <row r="37" spans="1:2">
      <c r="A37">
        <f>'Pedagogisk verksamhet'!$N$43</f>
        <v>0</v>
      </c>
      <c r="B37" t="s">
        <v>1043</v>
      </c>
    </row>
    <row r="38" spans="1:2">
      <c r="A38">
        <f>'Pedagogisk verksamhet'!$N$53</f>
        <v>0</v>
      </c>
      <c r="B38" t="s">
        <v>1044</v>
      </c>
    </row>
    <row r="39" spans="1:2">
      <c r="A39">
        <f>'Pedagogisk verksamhet'!$N$67</f>
        <v>0</v>
      </c>
      <c r="B39" t="s">
        <v>1046</v>
      </c>
    </row>
    <row r="40" spans="1:2">
      <c r="A40" s="356" t="e">
        <f>#REF!</f>
        <v>#REF!</v>
      </c>
      <c r="B40" t="s">
        <v>1045</v>
      </c>
    </row>
    <row r="41" spans="1:2">
      <c r="A41" s="356" t="e">
        <f>#REF!</f>
        <v>#REF!</v>
      </c>
      <c r="B41" t="s">
        <v>1047</v>
      </c>
    </row>
    <row r="42" spans="1:2">
      <c r="A42" s="356" t="e">
        <f>#REF!</f>
        <v>#REF!</v>
      </c>
      <c r="B42" t="s">
        <v>1048</v>
      </c>
    </row>
    <row r="43" spans="1:2">
      <c r="A43" s="356" t="e">
        <f>#REF!</f>
        <v>#REF!</v>
      </c>
      <c r="B43" t="s">
        <v>1049</v>
      </c>
    </row>
    <row r="44" spans="1:2">
      <c r="A44" s="356" t="e">
        <f>#REF!</f>
        <v>#REF!</v>
      </c>
      <c r="B44" t="s">
        <v>1050</v>
      </c>
    </row>
    <row r="45" spans="1:2">
      <c r="A45" s="356" t="e">
        <f>#REF!</f>
        <v>#REF!</v>
      </c>
      <c r="B45" t="s">
        <v>1051</v>
      </c>
    </row>
    <row r="46" spans="1:2">
      <c r="A46" s="356" t="e">
        <f>#REF!</f>
        <v>#REF!</v>
      </c>
      <c r="B46" t="s">
        <v>1052</v>
      </c>
    </row>
    <row r="47" spans="1:2">
      <c r="A47" s="356" t="e">
        <f>#REF!</f>
        <v>#REF!</v>
      </c>
      <c r="B47" t="s">
        <v>1053</v>
      </c>
    </row>
    <row r="48" spans="1:2">
      <c r="A48" s="356" t="e">
        <f>#REF!</f>
        <v>#REF!</v>
      </c>
      <c r="B48" t="s">
        <v>1054</v>
      </c>
    </row>
    <row r="49" spans="1:2">
      <c r="A49" s="356" t="e">
        <f>#REF!</f>
        <v>#REF!</v>
      </c>
      <c r="B49" t="s">
        <v>1055</v>
      </c>
    </row>
    <row r="50" spans="1:2">
      <c r="A50" s="356" t="e">
        <f>#REF!</f>
        <v>#REF!</v>
      </c>
      <c r="B50" t="s">
        <v>1056</v>
      </c>
    </row>
    <row r="51" spans="1:2">
      <c r="A51" s="356" t="e">
        <f>#REF!</f>
        <v>#REF!</v>
      </c>
      <c r="B51" t="s">
        <v>1057</v>
      </c>
    </row>
    <row r="52" spans="1:2">
      <c r="A52" s="356" t="e">
        <f>#REF!</f>
        <v>#REF!</v>
      </c>
      <c r="B52" t="s">
        <v>1058</v>
      </c>
    </row>
    <row r="53" spans="1:2">
      <c r="A53" s="356" t="e">
        <f>#REF!</f>
        <v>#REF!</v>
      </c>
      <c r="B53" t="s">
        <v>1059</v>
      </c>
    </row>
    <row r="54" spans="1:2">
      <c r="A54" s="356">
        <f>'Äldre o personer funktionsn'!$P$20</f>
        <v>0</v>
      </c>
      <c r="B54" t="s">
        <v>1060</v>
      </c>
    </row>
    <row r="55" spans="1:2">
      <c r="A55" s="356">
        <f>'Äldre o personer funktionsn'!$P$30</f>
        <v>0</v>
      </c>
      <c r="B55" t="s">
        <v>1061</v>
      </c>
    </row>
    <row r="56" spans="1:2">
      <c r="A56" s="356">
        <f>'Äldre o personer funktionsn'!$P$38</f>
        <v>0</v>
      </c>
      <c r="B56" t="s">
        <v>1062</v>
      </c>
    </row>
    <row r="57" spans="1:2">
      <c r="A57">
        <f>'Äldre o personer funktionsn'!$D$59</f>
        <v>0</v>
      </c>
      <c r="B57" t="s">
        <v>1063</v>
      </c>
    </row>
    <row r="58" spans="1:2">
      <c r="A58" s="356">
        <f>IFO!$L$30</f>
        <v>0</v>
      </c>
      <c r="B58" t="s">
        <v>1064</v>
      </c>
    </row>
    <row r="59" spans="1:2">
      <c r="A59" s="356">
        <f>IFO!$L$20</f>
        <v>0</v>
      </c>
      <c r="B59" t="s">
        <v>1065</v>
      </c>
    </row>
    <row r="60" spans="1:2">
      <c r="A60" s="356">
        <f>IFO!$L$28</f>
        <v>0</v>
      </c>
      <c r="B60" t="s">
        <v>1066</v>
      </c>
    </row>
    <row r="61" spans="1:2">
      <c r="A61" s="356">
        <f>IFO!$L$36</f>
        <v>0</v>
      </c>
      <c r="B61" t="s">
        <v>1067</v>
      </c>
    </row>
  </sheetData>
  <sheetProtection password="CBF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5"/>
  <sheetViews>
    <sheetView showGridLines="0" zoomScaleNormal="100" workbookViewId="0">
      <pane ySplit="1" topLeftCell="A2" activePane="bottomLeft" state="frozen"/>
      <selection activeCell="F32" sqref="F32"/>
      <selection pane="bottomLeft" activeCell="A2" sqref="A2"/>
    </sheetView>
  </sheetViews>
  <sheetFormatPr defaultColWidth="0" defaultRowHeight="12.75" zeroHeight="1"/>
  <cols>
    <col min="1" max="1" width="4" style="190" customWidth="1"/>
    <col min="2" max="2" width="33.140625" style="190" customWidth="1"/>
    <col min="3" max="3" width="11.5703125" style="190" customWidth="1"/>
    <col min="4" max="4" width="11.7109375" style="190" customWidth="1"/>
    <col min="5" max="5" width="4" style="190" customWidth="1"/>
    <col min="6" max="6" width="5.7109375" style="190" customWidth="1"/>
    <col min="7" max="7" width="24" style="190" customWidth="1"/>
    <col min="8" max="8" width="15" style="190" customWidth="1"/>
    <col min="9" max="10" width="9.140625" style="190" customWidth="1"/>
    <col min="11" max="11" width="10.140625" style="190" customWidth="1"/>
    <col min="12" max="12" width="0" style="190" hidden="1" customWidth="1"/>
    <col min="13" max="16384" width="9.140625" style="190" hidden="1"/>
  </cols>
  <sheetData>
    <row r="1" spans="1:11" ht="21.75">
      <c r="A1" s="90" t="str">
        <f>"Resultaträkning "&amp;År&amp;", miljoner kronor"</f>
        <v>Resultaträkning 2016, miljoner kronor</v>
      </c>
      <c r="B1" s="91"/>
      <c r="C1" s="91"/>
      <c r="D1" s="91"/>
      <c r="E1" s="91"/>
      <c r="F1" s="558" t="s">
        <v>494</v>
      </c>
      <c r="G1" s="559" t="str">
        <f>'Kn Information'!B2</f>
        <v>RIKSTOTAL</v>
      </c>
      <c r="H1" s="189"/>
      <c r="I1" s="189"/>
      <c r="J1" s="189"/>
      <c r="K1" s="189"/>
    </row>
    <row r="2" spans="1:11" ht="12.75" customHeight="1">
      <c r="A2" s="1385"/>
      <c r="C2" s="1710"/>
      <c r="D2" s="164"/>
      <c r="G2" s="1711"/>
      <c r="H2" s="1490"/>
      <c r="I2" s="164"/>
    </row>
    <row r="3" spans="1:11" ht="12.75" customHeight="1" thickBot="1">
      <c r="C3" s="1710"/>
      <c r="D3" s="164"/>
      <c r="H3" s="1490"/>
      <c r="I3" s="164"/>
    </row>
    <row r="4" spans="1:11" ht="12.75" customHeight="1">
      <c r="A4" s="658" t="s">
        <v>701</v>
      </c>
      <c r="B4" s="659"/>
      <c r="C4" s="1725" t="s">
        <v>703</v>
      </c>
      <c r="D4" s="670" t="s">
        <v>829</v>
      </c>
      <c r="G4" s="4"/>
      <c r="H4" s="4"/>
      <c r="I4" s="2341" t="s">
        <v>499</v>
      </c>
      <c r="J4" s="2342"/>
      <c r="K4" s="191"/>
    </row>
    <row r="5" spans="1:11" ht="12.75" customHeight="1">
      <c r="A5" s="660" t="s">
        <v>704</v>
      </c>
      <c r="B5" s="661"/>
      <c r="C5" s="671" t="s">
        <v>1278</v>
      </c>
      <c r="D5" s="672" t="s">
        <v>1278</v>
      </c>
      <c r="E5" s="2"/>
      <c r="F5" s="4"/>
      <c r="G5" s="4"/>
      <c r="H5" s="4"/>
      <c r="I5" s="675" t="s">
        <v>703</v>
      </c>
      <c r="J5" s="676" t="s">
        <v>829</v>
      </c>
      <c r="K5" s="191"/>
    </row>
    <row r="6" spans="1:11" ht="12.75" customHeight="1">
      <c r="A6" s="660"/>
      <c r="B6" s="662"/>
      <c r="C6" s="661"/>
      <c r="D6" s="673"/>
      <c r="E6" s="2"/>
      <c r="F6" s="4"/>
      <c r="G6" s="4"/>
      <c r="H6" s="4"/>
      <c r="I6" s="677"/>
      <c r="J6" s="678"/>
      <c r="K6" s="191"/>
    </row>
    <row r="7" spans="1:11">
      <c r="A7" s="643" t="s">
        <v>304</v>
      </c>
      <c r="B7" s="663" t="s">
        <v>850</v>
      </c>
      <c r="C7" s="195">
        <v>165976</v>
      </c>
      <c r="D7" s="196">
        <v>308524</v>
      </c>
      <c r="E7" s="200"/>
      <c r="F7" s="76"/>
      <c r="G7" s="76"/>
      <c r="H7" s="4"/>
      <c r="I7" s="679">
        <f>C7*1000000/invanare</f>
        <v>16605.648757952978</v>
      </c>
      <c r="J7" s="680">
        <f>D7*1000000/invanare</f>
        <v>30867.361410075464</v>
      </c>
      <c r="K7" s="191"/>
    </row>
    <row r="8" spans="1:11">
      <c r="A8" s="641" t="s">
        <v>305</v>
      </c>
      <c r="B8" s="663" t="s">
        <v>851</v>
      </c>
      <c r="C8" s="195">
        <v>647557</v>
      </c>
      <c r="D8" s="196">
        <v>735652</v>
      </c>
      <c r="E8" s="200"/>
      <c r="F8" s="76"/>
      <c r="G8" s="76"/>
      <c r="H8" s="4"/>
      <c r="I8" s="681">
        <f>C8*1000000/invanare*-1</f>
        <v>-64787.102308488924</v>
      </c>
      <c r="J8" s="680">
        <f>D8*1000000/invanare*-1</f>
        <v>-73600.874343794436</v>
      </c>
      <c r="K8" s="191"/>
    </row>
    <row r="9" spans="1:11">
      <c r="A9" s="641" t="s">
        <v>306</v>
      </c>
      <c r="B9" s="663" t="s">
        <v>705</v>
      </c>
      <c r="C9" s="72">
        <v>22336</v>
      </c>
      <c r="D9" s="197">
        <v>50290</v>
      </c>
      <c r="E9" s="200"/>
      <c r="F9" s="76"/>
      <c r="G9" s="76"/>
      <c r="H9" s="4"/>
      <c r="I9" s="679">
        <f>C9*1000000/invanare*-1</f>
        <v>-2234.6831509232525</v>
      </c>
      <c r="J9" s="680">
        <f>D9*1000000/invanare*-1</f>
        <v>-5031.4387383564817</v>
      </c>
      <c r="K9" s="191"/>
    </row>
    <row r="10" spans="1:11" ht="13.5" thickBot="1">
      <c r="A10" s="634" t="s">
        <v>307</v>
      </c>
      <c r="B10" s="664" t="s">
        <v>706</v>
      </c>
      <c r="C10" s="380">
        <f>C7-SUM(C8:C9)</f>
        <v>-503917</v>
      </c>
      <c r="D10" s="381">
        <f>D7-SUM(D8:D9)</f>
        <v>-477418</v>
      </c>
      <c r="E10" s="201"/>
      <c r="F10" s="76"/>
      <c r="G10" s="76"/>
      <c r="H10" s="4"/>
      <c r="I10" s="682">
        <f t="shared" ref="I10:J12" si="0">C10*1000000/invanare</f>
        <v>-50416.136701459196</v>
      </c>
      <c r="J10" s="680">
        <f t="shared" si="0"/>
        <v>-47764.951672075455</v>
      </c>
      <c r="K10" s="191"/>
    </row>
    <row r="11" spans="1:11">
      <c r="A11" s="665" t="s">
        <v>308</v>
      </c>
      <c r="B11" s="666" t="s">
        <v>707</v>
      </c>
      <c r="C11" s="112">
        <f>'Skatter, bidrag o fin poster'!D14</f>
        <v>432910</v>
      </c>
      <c r="D11" s="1383">
        <f>C11</f>
        <v>432910</v>
      </c>
      <c r="E11" s="201"/>
      <c r="F11" s="76"/>
      <c r="G11" s="76"/>
      <c r="H11" s="4"/>
      <c r="I11" s="683">
        <f t="shared" si="0"/>
        <v>43311.993323163741</v>
      </c>
      <c r="J11" s="684">
        <f t="shared" si="0"/>
        <v>43311.993323163741</v>
      </c>
      <c r="K11" s="191"/>
    </row>
    <row r="12" spans="1:11" ht="18">
      <c r="A12" s="641" t="s">
        <v>309</v>
      </c>
      <c r="B12" s="667" t="s">
        <v>219</v>
      </c>
      <c r="C12" s="113">
        <f>'Skatter, bidrag o fin poster'!D28-'Skatter, bidrag o fin poster'!D39+'Skatter, bidrag o fin poster'!D41</f>
        <v>88978</v>
      </c>
      <c r="D12" s="1384">
        <f>C12</f>
        <v>88978</v>
      </c>
      <c r="E12" s="201"/>
      <c r="F12" s="76"/>
      <c r="G12" s="76"/>
      <c r="H12" s="4"/>
      <c r="I12" s="679">
        <f t="shared" si="0"/>
        <v>8902.1148550702528</v>
      </c>
      <c r="J12" s="685">
        <f t="shared" si="0"/>
        <v>8902.1148550702528</v>
      </c>
      <c r="K12" s="191"/>
    </row>
    <row r="13" spans="1:11">
      <c r="A13" s="643" t="s">
        <v>310</v>
      </c>
      <c r="B13" s="668" t="s">
        <v>708</v>
      </c>
      <c r="C13" s="195">
        <v>8885</v>
      </c>
      <c r="D13" s="196">
        <v>6603</v>
      </c>
      <c r="E13" s="200"/>
      <c r="F13" s="88"/>
      <c r="G13" s="76"/>
      <c r="H13" s="4"/>
      <c r="I13" s="2344">
        <f>(C13-C14)*1000000/invanare</f>
        <v>366.7777771886033</v>
      </c>
      <c r="J13" s="2346">
        <f>(D13-D14)*1000000/invanare</f>
        <v>-476.93116853739008</v>
      </c>
      <c r="K13" s="191"/>
    </row>
    <row r="14" spans="1:11">
      <c r="A14" s="643" t="s">
        <v>311</v>
      </c>
      <c r="B14" s="668" t="s">
        <v>709</v>
      </c>
      <c r="C14" s="195">
        <v>5219</v>
      </c>
      <c r="D14" s="196">
        <v>11370</v>
      </c>
      <c r="E14" s="200"/>
      <c r="F14" s="88"/>
      <c r="G14" s="76"/>
      <c r="H14" s="4"/>
      <c r="I14" s="2345"/>
      <c r="J14" s="2347"/>
      <c r="K14" s="191"/>
    </row>
    <row r="15" spans="1:11" ht="13.5" thickBot="1">
      <c r="A15" s="589" t="s">
        <v>312</v>
      </c>
      <c r="B15" s="669" t="s">
        <v>710</v>
      </c>
      <c r="C15" s="380">
        <f>SUM(C10:C13)-C14</f>
        <v>21637</v>
      </c>
      <c r="D15" s="382">
        <f>SUM(D10:D13)-D14</f>
        <v>39703</v>
      </c>
      <c r="E15" s="201"/>
      <c r="G15" s="1702"/>
      <c r="H15" s="192"/>
      <c r="I15" s="679">
        <f>C15*1000000/invanare</f>
        <v>2164.7492539633959</v>
      </c>
      <c r="J15" s="686">
        <f>D15*1000000/invanare</f>
        <v>3972.2253376211452</v>
      </c>
      <c r="K15" s="191"/>
    </row>
    <row r="16" spans="1:11">
      <c r="A16" s="665" t="s">
        <v>235</v>
      </c>
      <c r="B16" s="666" t="s">
        <v>711</v>
      </c>
      <c r="C16" s="195">
        <v>77</v>
      </c>
      <c r="D16" s="196">
        <v>106</v>
      </c>
      <c r="E16" s="199"/>
      <c r="F16" s="248"/>
      <c r="G16" s="2336"/>
      <c r="H16" s="192"/>
      <c r="I16" s="2344">
        <f>(C16-C17)*1000000/invanare</f>
        <v>-20.109747194465157</v>
      </c>
      <c r="J16" s="2346">
        <f>(D16-D17-D18)*1000000/invanare</f>
        <v>-284.73801251466585</v>
      </c>
      <c r="K16" s="191"/>
    </row>
    <row r="17" spans="1:11">
      <c r="A17" s="643" t="s">
        <v>236</v>
      </c>
      <c r="B17" s="663" t="s">
        <v>712</v>
      </c>
      <c r="C17" s="195">
        <v>278</v>
      </c>
      <c r="D17" s="196">
        <v>272</v>
      </c>
      <c r="E17" s="199"/>
      <c r="F17" s="248"/>
      <c r="G17" s="2336"/>
      <c r="H17" s="192"/>
      <c r="I17" s="2345"/>
      <c r="J17" s="2347"/>
      <c r="K17" s="191"/>
    </row>
    <row r="18" spans="1:11">
      <c r="A18" s="641" t="s">
        <v>313</v>
      </c>
      <c r="B18" s="668" t="s">
        <v>692</v>
      </c>
      <c r="C18" s="379"/>
      <c r="D18" s="197">
        <v>2680</v>
      </c>
      <c r="E18" s="200"/>
      <c r="F18" s="248"/>
      <c r="G18" s="2336"/>
      <c r="H18" s="192"/>
      <c r="I18" s="1726"/>
      <c r="J18" s="687"/>
      <c r="K18" s="191"/>
    </row>
    <row r="19" spans="1:11" ht="13.5" thickBot="1">
      <c r="A19" s="634" t="s">
        <v>237</v>
      </c>
      <c r="B19" s="664" t="s">
        <v>713</v>
      </c>
      <c r="C19" s="380">
        <f>SUM(C15:C16)-C17</f>
        <v>21436</v>
      </c>
      <c r="D19" s="382">
        <f>SUM(D15:D16)-D17-D18</f>
        <v>36857</v>
      </c>
      <c r="E19" s="201"/>
      <c r="F19" s="248"/>
      <c r="G19" s="2336"/>
      <c r="H19" s="192"/>
      <c r="I19" s="682">
        <f>C19*1000000/invanare</f>
        <v>2144.6395067689309</v>
      </c>
      <c r="J19" s="688">
        <f>D19*1000000/invanare</f>
        <v>3687.4873251064791</v>
      </c>
      <c r="K19" s="191"/>
    </row>
    <row r="20" spans="1:11" ht="15.75" customHeight="1" thickBot="1">
      <c r="A20" s="16"/>
      <c r="B20" s="3"/>
      <c r="C20" s="3"/>
      <c r="D20" s="3"/>
      <c r="E20" s="2"/>
      <c r="F20" s="193"/>
      <c r="G20" s="243"/>
      <c r="H20" s="192"/>
      <c r="I20" s="4"/>
      <c r="J20" s="4"/>
      <c r="K20" s="191"/>
    </row>
    <row r="21" spans="1:11" ht="18" customHeight="1" thickBot="1">
      <c r="A21" s="87" t="s">
        <v>160</v>
      </c>
      <c r="B21" s="4"/>
      <c r="C21" s="4"/>
      <c r="D21" s="4"/>
      <c r="E21" s="4"/>
      <c r="F21" s="192"/>
      <c r="G21" s="1702"/>
      <c r="H21" s="192"/>
      <c r="I21" s="1727" t="s">
        <v>499</v>
      </c>
      <c r="J21" s="194"/>
      <c r="K21" s="191"/>
    </row>
    <row r="22" spans="1:11">
      <c r="A22" s="137">
        <v>130</v>
      </c>
      <c r="B22" s="1665" t="s">
        <v>161</v>
      </c>
      <c r="C22" s="383">
        <f>C19</f>
        <v>21436</v>
      </c>
      <c r="D22" s="4"/>
      <c r="E22" s="4"/>
      <c r="F22" s="192"/>
      <c r="G22" s="2335"/>
      <c r="H22" s="192"/>
      <c r="I22" s="1728">
        <f>C22*1000000/invanare</f>
        <v>2144.6395067689309</v>
      </c>
      <c r="J22" s="192"/>
      <c r="K22" s="191"/>
    </row>
    <row r="23" spans="1:11">
      <c r="A23" s="138">
        <v>131</v>
      </c>
      <c r="B23" s="674" t="s">
        <v>162</v>
      </c>
      <c r="C23" s="114">
        <v>6916</v>
      </c>
      <c r="D23" s="200"/>
      <c r="E23" s="4"/>
      <c r="F23" s="192"/>
      <c r="G23" s="2336"/>
      <c r="H23" s="192"/>
      <c r="I23" s="1729"/>
      <c r="J23" s="192"/>
      <c r="K23" s="191"/>
    </row>
    <row r="24" spans="1:11">
      <c r="A24" s="138">
        <v>132</v>
      </c>
      <c r="B24" s="674" t="s">
        <v>163</v>
      </c>
      <c r="C24" s="114">
        <v>4626</v>
      </c>
      <c r="D24" s="200"/>
      <c r="E24" s="4"/>
      <c r="G24" s="2336"/>
      <c r="H24" s="192"/>
      <c r="I24" s="690"/>
      <c r="J24" s="192"/>
      <c r="K24" s="191"/>
    </row>
    <row r="25" spans="1:11">
      <c r="A25" s="138">
        <v>135</v>
      </c>
      <c r="B25" s="674" t="s">
        <v>164</v>
      </c>
      <c r="C25" s="198">
        <v>19</v>
      </c>
      <c r="D25" s="200"/>
      <c r="E25" s="4"/>
      <c r="F25" s="192"/>
      <c r="G25" s="2336"/>
      <c r="H25" s="192"/>
      <c r="I25" s="1730"/>
      <c r="J25" s="192"/>
      <c r="K25" s="191"/>
    </row>
    <row r="26" spans="1:11" ht="16.5" customHeight="1">
      <c r="A26" s="138">
        <v>136</v>
      </c>
      <c r="B26" s="674" t="s">
        <v>165</v>
      </c>
      <c r="C26" s="198">
        <v>1</v>
      </c>
      <c r="D26" s="200"/>
      <c r="E26" s="4"/>
      <c r="F26" s="192"/>
      <c r="G26" s="236"/>
      <c r="H26" s="192"/>
      <c r="I26" s="690"/>
      <c r="J26" s="192"/>
      <c r="K26" s="191"/>
    </row>
    <row r="27" spans="1:11" ht="12.75" customHeight="1">
      <c r="A27" s="618">
        <v>140</v>
      </c>
      <c r="B27" s="668" t="s">
        <v>872</v>
      </c>
      <c r="C27" s="198">
        <v>17</v>
      </c>
      <c r="D27" s="200"/>
      <c r="E27" s="4"/>
      <c r="F27" s="192"/>
      <c r="H27" s="192"/>
      <c r="I27" s="690"/>
      <c r="J27" s="4"/>
      <c r="K27" s="191"/>
    </row>
    <row r="28" spans="1:11" ht="12.75" customHeight="1">
      <c r="A28" s="1616">
        <v>141</v>
      </c>
      <c r="B28" s="1443" t="s">
        <v>873</v>
      </c>
      <c r="C28" s="384">
        <f>C22-C23+C24+C25+C26-C27</f>
        <v>19149</v>
      </c>
      <c r="D28" s="200"/>
      <c r="E28" s="4"/>
      <c r="F28" s="4"/>
      <c r="G28" s="1407"/>
      <c r="H28" s="4"/>
      <c r="I28" s="690"/>
      <c r="J28" s="4"/>
      <c r="K28" s="191"/>
    </row>
    <row r="29" spans="1:11" ht="13.5" customHeight="1">
      <c r="A29" s="630">
        <v>142</v>
      </c>
      <c r="B29" s="663" t="s">
        <v>1146</v>
      </c>
      <c r="C29" s="198">
        <v>2074</v>
      </c>
      <c r="D29" s="200"/>
      <c r="E29" s="4"/>
      <c r="F29" s="4"/>
      <c r="G29" s="1407"/>
      <c r="H29" s="4"/>
      <c r="I29" s="690"/>
      <c r="J29" s="4"/>
      <c r="K29" s="191"/>
    </row>
    <row r="30" spans="1:11" ht="12.75" customHeight="1">
      <c r="A30" s="618">
        <v>143</v>
      </c>
      <c r="B30" s="668" t="s">
        <v>1147</v>
      </c>
      <c r="C30" s="198">
        <v>354</v>
      </c>
      <c r="D30" s="200"/>
      <c r="E30" s="4"/>
      <c r="F30" s="4"/>
      <c r="G30" s="1407"/>
      <c r="H30" s="4"/>
      <c r="I30" s="690"/>
      <c r="J30" s="4"/>
      <c r="K30" s="191"/>
    </row>
    <row r="31" spans="1:11" ht="12.75" customHeight="1">
      <c r="A31" s="139">
        <v>133</v>
      </c>
      <c r="B31" s="1443" t="s">
        <v>1148</v>
      </c>
      <c r="C31" s="384">
        <f>C28-C29+C30</f>
        <v>17429</v>
      </c>
      <c r="D31" s="200"/>
      <c r="E31" s="4"/>
      <c r="F31" s="4"/>
      <c r="G31" s="1408"/>
      <c r="H31" s="4"/>
      <c r="I31" s="690">
        <f>C31*1000000/invanare</f>
        <v>1743.7451932951901</v>
      </c>
      <c r="J31" s="4"/>
      <c r="K31" s="191"/>
    </row>
    <row r="32" spans="1:11" ht="31.5" customHeight="1">
      <c r="A32" s="2111"/>
      <c r="B32" s="2204" t="s">
        <v>1257</v>
      </c>
      <c r="C32" s="2112"/>
      <c r="D32" s="200"/>
      <c r="E32" s="4"/>
      <c r="F32" s="4"/>
      <c r="G32" s="1408"/>
      <c r="H32" s="4"/>
      <c r="I32" s="690"/>
      <c r="J32" s="4"/>
      <c r="K32" s="191"/>
    </row>
    <row r="33" spans="1:11" ht="12.75" customHeight="1">
      <c r="A33" s="1731">
        <v>144</v>
      </c>
      <c r="B33" s="1666" t="s">
        <v>1149</v>
      </c>
      <c r="C33" s="1667">
        <v>345</v>
      </c>
      <c r="D33" s="4"/>
      <c r="E33" s="4"/>
      <c r="F33" s="4"/>
      <c r="G33" s="1408"/>
      <c r="H33" s="4"/>
      <c r="I33" s="690"/>
      <c r="J33" s="4"/>
      <c r="K33" s="191"/>
    </row>
    <row r="34" spans="1:11" ht="12.75" customHeight="1">
      <c r="A34" s="618">
        <v>145</v>
      </c>
      <c r="B34" s="1668" t="s">
        <v>1150</v>
      </c>
      <c r="C34" s="198">
        <v>853</v>
      </c>
      <c r="D34" s="4"/>
      <c r="E34" s="4"/>
      <c r="F34" s="4"/>
      <c r="G34" s="1408"/>
      <c r="H34" s="4"/>
      <c r="I34" s="690"/>
      <c r="J34" s="4"/>
      <c r="K34" s="191"/>
    </row>
    <row r="35" spans="1:11" ht="13.5" customHeight="1" thickBot="1">
      <c r="A35" s="140">
        <v>146</v>
      </c>
      <c r="B35" s="1669" t="s">
        <v>1151</v>
      </c>
      <c r="C35" s="381">
        <f>C31-C33+C34</f>
        <v>17937</v>
      </c>
      <c r="D35" s="200"/>
      <c r="E35" s="4"/>
      <c r="F35" s="4"/>
      <c r="G35" s="1408"/>
      <c r="H35" s="4"/>
      <c r="I35" s="689">
        <f>C35*1000000/invanare</f>
        <v>1794.5698279956296</v>
      </c>
      <c r="J35" s="4"/>
      <c r="K35" s="191"/>
    </row>
    <row r="36" spans="1:11" ht="20.25" customHeight="1" thickBot="1">
      <c r="A36" s="1732">
        <v>137</v>
      </c>
      <c r="B36" s="1671" t="s">
        <v>1152</v>
      </c>
      <c r="C36" s="1670">
        <v>180</v>
      </c>
      <c r="D36" s="1415"/>
      <c r="E36" s="4"/>
      <c r="F36" s="4"/>
      <c r="G36" s="1408"/>
      <c r="H36" s="4"/>
      <c r="I36" s="691"/>
      <c r="J36" s="4"/>
      <c r="K36" s="191"/>
    </row>
    <row r="37" spans="1:11" ht="12.75" customHeight="1" thickBot="1">
      <c r="A37" s="191"/>
      <c r="B37" s="191"/>
      <c r="C37" s="191"/>
      <c r="D37" s="4"/>
      <c r="E37" s="4"/>
      <c r="F37" s="4"/>
      <c r="G37" s="4"/>
      <c r="H37" s="4"/>
      <c r="I37" s="4"/>
      <c r="J37" s="4"/>
      <c r="K37" s="191"/>
    </row>
    <row r="38" spans="1:11" ht="21.75" customHeight="1">
      <c r="A38" s="191"/>
      <c r="B38" s="191"/>
      <c r="C38" s="191"/>
      <c r="D38" s="4"/>
      <c r="E38" s="4"/>
      <c r="F38" s="4"/>
      <c r="G38" s="692" t="s">
        <v>578</v>
      </c>
      <c r="H38" s="693"/>
      <c r="I38" s="2341" t="s">
        <v>499</v>
      </c>
      <c r="J38" s="2343"/>
      <c r="K38" s="191"/>
    </row>
    <row r="39" spans="1:11" ht="19.5" customHeight="1">
      <c r="A39" s="191"/>
      <c r="B39" s="191"/>
      <c r="C39" s="191"/>
      <c r="D39" s="4"/>
      <c r="E39" s="4"/>
      <c r="F39" s="191"/>
      <c r="G39" s="694"/>
      <c r="H39" s="695"/>
      <c r="I39" s="696" t="s">
        <v>703</v>
      </c>
      <c r="J39" s="697" t="s">
        <v>829</v>
      </c>
      <c r="K39" s="191"/>
    </row>
    <row r="40" spans="1:11" ht="23.25" customHeight="1">
      <c r="A40" s="4"/>
      <c r="B40" s="4"/>
      <c r="C40" s="4"/>
      <c r="D40" s="191"/>
      <c r="E40" s="191"/>
      <c r="F40" s="191"/>
      <c r="G40" s="2337" t="s">
        <v>596</v>
      </c>
      <c r="H40" s="2338"/>
      <c r="I40" s="679">
        <f>IF(ISERROR(C10*100/SUM(C11:C12)*-1),0,C10*100/SUM(C11:C12)*-1)</f>
        <v>96.55654086700595</v>
      </c>
      <c r="J40" s="698">
        <f>IF(ISERROR(D10*100/SUM(D11:D12)*-1),0,D10*100/SUM(D11:D12)*-1)</f>
        <v>91.479014654485255</v>
      </c>
      <c r="K40" s="191"/>
    </row>
    <row r="41" spans="1:11" ht="12.75" customHeight="1">
      <c r="A41" s="4"/>
      <c r="B41" s="4"/>
      <c r="C41" s="4"/>
      <c r="D41" s="191"/>
      <c r="E41" s="191"/>
      <c r="F41" s="191"/>
      <c r="G41" s="699" t="s">
        <v>597</v>
      </c>
      <c r="H41" s="700"/>
      <c r="I41" s="681">
        <f>IF(ISERROR((C13-C14)*100/SUM(C11:C12)),0,(C13-C14)*100/SUM(C11:C12))</f>
        <v>0.70244956772334299</v>
      </c>
      <c r="J41" s="698">
        <f>IF(ISERROR((D13-D14)*100/SUM(D11:D12)),0,(D13-D14)*100/SUM(D11:D12))</f>
        <v>-0.91341437243239931</v>
      </c>
      <c r="K41" s="191"/>
    </row>
    <row r="42" spans="1:11" ht="19.5" customHeight="1">
      <c r="A42" s="191"/>
      <c r="B42" s="191"/>
      <c r="C42" s="191"/>
      <c r="D42" s="191"/>
      <c r="E42" s="191"/>
      <c r="F42" s="191"/>
      <c r="G42" s="2339" t="s">
        <v>599</v>
      </c>
      <c r="H42" s="2340"/>
      <c r="I42" s="681">
        <f>IF(ISERROR(C15*100/SUM(C11:C12)),0,C15*100/SUM(C11:C12))</f>
        <v>4.1459087007173956</v>
      </c>
      <c r="J42" s="698">
        <f>IF(ISERROR(D15*100/SUM(D11:D12)),0,D15*100/SUM(D11:D12))</f>
        <v>7.6075709730823471</v>
      </c>
      <c r="K42" s="191"/>
    </row>
    <row r="43" spans="1:11" ht="13.5" customHeight="1">
      <c r="A43" s="191"/>
      <c r="B43" s="191"/>
      <c r="C43" s="191"/>
      <c r="D43" s="191"/>
      <c r="E43" s="191"/>
      <c r="F43" s="191"/>
      <c r="G43" s="699" t="s">
        <v>838</v>
      </c>
      <c r="H43" s="700"/>
      <c r="I43" s="681">
        <f>IF(ISERROR(C19*100/SUM(C11:C12)),0,C19*100/SUM(C11:C12))</f>
        <v>4.1073946900484399</v>
      </c>
      <c r="J43" s="698">
        <f>IF(ISERROR(D19*100/SUM(D11:D12)),0,D19*100/SUM(D11:D12))</f>
        <v>7.0622432399288737</v>
      </c>
      <c r="K43" s="191"/>
    </row>
    <row r="44" spans="1:11" ht="14.25" customHeight="1">
      <c r="A44" s="191"/>
      <c r="B44" s="191"/>
      <c r="C44" s="191"/>
      <c r="D44" s="191"/>
      <c r="E44" s="191"/>
      <c r="F44" s="191"/>
      <c r="G44" s="701" t="s">
        <v>600</v>
      </c>
      <c r="H44" s="702"/>
      <c r="I44" s="681">
        <f>IF(C8&gt;0,C7*100/(C8+C9),0)</f>
        <v>24.776494156529477</v>
      </c>
      <c r="J44" s="698">
        <f>IF(D8&gt;0,D7*100/(D8+D9),0)</f>
        <v>39.255314005359175</v>
      </c>
      <c r="K44" s="191"/>
    </row>
    <row r="45" spans="1:11" ht="12.75" customHeight="1">
      <c r="A45" s="191"/>
      <c r="B45" s="191"/>
      <c r="C45" s="191"/>
      <c r="D45" s="191"/>
      <c r="E45" s="191"/>
      <c r="F45" s="191"/>
      <c r="G45" s="701" t="s">
        <v>839</v>
      </c>
      <c r="H45" s="703"/>
      <c r="I45" s="681">
        <f>IF(ISERROR((Investeringar!C7+Investeringar!D7+Investeringar!E7-Investeringar!G66)*100/SUM(C11:C12)),0,(Investeringar!C7+Investeringar!D7+Investeringar!E7-Investeringar!G66)*100/SUM(C11:C12))</f>
        <v>12.338662701575817</v>
      </c>
      <c r="J45" s="704"/>
      <c r="K45" s="191"/>
    </row>
    <row r="46" spans="1:11" ht="12.75" customHeight="1">
      <c r="A46" s="191"/>
      <c r="B46" s="191"/>
      <c r="C46" s="191"/>
      <c r="D46" s="191"/>
      <c r="E46" s="191"/>
      <c r="F46" s="191"/>
      <c r="G46" s="701" t="s">
        <v>580</v>
      </c>
      <c r="H46" s="703"/>
      <c r="I46" s="681">
        <f>IF(ISERROR((Investeringar!C8+Investeringar!D8+Investeringar!E8)*100/SUM(C11:C12)*-1),0,(Investeringar!C8+Investeringar!D8+Investeringar!E8)*100/SUM(C11:C12)*-1)</f>
        <v>1.6110736403212951</v>
      </c>
      <c r="J46" s="705"/>
      <c r="K46" s="191"/>
    </row>
    <row r="47" spans="1:11" ht="12.75" customHeight="1">
      <c r="A47" s="191"/>
      <c r="B47" s="191"/>
      <c r="C47" s="191"/>
      <c r="D47" s="191"/>
      <c r="E47" s="191"/>
      <c r="F47" s="191"/>
      <c r="G47" s="701" t="s">
        <v>581</v>
      </c>
      <c r="H47" s="703"/>
      <c r="I47" s="681">
        <f>IF(ISERROR((Investeringar!C66)/SUM(Investeringar!C8:E8)*-1),0,(Investeringar!C66)/SUM(Investeringar!C8:E8)*-1)</f>
        <v>6.2947193149381544</v>
      </c>
      <c r="J47" s="705"/>
      <c r="K47" s="191"/>
    </row>
    <row r="48" spans="1:11" ht="12.75" customHeight="1" thickBot="1">
      <c r="A48" s="191"/>
      <c r="B48" s="191"/>
      <c r="C48" s="191"/>
      <c r="D48" s="191"/>
      <c r="E48" s="191"/>
      <c r="F48" s="191"/>
      <c r="G48" s="706" t="s">
        <v>579</v>
      </c>
      <c r="H48" s="707"/>
      <c r="I48" s="708">
        <f>IF(ISERROR(BR!D32*100/RR!C8),0,BR!D32*100/RR!C8)</f>
        <v>4.979947711166739</v>
      </c>
      <c r="J48" s="709"/>
      <c r="K48" s="191"/>
    </row>
    <row r="49" spans="1:11" ht="12.75" customHeight="1">
      <c r="A49" s="191"/>
      <c r="B49" s="191"/>
      <c r="C49" s="191"/>
      <c r="D49" s="191"/>
      <c r="E49" s="191"/>
      <c r="F49" s="191"/>
      <c r="G49" s="164"/>
      <c r="H49" s="1447"/>
      <c r="I49" s="1448"/>
      <c r="J49" s="1449"/>
      <c r="K49" s="227"/>
    </row>
    <row r="50" spans="1:11" ht="19.5" customHeight="1">
      <c r="A50" s="191"/>
      <c r="B50" s="191"/>
      <c r="C50" s="191"/>
      <c r="D50" s="191"/>
      <c r="E50" s="191"/>
      <c r="F50" s="191"/>
      <c r="G50" s="164"/>
      <c r="H50" s="1447"/>
      <c r="I50" s="1448"/>
      <c r="J50" s="1449"/>
      <c r="K50" s="227"/>
    </row>
    <row r="51" spans="1:11">
      <c r="A51" s="191"/>
      <c r="B51" s="191"/>
      <c r="C51" s="191"/>
      <c r="D51" s="191"/>
      <c r="E51" s="191"/>
      <c r="F51" s="191"/>
      <c r="G51" s="164"/>
      <c r="H51" s="1447"/>
      <c r="I51" s="1448"/>
      <c r="J51" s="1449"/>
      <c r="K51" s="227"/>
    </row>
    <row r="52" spans="1:11" hidden="1">
      <c r="A52" s="191"/>
      <c r="B52" s="191"/>
      <c r="C52" s="191"/>
      <c r="D52" s="191"/>
      <c r="E52" s="191"/>
      <c r="F52" s="191"/>
      <c r="G52" s="929"/>
      <c r="H52" s="1444"/>
      <c r="I52" s="1445"/>
      <c r="J52" s="1446"/>
      <c r="K52" s="191"/>
    </row>
    <row r="53" spans="1:11" hidden="1">
      <c r="A53" s="191"/>
      <c r="B53" s="191"/>
      <c r="C53" s="191"/>
      <c r="G53" s="929"/>
      <c r="H53" s="1444"/>
      <c r="I53" s="1445"/>
      <c r="J53" s="1446"/>
      <c r="K53" s="191"/>
    </row>
    <row r="54" spans="1:11" hidden="1">
      <c r="A54" s="191"/>
      <c r="B54" s="191"/>
      <c r="C54" s="191"/>
      <c r="G54" s="191"/>
      <c r="H54" s="191"/>
      <c r="I54" s="191"/>
      <c r="J54" s="191"/>
      <c r="K54" s="191"/>
    </row>
    <row r="55" spans="1:11" hidden="1"/>
    <row r="56" spans="1:11" hidden="1"/>
    <row r="57" spans="1:11" hidden="1"/>
    <row r="58" spans="1:11" hidden="1"/>
    <row r="59" spans="1:11" hidden="1"/>
    <row r="60" spans="1:11" hidden="1"/>
    <row r="61" spans="1:11" hidden="1"/>
    <row r="62" spans="1:11" hidden="1"/>
    <row r="63" spans="1:11" hidden="1"/>
    <row r="64" spans="1:11" hidden="1"/>
    <row r="65" hidden="1"/>
  </sheetData>
  <sheetProtection password="CBFD" sheet="1" objects="1" scenarios="1"/>
  <customSheetViews>
    <customSheetView guid="{27C9E95B-0E2B-454F-B637-1CECC9579A10}" showGridLines="0" hiddenRows="1" hiddenColumns="1" showRuler="0">
      <selection activeCell="G15" sqref="G15"/>
      <pageMargins left="0.70866141732283472" right="0.70866141732283472" top="0.74803149606299213" bottom="0.52" header="0.31496062992125984" footer="0.31496062992125984"/>
      <pageSetup paperSize="9" scale="8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selection activeCell="E17" sqref="E17"/>
      <pageMargins left="0.70866141732283472" right="0.70866141732283472" top="0.74803149606299213" bottom="0.52" header="0.31496062992125984" footer="0.31496062992125984"/>
      <pageSetup paperSize="9" scale="8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selection activeCell="E17" sqref="E17"/>
      <pageMargins left="0.70866141732283472" right="0.70866141732283472" top="0.74803149606299213" bottom="0.52" header="0.31496062992125984" footer="0.31496062992125984"/>
      <pageSetup paperSize="9" scale="85" orientation="landscape" r:id="rId3"/>
      <headerFooter>
        <oddHeader>&amp;L&amp;8Statistiska Centralbyrån
Offentlig ekonomi&amp;R&amp;P</oddHeader>
      </headerFooter>
    </customSheetView>
  </customSheetViews>
  <mergeCells count="10">
    <mergeCell ref="G22:G25"/>
    <mergeCell ref="G40:H40"/>
    <mergeCell ref="G42:H42"/>
    <mergeCell ref="I4:J4"/>
    <mergeCell ref="I38:J38"/>
    <mergeCell ref="I13:I14"/>
    <mergeCell ref="J13:J14"/>
    <mergeCell ref="I16:I17"/>
    <mergeCell ref="J16:J17"/>
    <mergeCell ref="G16:G19"/>
  </mergeCells>
  <phoneticPr fontId="90" type="noConversion"/>
  <conditionalFormatting sqref="C7:D9 C13:D14 C16:D17 C33">
    <cfRule type="cellIs" dxfId="86" priority="6" stopIfTrue="1" operator="lessThan">
      <formula>-500</formula>
    </cfRule>
  </conditionalFormatting>
  <conditionalFormatting sqref="C23:C26">
    <cfRule type="cellIs" dxfId="85" priority="8" stopIfTrue="1" operator="lessThan">
      <formula>-5</formula>
    </cfRule>
  </conditionalFormatting>
  <conditionalFormatting sqref="C27">
    <cfRule type="cellIs" dxfId="84" priority="5" stopIfTrue="1" operator="lessThan">
      <formula>-5</formula>
    </cfRule>
  </conditionalFormatting>
  <conditionalFormatting sqref="C29">
    <cfRule type="cellIs" dxfId="83" priority="4" stopIfTrue="1" operator="lessThan">
      <formula>-5</formula>
    </cfRule>
  </conditionalFormatting>
  <conditionalFormatting sqref="C30">
    <cfRule type="cellIs" dxfId="82" priority="3" stopIfTrue="1" operator="lessThan">
      <formula>-5</formula>
    </cfRule>
  </conditionalFormatting>
  <conditionalFormatting sqref="C34">
    <cfRule type="cellIs" dxfId="81" priority="2" stopIfTrue="1" operator="lessThan">
      <formula>-5</formula>
    </cfRule>
  </conditionalFormatting>
  <conditionalFormatting sqref="C36">
    <cfRule type="cellIs" dxfId="80" priority="1" stopIfTrue="1" operator="lessThan">
      <formula>-5</formula>
    </cfRule>
  </conditionalFormatting>
  <dataValidations count="4">
    <dataValidation type="decimal" operator="lessThan" allowBlank="1" showInputMessage="1" showErrorMessage="1" error="Beloppet ska vara i 1000 tal kronor" sqref="C30 C25:C26 D18 C34:C36 C16:D17">
      <formula1>99999999</formula1>
    </dataValidation>
    <dataValidation type="decimal" operator="lessThan" allowBlank="1" showInputMessage="1" showErrorMessage="1" error="Beloppet ska vara i 1000 tal kronoer" sqref="C7:D9">
      <formula1>99999999</formula1>
    </dataValidation>
    <dataValidation type="decimal" operator="lessThan" allowBlank="1" showInputMessage="1" showErrorMessage="1" error="Beloppet ska vara i tusental kronor" sqref="C13:D14">
      <formula1>99999999</formula1>
    </dataValidation>
    <dataValidation type="decimal" allowBlank="1" showInputMessage="1" showErrorMessage="1" error="Beloppet ska vara i 1000 tal kronor_x000a_Inget minusbelopp anges, beräkningen sker automatiskt." sqref="C23:C24 C27 C29 C33">
      <formula1>0</formula1>
      <formula2>99999999</formula2>
    </dataValidation>
  </dataValidations>
  <pageMargins left="0.70866141732283472" right="0.70866141732283472" top="0.74803149606299213" bottom="0.52" header="0.31496062992125984" footer="0.31496062992125984"/>
  <pageSetup paperSize="9" scale="85" orientation="landscape" r:id="rId4"/>
  <headerFooter>
    <oddHeader>&amp;L&amp;8Statistiska Centralbyrån
Offentlig ekonomi&amp;R&amp;P</oddHeader>
  </headerFooter>
  <ignoredErrors>
    <ignoredError sqref="A7:A20" numberStoredAsText="1"/>
    <ignoredError sqref="I14:J14 I23:I30 I17:J18 I33:I34" evalError="1"/>
  </ignoredError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10"/>
  <sheetViews>
    <sheetView showGridLines="0" zoomScaleNormal="100" workbookViewId="0">
      <pane ySplit="1" topLeftCell="A23" activePane="bottomLeft" state="frozen"/>
      <selection activeCell="F32" sqref="F32"/>
      <selection pane="bottomLeft" activeCell="I41" sqref="I41"/>
    </sheetView>
  </sheetViews>
  <sheetFormatPr defaultColWidth="0" defaultRowHeight="12.75" zeroHeight="1"/>
  <cols>
    <col min="1" max="1" width="4" style="161" customWidth="1"/>
    <col min="2" max="2" width="10.85546875" style="161" customWidth="1"/>
    <col min="3" max="3" width="35.85546875" style="161" customWidth="1"/>
    <col min="4" max="4" width="10.5703125" style="161" customWidth="1"/>
    <col min="5" max="5" width="10.140625" style="161" customWidth="1"/>
    <col min="6" max="6" width="9.28515625" style="190" customWidth="1"/>
    <col min="7" max="7" width="4" style="190" customWidth="1"/>
    <col min="8" max="8" width="6.85546875" style="190" customWidth="1"/>
    <col min="9" max="9" width="25.5703125" style="190" customWidth="1"/>
    <col min="10" max="10" width="11.85546875" style="190" customWidth="1"/>
    <col min="11" max="11" width="10.85546875" style="190" customWidth="1"/>
    <col min="12" max="12" width="11.5703125" style="190" customWidth="1"/>
    <col min="13" max="13" width="8.7109375" style="190" customWidth="1"/>
    <col min="14" max="14" width="9.85546875" style="190" customWidth="1"/>
    <col min="15" max="15" width="2.140625" style="190" customWidth="1"/>
    <col min="16" max="16" width="6" style="190" customWidth="1"/>
    <col min="17" max="17" width="9.140625" hidden="1" customWidth="1"/>
    <col min="18" max="20" width="0" style="190" hidden="1" customWidth="1"/>
    <col min="21" max="21" width="9.140625" style="190" hidden="1" customWidth="1"/>
    <col min="22" max="16384" width="0" style="190" hidden="1"/>
  </cols>
  <sheetData>
    <row r="1" spans="1:16" ht="20.25">
      <c r="A1" s="105" t="str">
        <f>"Balansräkning "&amp;År&amp;", miljoner kronor"</f>
        <v>Balansräkning 2016, miljoner kronor</v>
      </c>
      <c r="B1" s="106"/>
      <c r="C1" s="106"/>
      <c r="D1" s="107"/>
      <c r="E1" s="560" t="s">
        <v>494</v>
      </c>
      <c r="F1" s="561" t="str">
        <f>'Kn Information'!B2</f>
        <v>RIKSTOTAL</v>
      </c>
      <c r="G1" s="561"/>
      <c r="H1" s="561"/>
      <c r="I1" s="561"/>
      <c r="J1" s="189"/>
      <c r="K1" s="189"/>
      <c r="L1" s="189"/>
      <c r="M1" s="189"/>
      <c r="N1" s="189"/>
      <c r="O1" s="189"/>
      <c r="P1" s="189"/>
    </row>
    <row r="2" spans="1:16" ht="12.75" customHeight="1">
      <c r="A2" s="1385"/>
      <c r="E2" s="164"/>
      <c r="J2" s="1490"/>
      <c r="K2" s="164"/>
      <c r="L2" s="164"/>
      <c r="M2" s="47"/>
      <c r="N2" s="4"/>
    </row>
    <row r="3" spans="1:16" ht="12.75" customHeight="1" thickBot="1">
      <c r="D3" s="1712"/>
      <c r="E3" s="164"/>
      <c r="M3" s="4"/>
      <c r="N3" s="4"/>
    </row>
    <row r="4" spans="1:16" s="203" customFormat="1">
      <c r="A4" s="710" t="s">
        <v>714</v>
      </c>
      <c r="B4" s="2326" t="s">
        <v>863</v>
      </c>
      <c r="C4" s="1733" t="s">
        <v>833</v>
      </c>
      <c r="D4" s="736" t="s">
        <v>703</v>
      </c>
      <c r="E4" s="737" t="s">
        <v>829</v>
      </c>
      <c r="H4" s="202"/>
      <c r="I4" s="202"/>
      <c r="J4" s="202"/>
      <c r="K4" s="202"/>
      <c r="L4" s="202"/>
      <c r="M4" s="2341" t="s">
        <v>499</v>
      </c>
      <c r="N4" s="2348"/>
      <c r="O4" s="1521"/>
      <c r="P4" s="1440"/>
    </row>
    <row r="5" spans="1:16" s="203" customFormat="1" ht="12" customHeight="1">
      <c r="A5" s="711" t="s">
        <v>704</v>
      </c>
      <c r="B5" s="2353"/>
      <c r="C5" s="712"/>
      <c r="D5" s="738"/>
      <c r="E5" s="739"/>
      <c r="F5" s="202"/>
      <c r="G5" s="202"/>
      <c r="H5" s="202"/>
      <c r="I5" s="202"/>
      <c r="J5" s="202"/>
      <c r="K5" s="202"/>
      <c r="L5" s="202"/>
      <c r="M5" s="747" t="s">
        <v>703</v>
      </c>
      <c r="N5" s="748" t="s">
        <v>829</v>
      </c>
      <c r="O5" s="1521"/>
      <c r="P5" s="2351"/>
    </row>
    <row r="6" spans="1:16" ht="3.75" customHeight="1">
      <c r="A6" s="713"/>
      <c r="B6" s="2354"/>
      <c r="C6" s="714"/>
      <c r="D6" s="740"/>
      <c r="E6" s="741"/>
      <c r="F6" s="4"/>
      <c r="G6" s="4"/>
      <c r="H6" s="4"/>
      <c r="I6" s="4"/>
      <c r="J6" s="4"/>
      <c r="K6" s="4"/>
      <c r="L6" s="4"/>
      <c r="M6" s="749"/>
      <c r="N6" s="750"/>
      <c r="O6" s="1522"/>
      <c r="P6" s="2352"/>
    </row>
    <row r="7" spans="1:16" ht="15">
      <c r="A7" s="715"/>
      <c r="B7" s="716"/>
      <c r="C7" s="717" t="s">
        <v>715</v>
      </c>
      <c r="D7" s="742"/>
      <c r="E7" s="743"/>
      <c r="F7" s="78"/>
      <c r="G7" s="4"/>
      <c r="H7" s="4"/>
      <c r="I7" s="4"/>
      <c r="J7" s="4"/>
      <c r="K7" s="4"/>
      <c r="L7" s="4"/>
      <c r="M7" s="751"/>
      <c r="N7" s="752"/>
      <c r="O7" s="85"/>
    </row>
    <row r="8" spans="1:16" ht="7.5" customHeight="1">
      <c r="A8" s="715"/>
      <c r="B8" s="716"/>
      <c r="C8" s="718"/>
      <c r="D8" s="744"/>
      <c r="E8" s="745"/>
      <c r="F8" s="78"/>
      <c r="G8" s="4"/>
      <c r="H8" s="4"/>
      <c r="I8" s="4"/>
      <c r="J8" s="4"/>
      <c r="K8" s="4"/>
      <c r="L8" s="4"/>
      <c r="M8" s="751"/>
      <c r="N8" s="752"/>
      <c r="O8" s="85"/>
    </row>
    <row r="9" spans="1:16">
      <c r="A9" s="641" t="s">
        <v>314</v>
      </c>
      <c r="B9" s="719">
        <v>10</v>
      </c>
      <c r="C9" s="720" t="s">
        <v>716</v>
      </c>
      <c r="D9" s="206">
        <v>801</v>
      </c>
      <c r="E9" s="487">
        <v>2254</v>
      </c>
      <c r="F9" s="200"/>
      <c r="G9" s="4"/>
      <c r="H9" s="4"/>
      <c r="I9" s="4"/>
      <c r="J9" s="4"/>
      <c r="K9" s="4"/>
      <c r="L9" s="4"/>
      <c r="M9" s="753"/>
      <c r="N9" s="754"/>
      <c r="O9" s="1490"/>
    </row>
    <row r="10" spans="1:16">
      <c r="A10" s="641" t="s">
        <v>315</v>
      </c>
      <c r="B10" s="721">
        <v>11</v>
      </c>
      <c r="C10" s="612" t="s">
        <v>717</v>
      </c>
      <c r="D10" s="206">
        <v>422273</v>
      </c>
      <c r="E10" s="746"/>
      <c r="F10" s="78"/>
      <c r="G10" s="4"/>
      <c r="H10" s="4"/>
      <c r="I10" s="4"/>
      <c r="J10" s="4"/>
      <c r="K10" s="4"/>
      <c r="L10" s="4"/>
      <c r="M10" s="755"/>
      <c r="N10" s="756"/>
      <c r="O10" s="1490"/>
    </row>
    <row r="11" spans="1:16">
      <c r="A11" s="641" t="s">
        <v>316</v>
      </c>
      <c r="B11" s="721">
        <v>12</v>
      </c>
      <c r="C11" s="612" t="s">
        <v>718</v>
      </c>
      <c r="D11" s="206">
        <v>22799</v>
      </c>
      <c r="E11" s="746"/>
      <c r="F11" s="78"/>
      <c r="G11" s="89" t="s">
        <v>500</v>
      </c>
      <c r="H11" s="4"/>
      <c r="I11" s="4"/>
      <c r="J11" s="4"/>
      <c r="K11" s="4"/>
      <c r="L11" s="4"/>
      <c r="M11" s="755"/>
      <c r="N11" s="756"/>
      <c r="O11" s="1490"/>
    </row>
    <row r="12" spans="1:16">
      <c r="A12" s="641" t="s">
        <v>306</v>
      </c>
      <c r="B12" s="722">
        <v>11.12</v>
      </c>
      <c r="C12" s="723" t="s">
        <v>719</v>
      </c>
      <c r="D12" s="385">
        <f>SUM(D10:D11)</f>
        <v>445072</v>
      </c>
      <c r="E12" s="207">
        <v>1112111</v>
      </c>
      <c r="F12" s="200"/>
      <c r="G12" s="1697" t="s">
        <v>622</v>
      </c>
      <c r="H12" s="1697" t="s">
        <v>863</v>
      </c>
      <c r="I12" s="1695"/>
      <c r="J12" s="1696"/>
      <c r="K12" s="4"/>
      <c r="L12" s="4"/>
      <c r="M12" s="679">
        <f>(D9+D12)*1000000/invanare</f>
        <v>44608.921944466485</v>
      </c>
      <c r="N12" s="680">
        <f>(E9+E12)*1000000/invanare</f>
        <v>111490.53946447844</v>
      </c>
      <c r="O12" s="1449"/>
      <c r="P12" s="164"/>
    </row>
    <row r="13" spans="1:16">
      <c r="A13" s="641" t="s">
        <v>317</v>
      </c>
      <c r="B13" s="724" t="s">
        <v>995</v>
      </c>
      <c r="C13" s="668" t="s">
        <v>720</v>
      </c>
      <c r="D13" s="208">
        <v>72536</v>
      </c>
      <c r="E13" s="746"/>
      <c r="F13" s="78"/>
      <c r="G13" s="763" t="s">
        <v>321</v>
      </c>
      <c r="H13" s="764" t="s">
        <v>621</v>
      </c>
      <c r="I13" s="765" t="s">
        <v>4</v>
      </c>
      <c r="J13" s="322">
        <v>61189</v>
      </c>
      <c r="K13" s="4"/>
      <c r="L13" s="4"/>
      <c r="M13" s="757"/>
      <c r="N13" s="758"/>
      <c r="O13" s="1449"/>
      <c r="P13" s="333"/>
    </row>
    <row r="14" spans="1:16">
      <c r="A14" s="641" t="s">
        <v>318</v>
      </c>
      <c r="B14" s="724" t="s">
        <v>994</v>
      </c>
      <c r="C14" s="617" t="s">
        <v>17</v>
      </c>
      <c r="D14" s="208">
        <v>4544</v>
      </c>
      <c r="E14" s="746"/>
      <c r="F14" s="78"/>
      <c r="G14" s="204"/>
      <c r="H14" s="4"/>
      <c r="I14" s="4"/>
      <c r="J14" s="159" t="str">
        <f>IF(D13=0,"",IF(SUM(J13)&gt;D13,"Däravrad 031 &gt; rad 036",IF(J13="","skriv belopp eller 0","")))</f>
        <v/>
      </c>
      <c r="K14" s="4"/>
      <c r="L14" s="4"/>
      <c r="M14" s="757"/>
      <c r="N14" s="758"/>
      <c r="O14" s="1449"/>
    </row>
    <row r="15" spans="1:16">
      <c r="A15" s="641" t="s">
        <v>319</v>
      </c>
      <c r="B15" s="725" t="s">
        <v>9</v>
      </c>
      <c r="C15" s="624" t="s">
        <v>721</v>
      </c>
      <c r="D15" s="206">
        <v>167947</v>
      </c>
      <c r="E15" s="746"/>
      <c r="F15" s="78"/>
      <c r="G15" s="763" t="s">
        <v>322</v>
      </c>
      <c r="H15" s="764" t="s">
        <v>835</v>
      </c>
      <c r="I15" s="1461" t="s">
        <v>5</v>
      </c>
      <c r="J15" s="322">
        <v>136261</v>
      </c>
      <c r="K15" s="4"/>
      <c r="L15" s="4"/>
      <c r="M15" s="759"/>
      <c r="N15" s="760"/>
      <c r="O15" s="1449"/>
      <c r="P15" s="333"/>
    </row>
    <row r="16" spans="1:16">
      <c r="A16" s="641" t="s">
        <v>320</v>
      </c>
      <c r="B16" s="721" t="s">
        <v>992</v>
      </c>
      <c r="C16" s="612" t="s">
        <v>993</v>
      </c>
      <c r="D16" s="206">
        <v>174</v>
      </c>
      <c r="E16" s="746"/>
      <c r="F16" s="78"/>
      <c r="G16" s="204"/>
      <c r="H16" s="4"/>
      <c r="I16" s="4"/>
      <c r="J16" s="159" t="str">
        <f>IF(D15=0,"",IF(SUM(J15)&gt;D15,"Däravrad 034 &gt; rad 033",IF(J15="","skriv belopp eller 0","")))</f>
        <v/>
      </c>
      <c r="K16" s="4"/>
      <c r="L16" s="4"/>
      <c r="M16" s="759"/>
      <c r="N16" s="760"/>
      <c r="O16" s="1449"/>
    </row>
    <row r="17" spans="1:16">
      <c r="A17" s="641" t="s">
        <v>323</v>
      </c>
      <c r="B17" s="726" t="s">
        <v>13</v>
      </c>
      <c r="C17" s="720" t="s">
        <v>722</v>
      </c>
      <c r="D17" s="385">
        <f>SUM(D13:D16)</f>
        <v>245201</v>
      </c>
      <c r="E17" s="209">
        <v>42798</v>
      </c>
      <c r="F17" s="200"/>
      <c r="G17" s="204"/>
      <c r="H17" s="4"/>
      <c r="I17" s="4"/>
      <c r="J17" s="4"/>
      <c r="K17" s="4"/>
      <c r="L17" s="4"/>
      <c r="M17" s="679">
        <f>D17*1000000/invanare</f>
        <v>24531.990655870901</v>
      </c>
      <c r="N17" s="680">
        <f>E17*1000000/invanare</f>
        <v>4281.8754250185066</v>
      </c>
      <c r="O17" s="1449"/>
    </row>
    <row r="18" spans="1:16" ht="13.5" thickBot="1">
      <c r="A18" s="634" t="s">
        <v>324</v>
      </c>
      <c r="B18" s="727" t="s">
        <v>14</v>
      </c>
      <c r="C18" s="626" t="s">
        <v>725</v>
      </c>
      <c r="D18" s="386">
        <f>SUM(D9,D12,D17)</f>
        <v>691074</v>
      </c>
      <c r="E18" s="387">
        <f>SUM(E9,E12,E17)</f>
        <v>1157163</v>
      </c>
      <c r="F18" s="78"/>
      <c r="G18" s="204"/>
      <c r="H18" s="4"/>
      <c r="I18" s="4"/>
      <c r="J18" s="4"/>
      <c r="K18" s="4"/>
      <c r="L18" s="4"/>
      <c r="M18" s="757"/>
      <c r="N18" s="758"/>
      <c r="O18" s="1449"/>
    </row>
    <row r="19" spans="1:16" ht="13.5" thickBot="1">
      <c r="A19" s="589" t="s">
        <v>335</v>
      </c>
      <c r="B19" s="590" t="s">
        <v>12</v>
      </c>
      <c r="C19" s="591" t="s">
        <v>488</v>
      </c>
      <c r="D19" s="1538">
        <v>2582</v>
      </c>
      <c r="E19" s="327">
        <v>2582</v>
      </c>
      <c r="F19" s="200"/>
      <c r="G19" s="4"/>
      <c r="H19" s="4"/>
      <c r="I19" s="4"/>
      <c r="J19" s="4"/>
      <c r="K19" s="4"/>
      <c r="L19" s="4"/>
      <c r="M19" s="679">
        <f>D19*1000000/invanare</f>
        <v>258.32521022939818</v>
      </c>
      <c r="N19" s="686">
        <f>E19*1000000/invanare</f>
        <v>258.32521022939818</v>
      </c>
      <c r="O19" s="1449"/>
    </row>
    <row r="20" spans="1:16" ht="15" customHeight="1">
      <c r="A20" s="728"/>
      <c r="B20" s="729"/>
      <c r="C20" s="730" t="s">
        <v>694</v>
      </c>
      <c r="D20" s="775"/>
      <c r="E20" s="776"/>
      <c r="F20" s="78"/>
      <c r="G20" s="1621" t="s">
        <v>1165</v>
      </c>
      <c r="H20" s="1622" t="s">
        <v>1145</v>
      </c>
      <c r="I20" s="1461" t="s">
        <v>1155</v>
      </c>
      <c r="J20" s="1694">
        <v>9330</v>
      </c>
      <c r="K20" s="4"/>
      <c r="L20" s="4"/>
      <c r="M20" s="761"/>
      <c r="N20" s="762"/>
      <c r="O20" s="1523"/>
    </row>
    <row r="21" spans="1:16" ht="12.75" customHeight="1">
      <c r="A21" s="641" t="s">
        <v>308</v>
      </c>
      <c r="B21" s="731">
        <v>14</v>
      </c>
      <c r="C21" s="612" t="s">
        <v>834</v>
      </c>
      <c r="D21" s="72">
        <v>10020</v>
      </c>
      <c r="E21" s="210">
        <v>13423</v>
      </c>
      <c r="F21" s="260"/>
      <c r="G21" s="1672"/>
      <c r="H21" s="1673"/>
      <c r="I21" s="1674"/>
      <c r="J21" s="159" t="str">
        <f>IF(D21=0,"",IF(SUM(J20)&gt;D21,"Däravrad 04X &gt; rad040",IF(J20="","skriv belopp eller 0","")))</f>
        <v/>
      </c>
      <c r="K21" s="205"/>
      <c r="L21" s="205"/>
      <c r="M21" s="761"/>
      <c r="N21" s="762"/>
      <c r="O21" s="1523"/>
    </row>
    <row r="22" spans="1:16" ht="18" customHeight="1">
      <c r="A22" s="641" t="s">
        <v>325</v>
      </c>
      <c r="B22" s="721" t="s">
        <v>726</v>
      </c>
      <c r="C22" s="612" t="s">
        <v>727</v>
      </c>
      <c r="D22" s="57">
        <v>8566</v>
      </c>
      <c r="E22" s="746"/>
      <c r="F22" s="1413"/>
      <c r="G22" s="763" t="s">
        <v>326</v>
      </c>
      <c r="H22" s="1617" t="s">
        <v>864</v>
      </c>
      <c r="I22" s="765" t="s">
        <v>5</v>
      </c>
      <c r="J22" s="322">
        <v>1634</v>
      </c>
      <c r="K22" s="4"/>
      <c r="L22" s="4"/>
      <c r="M22" s="761"/>
      <c r="N22" s="762"/>
      <c r="O22" s="1523"/>
      <c r="P22" s="333"/>
    </row>
    <row r="23" spans="1:16" ht="15" customHeight="1">
      <c r="A23" s="641" t="s">
        <v>309</v>
      </c>
      <c r="B23" s="721" t="s">
        <v>728</v>
      </c>
      <c r="C23" s="612" t="s">
        <v>729</v>
      </c>
      <c r="D23" s="57">
        <v>107210</v>
      </c>
      <c r="E23" s="746"/>
      <c r="F23" s="1414"/>
      <c r="G23" s="204"/>
      <c r="H23" s="4"/>
      <c r="I23" s="4"/>
      <c r="J23" s="159" t="str">
        <f>IF(D22=0,"",IF(SUM(J22)&gt;D22,"Däravrad 046 &gt; rad045",IF(J22="","skriv belopp eller 0","")))</f>
        <v/>
      </c>
      <c r="K23" s="4"/>
      <c r="L23" s="4"/>
      <c r="M23" s="761"/>
      <c r="N23" s="762"/>
      <c r="O23" s="1523"/>
    </row>
    <row r="24" spans="1:16">
      <c r="A24" s="641" t="s">
        <v>328</v>
      </c>
      <c r="B24" s="721" t="s">
        <v>197</v>
      </c>
      <c r="C24" s="612" t="s">
        <v>598</v>
      </c>
      <c r="D24" s="206">
        <v>23359</v>
      </c>
      <c r="E24" s="746"/>
      <c r="F24" s="1414"/>
      <c r="G24" s="766" t="s">
        <v>327</v>
      </c>
      <c r="H24" s="767" t="s">
        <v>730</v>
      </c>
      <c r="I24" s="768" t="s">
        <v>6</v>
      </c>
      <c r="J24" s="324">
        <v>15729</v>
      </c>
      <c r="K24" s="4"/>
      <c r="L24" s="4"/>
      <c r="M24" s="761"/>
      <c r="N24" s="762"/>
      <c r="O24" s="1523"/>
      <c r="P24" s="333"/>
    </row>
    <row r="25" spans="1:16">
      <c r="A25" s="641" t="s">
        <v>337</v>
      </c>
      <c r="B25" s="721" t="s">
        <v>228</v>
      </c>
      <c r="C25" s="612" t="s">
        <v>533</v>
      </c>
      <c r="D25" s="206">
        <v>2906</v>
      </c>
      <c r="E25" s="746"/>
      <c r="F25" s="1414"/>
      <c r="G25" s="772" t="s">
        <v>336</v>
      </c>
      <c r="H25" s="773" t="s">
        <v>836</v>
      </c>
      <c r="I25" s="774" t="s">
        <v>5</v>
      </c>
      <c r="J25" s="323">
        <v>79879</v>
      </c>
      <c r="K25" s="4"/>
      <c r="L25" s="4"/>
      <c r="M25" s="761"/>
      <c r="N25" s="762"/>
      <c r="O25" s="1523"/>
      <c r="P25" s="333"/>
    </row>
    <row r="26" spans="1:16">
      <c r="A26" s="641" t="s">
        <v>1195</v>
      </c>
      <c r="B26" s="731" t="s">
        <v>1196</v>
      </c>
      <c r="C26" s="633" t="s">
        <v>1254</v>
      </c>
      <c r="D26" s="385">
        <f>SUM(D22:D25)</f>
        <v>142041</v>
      </c>
      <c r="E26" s="210">
        <v>79344</v>
      </c>
      <c r="F26" s="4"/>
      <c r="G26" s="4"/>
      <c r="H26" s="4"/>
      <c r="I26" s="4"/>
      <c r="J26" s="4"/>
      <c r="K26" s="4"/>
      <c r="L26" s="4"/>
      <c r="M26" s="761"/>
      <c r="N26" s="762"/>
      <c r="O26" s="1523"/>
      <c r="P26" s="333"/>
    </row>
    <row r="27" spans="1:16">
      <c r="A27" s="641" t="s">
        <v>329</v>
      </c>
      <c r="B27" s="724" t="s">
        <v>731</v>
      </c>
      <c r="C27" s="617" t="s">
        <v>732</v>
      </c>
      <c r="D27" s="206">
        <v>20930</v>
      </c>
      <c r="E27" s="746"/>
      <c r="F27" s="4"/>
      <c r="G27" s="4"/>
      <c r="H27" s="4"/>
      <c r="I27" s="4"/>
      <c r="J27" s="4"/>
      <c r="K27" s="4"/>
      <c r="L27" s="4"/>
      <c r="M27" s="761"/>
      <c r="N27" s="762"/>
      <c r="O27" s="1523"/>
      <c r="P27" s="333"/>
    </row>
    <row r="28" spans="1:16">
      <c r="A28" s="641" t="s">
        <v>330</v>
      </c>
      <c r="B28" s="724" t="s">
        <v>733</v>
      </c>
      <c r="C28" s="617" t="s">
        <v>735</v>
      </c>
      <c r="D28" s="206">
        <v>18380</v>
      </c>
      <c r="E28" s="746"/>
      <c r="F28" s="1414"/>
      <c r="G28" s="204"/>
      <c r="H28" s="4"/>
      <c r="I28" s="4"/>
      <c r="J28" s="159" t="str">
        <f>IF(D23=0,"",IF(SUM(J24:J26)&gt;D23,"Däravr.051+ 052&gt;rad 050",IF(J24="","skriv belopp eller 0",IF(J25="","skriv belopp eller 0",""))))</f>
        <v/>
      </c>
      <c r="K28" s="4"/>
      <c r="L28" s="4"/>
      <c r="M28" s="761"/>
      <c r="N28" s="762"/>
      <c r="O28" s="1523"/>
    </row>
    <row r="29" spans="1:16">
      <c r="A29" s="641" t="s">
        <v>331</v>
      </c>
      <c r="B29" s="724" t="s">
        <v>736</v>
      </c>
      <c r="C29" s="617" t="s">
        <v>737</v>
      </c>
      <c r="D29" s="206">
        <v>752</v>
      </c>
      <c r="E29" s="746"/>
      <c r="F29" s="1414"/>
      <c r="G29" s="4"/>
      <c r="H29" s="4"/>
      <c r="I29" s="4"/>
      <c r="J29" s="4"/>
      <c r="K29" s="4"/>
      <c r="L29" s="4"/>
      <c r="M29" s="761"/>
      <c r="N29" s="762"/>
      <c r="O29" s="1523"/>
    </row>
    <row r="30" spans="1:16">
      <c r="A30" s="641" t="s">
        <v>332</v>
      </c>
      <c r="B30" s="724" t="s">
        <v>738</v>
      </c>
      <c r="C30" s="617" t="s">
        <v>734</v>
      </c>
      <c r="D30" s="206">
        <v>-75</v>
      </c>
      <c r="E30" s="746"/>
      <c r="F30" s="1414"/>
      <c r="G30" s="4"/>
      <c r="H30" s="4"/>
      <c r="I30" s="4"/>
      <c r="J30" s="4"/>
      <c r="K30" s="4"/>
      <c r="L30" s="4"/>
      <c r="M30" s="761"/>
      <c r="N30" s="762"/>
      <c r="O30" s="1523"/>
    </row>
    <row r="31" spans="1:16">
      <c r="A31" s="641" t="s">
        <v>310</v>
      </c>
      <c r="B31" s="731" t="s">
        <v>1197</v>
      </c>
      <c r="C31" s="633" t="s">
        <v>1255</v>
      </c>
      <c r="D31" s="385">
        <f>SUM(D27:D30)</f>
        <v>39987</v>
      </c>
      <c r="E31" s="210">
        <v>43737</v>
      </c>
      <c r="F31" s="260"/>
      <c r="G31" s="4"/>
      <c r="H31" s="4"/>
      <c r="I31" s="4"/>
      <c r="J31" s="4"/>
      <c r="K31" s="4"/>
      <c r="L31" s="4"/>
      <c r="M31" s="761"/>
      <c r="N31" s="762"/>
      <c r="O31" s="1523"/>
    </row>
    <row r="32" spans="1:16">
      <c r="A32" s="641" t="s">
        <v>333</v>
      </c>
      <c r="B32" s="731">
        <v>19</v>
      </c>
      <c r="C32" s="720" t="s">
        <v>739</v>
      </c>
      <c r="D32" s="206">
        <v>32248</v>
      </c>
      <c r="E32" s="210">
        <v>43868</v>
      </c>
      <c r="F32" s="260"/>
      <c r="G32" s="4"/>
      <c r="H32" s="4"/>
      <c r="I32" s="4"/>
      <c r="J32" s="4"/>
      <c r="K32" s="4"/>
      <c r="L32" s="4"/>
      <c r="M32" s="761"/>
      <c r="N32" s="762"/>
      <c r="O32" s="1523"/>
    </row>
    <row r="33" spans="1:16" ht="13.5" thickBot="1">
      <c r="A33" s="645" t="s">
        <v>334</v>
      </c>
      <c r="B33" s="732" t="s">
        <v>740</v>
      </c>
      <c r="C33" s="626" t="s">
        <v>741</v>
      </c>
      <c r="D33" s="388">
        <f>SUM(D21,D26,D31,D32)</f>
        <v>224296</v>
      </c>
      <c r="E33" s="389">
        <f>SUM(E21,E26,E31,E32)</f>
        <v>180372</v>
      </c>
      <c r="F33" s="1414"/>
      <c r="G33" s="4"/>
      <c r="H33" s="4"/>
      <c r="I33" s="4"/>
      <c r="J33" s="4"/>
      <c r="K33" s="4"/>
      <c r="L33" s="4"/>
      <c r="M33" s="682">
        <f>D33*1000000/invanare</f>
        <v>22440.476899153018</v>
      </c>
      <c r="N33" s="688">
        <f>E33*1000000/invanare</f>
        <v>18045.946870448108</v>
      </c>
      <c r="O33" s="1449"/>
    </row>
    <row r="34" spans="1:16" ht="13.5" thickBot="1">
      <c r="A34" s="733" t="s">
        <v>311</v>
      </c>
      <c r="B34" s="734" t="s">
        <v>742</v>
      </c>
      <c r="C34" s="735" t="s">
        <v>743</v>
      </c>
      <c r="D34" s="391">
        <f>SUM(D18,D19,D33)</f>
        <v>917952</v>
      </c>
      <c r="E34" s="390">
        <f>SUM(E18,E19,E33)</f>
        <v>1340117</v>
      </c>
      <c r="F34" s="1414"/>
      <c r="G34" s="4"/>
      <c r="H34" s="4"/>
      <c r="I34" s="4"/>
      <c r="J34" s="4"/>
      <c r="K34" s="4"/>
      <c r="L34" s="4"/>
      <c r="M34" s="4"/>
      <c r="N34" s="4"/>
    </row>
    <row r="35" spans="1:16">
      <c r="A35" s="6"/>
      <c r="B35" s="7"/>
      <c r="C35" s="8"/>
      <c r="D35" s="9"/>
      <c r="E35" s="9"/>
      <c r="F35" s="1414"/>
      <c r="G35" s="4"/>
      <c r="H35" s="4"/>
      <c r="I35" s="4"/>
      <c r="J35" s="4"/>
      <c r="K35" s="4"/>
      <c r="L35" s="4"/>
      <c r="M35" s="4"/>
      <c r="N35" s="4"/>
    </row>
    <row r="36" spans="1:16" ht="13.5" thickBot="1">
      <c r="A36" s="1"/>
      <c r="B36" s="7"/>
      <c r="C36" s="8"/>
      <c r="D36" s="9"/>
      <c r="E36" s="9"/>
      <c r="F36" s="1414"/>
      <c r="G36" s="4"/>
      <c r="H36" s="4"/>
      <c r="I36" s="4"/>
      <c r="J36" s="4"/>
      <c r="K36" s="4"/>
      <c r="L36" s="4"/>
      <c r="M36" s="4"/>
      <c r="N36" s="4"/>
    </row>
    <row r="37" spans="1:16">
      <c r="A37" s="710" t="s">
        <v>714</v>
      </c>
      <c r="B37" s="1618" t="s">
        <v>863</v>
      </c>
      <c r="C37" s="777" t="s">
        <v>388</v>
      </c>
      <c r="D37" s="736" t="s">
        <v>703</v>
      </c>
      <c r="E37" s="737" t="s">
        <v>829</v>
      </c>
      <c r="F37" s="1414"/>
      <c r="G37" s="4"/>
      <c r="H37" s="4"/>
      <c r="I37" s="4"/>
      <c r="J37" s="4"/>
      <c r="K37" s="4"/>
      <c r="L37" s="4"/>
      <c r="M37" s="2349" t="s">
        <v>499</v>
      </c>
      <c r="N37" s="2350"/>
      <c r="O37" s="1524"/>
    </row>
    <row r="38" spans="1:16">
      <c r="A38" s="713" t="s">
        <v>704</v>
      </c>
      <c r="B38" s="778"/>
      <c r="C38" s="779"/>
      <c r="D38" s="780"/>
      <c r="E38" s="781"/>
      <c r="F38" s="1414"/>
      <c r="G38" s="4"/>
      <c r="H38" s="4"/>
      <c r="I38" s="4"/>
      <c r="J38" s="4"/>
      <c r="K38" s="4"/>
      <c r="L38" s="4"/>
      <c r="M38" s="797" t="s">
        <v>703</v>
      </c>
      <c r="N38" s="798" t="s">
        <v>829</v>
      </c>
      <c r="O38" s="1525"/>
    </row>
    <row r="39" spans="1:16">
      <c r="A39" s="641" t="s">
        <v>338</v>
      </c>
      <c r="B39" s="721">
        <v>201</v>
      </c>
      <c r="C39" s="612" t="s">
        <v>744</v>
      </c>
      <c r="D39" s="2120">
        <v>400995</v>
      </c>
      <c r="E39" s="253">
        <v>504967</v>
      </c>
      <c r="F39" s="260"/>
      <c r="G39" s="4"/>
      <c r="H39" s="4"/>
      <c r="I39" s="4"/>
      <c r="J39" s="4"/>
      <c r="K39" s="4"/>
      <c r="L39" s="4"/>
      <c r="M39" s="799"/>
      <c r="N39" s="800"/>
      <c r="O39" s="1490"/>
    </row>
    <row r="40" spans="1:16">
      <c r="A40" s="641" t="s">
        <v>339</v>
      </c>
      <c r="B40" s="721">
        <v>202</v>
      </c>
      <c r="C40" s="612" t="s">
        <v>713</v>
      </c>
      <c r="D40" s="113">
        <f>RR!C19</f>
        <v>21436</v>
      </c>
      <c r="E40" s="2119">
        <f>RR!D19</f>
        <v>36857</v>
      </c>
      <c r="F40" s="260"/>
      <c r="G40" s="4"/>
      <c r="H40" s="4"/>
      <c r="I40" s="4"/>
      <c r="J40" s="4"/>
      <c r="K40" s="4"/>
      <c r="L40" s="4"/>
      <c r="M40" s="799"/>
      <c r="N40" s="800"/>
      <c r="O40" s="1490"/>
    </row>
    <row r="41" spans="1:16">
      <c r="A41" s="643" t="s">
        <v>961</v>
      </c>
      <c r="B41" s="1619"/>
      <c r="C41" s="617" t="s">
        <v>1001</v>
      </c>
      <c r="D41" s="57">
        <v>173</v>
      </c>
      <c r="E41" s="198">
        <v>2598</v>
      </c>
      <c r="F41" s="260"/>
      <c r="G41" s="4"/>
      <c r="H41" s="4"/>
      <c r="I41" s="4"/>
      <c r="J41" s="4"/>
      <c r="K41" s="4"/>
      <c r="L41" s="4"/>
      <c r="M41" s="799"/>
      <c r="N41" s="800"/>
      <c r="O41" s="1490"/>
    </row>
    <row r="42" spans="1:16">
      <c r="A42" s="643" t="s">
        <v>340</v>
      </c>
      <c r="B42" s="789" t="s">
        <v>1068</v>
      </c>
      <c r="C42" s="790" t="s">
        <v>1069</v>
      </c>
      <c r="D42" s="392">
        <f>SUM(D39:D41)</f>
        <v>422604</v>
      </c>
      <c r="E42" s="389">
        <f>SUM(E39:E41)</f>
        <v>544422</v>
      </c>
      <c r="F42" s="260"/>
      <c r="G42" s="4"/>
      <c r="H42" s="4"/>
      <c r="I42" s="4"/>
      <c r="J42" s="4"/>
      <c r="K42" s="4"/>
      <c r="L42" s="4"/>
      <c r="M42" s="801">
        <f>D42*1000000/invanare</f>
        <v>42280.893549103253</v>
      </c>
      <c r="N42" s="680">
        <f>E42*1000000/invanare</f>
        <v>54468.600930871195</v>
      </c>
      <c r="O42" s="1490"/>
    </row>
    <row r="43" spans="1:16">
      <c r="A43" s="644" t="s">
        <v>959</v>
      </c>
      <c r="B43" s="785"/>
      <c r="C43" s="617" t="s">
        <v>1070</v>
      </c>
      <c r="D43" s="57">
        <v>9348</v>
      </c>
      <c r="E43" s="198">
        <v>8706</v>
      </c>
      <c r="F43" s="260"/>
      <c r="G43" s="1685"/>
      <c r="H43" s="4"/>
      <c r="I43" s="4"/>
      <c r="J43" s="4"/>
      <c r="K43" s="4"/>
      <c r="L43" s="4"/>
      <c r="M43" s="799"/>
      <c r="N43" s="800"/>
      <c r="O43" s="1490"/>
    </row>
    <row r="44" spans="1:16" ht="13.5" thickBot="1">
      <c r="A44" s="645" t="s">
        <v>960</v>
      </c>
      <c r="B44" s="787"/>
      <c r="C44" s="632"/>
      <c r="D44" s="632"/>
      <c r="E44" s="2273"/>
      <c r="F44" s="260"/>
      <c r="G44" s="227"/>
      <c r="H44" s="4"/>
      <c r="I44" s="4"/>
      <c r="J44" s="4"/>
      <c r="K44" s="4"/>
      <c r="L44" s="4"/>
      <c r="M44" s="1590"/>
      <c r="N44" s="685"/>
      <c r="O44" s="1449"/>
    </row>
    <row r="45" spans="1:16">
      <c r="A45" s="641" t="s">
        <v>341</v>
      </c>
      <c r="B45" s="783" t="s">
        <v>745</v>
      </c>
      <c r="C45" s="784" t="s">
        <v>988</v>
      </c>
      <c r="D45" s="206">
        <v>27731</v>
      </c>
      <c r="E45" s="782"/>
      <c r="F45" s="1414"/>
      <c r="G45" s="89" t="s">
        <v>501</v>
      </c>
      <c r="H45" s="4"/>
      <c r="I45" s="4"/>
      <c r="J45" s="4"/>
      <c r="K45" s="4"/>
      <c r="L45" s="4"/>
      <c r="M45" s="802"/>
      <c r="N45" s="803"/>
      <c r="O45" s="1449"/>
    </row>
    <row r="46" spans="1:16">
      <c r="A46" s="641" t="s">
        <v>342</v>
      </c>
      <c r="B46" s="721" t="s">
        <v>746</v>
      </c>
      <c r="C46" s="612" t="s">
        <v>989</v>
      </c>
      <c r="D46" s="206">
        <v>750</v>
      </c>
      <c r="E46" s="2272"/>
      <c r="F46" s="1414"/>
      <c r="H46" s="4"/>
      <c r="I46" s="4"/>
      <c r="J46" s="4"/>
      <c r="K46" s="4"/>
      <c r="L46" s="4"/>
      <c r="M46" s="679">
        <f>SUM(D45:D47)*1000000/invanare</f>
        <v>3516.0042072392489</v>
      </c>
      <c r="N46" s="804"/>
      <c r="O46" s="1449"/>
    </row>
    <row r="47" spans="1:16">
      <c r="A47" s="641" t="s">
        <v>343</v>
      </c>
      <c r="B47" s="785" t="s">
        <v>747</v>
      </c>
      <c r="C47" s="786" t="s">
        <v>890</v>
      </c>
      <c r="D47" s="206">
        <v>6662</v>
      </c>
      <c r="E47" s="782"/>
      <c r="F47" s="1414"/>
      <c r="G47" s="309"/>
      <c r="H47" s="309"/>
      <c r="I47" s="1955"/>
      <c r="J47" s="1960" t="s">
        <v>703</v>
      </c>
      <c r="K47" s="4"/>
      <c r="L47" s="4"/>
      <c r="M47" s="805"/>
      <c r="N47" s="803"/>
      <c r="O47" s="1449"/>
    </row>
    <row r="48" spans="1:16">
      <c r="A48" s="641" t="s">
        <v>344</v>
      </c>
      <c r="B48" s="721" t="s">
        <v>748</v>
      </c>
      <c r="C48" s="786" t="s">
        <v>749</v>
      </c>
      <c r="D48" s="206">
        <v>17939</v>
      </c>
      <c r="E48" s="782"/>
      <c r="F48" s="1414"/>
      <c r="G48" s="1956" t="s">
        <v>312</v>
      </c>
      <c r="H48" s="1957" t="s">
        <v>750</v>
      </c>
      <c r="I48" s="1958" t="s">
        <v>891</v>
      </c>
      <c r="J48" s="1959">
        <v>2178</v>
      </c>
      <c r="K48" s="4"/>
      <c r="L48" s="4"/>
      <c r="M48" s="679">
        <f>D48*1000000/invanare</f>
        <v>1794.7699249826392</v>
      </c>
      <c r="N48" s="803"/>
      <c r="O48" s="1449"/>
      <c r="P48" s="333"/>
    </row>
    <row r="49" spans="1:16" ht="13.5" thickBot="1">
      <c r="A49" s="645" t="s">
        <v>345</v>
      </c>
      <c r="B49" s="732">
        <v>22</v>
      </c>
      <c r="C49" s="591" t="s">
        <v>751</v>
      </c>
      <c r="D49" s="388">
        <f>SUM(D45:D48)</f>
        <v>53082</v>
      </c>
      <c r="E49" s="211">
        <v>84644</v>
      </c>
      <c r="F49" s="260"/>
      <c r="G49" s="1956" t="s">
        <v>1198</v>
      </c>
      <c r="H49" s="1956" t="s">
        <v>1199</v>
      </c>
      <c r="I49" s="1958" t="s">
        <v>1200</v>
      </c>
      <c r="J49" s="1959">
        <v>12283</v>
      </c>
      <c r="K49" s="4"/>
      <c r="L49" s="4"/>
      <c r="M49" s="801">
        <f>D49*1000000/invanare</f>
        <v>5310.7741322218881</v>
      </c>
      <c r="N49" s="680">
        <f>E49*1000000/invanare</f>
        <v>8468.504684220441</v>
      </c>
      <c r="O49" s="1449"/>
    </row>
    <row r="50" spans="1:16">
      <c r="A50" s="641" t="s">
        <v>346</v>
      </c>
      <c r="B50" s="721">
        <v>234</v>
      </c>
      <c r="C50" s="612" t="s">
        <v>752</v>
      </c>
      <c r="D50" s="206">
        <v>223893</v>
      </c>
      <c r="E50" s="2110">
        <v>435989</v>
      </c>
      <c r="F50" s="1414"/>
      <c r="G50" s="204"/>
      <c r="H50" s="4"/>
      <c r="I50" s="4"/>
      <c r="J50" s="4"/>
      <c r="K50" s="4"/>
      <c r="L50" s="4"/>
      <c r="M50" s="802"/>
      <c r="N50" s="803"/>
      <c r="O50" s="1449"/>
    </row>
    <row r="51" spans="1:16" ht="14.25" customHeight="1">
      <c r="A51" s="641" t="s">
        <v>347</v>
      </c>
      <c r="B51" s="721">
        <v>235</v>
      </c>
      <c r="C51" s="612" t="s">
        <v>753</v>
      </c>
      <c r="D51" s="206">
        <v>9217</v>
      </c>
      <c r="E51" s="2110">
        <v>3361</v>
      </c>
      <c r="F51" s="1414"/>
      <c r="G51" s="204"/>
      <c r="H51" s="4"/>
      <c r="I51" s="4"/>
      <c r="J51" s="4"/>
      <c r="K51" s="4"/>
      <c r="L51" s="4"/>
      <c r="M51" s="802"/>
      <c r="N51" s="803"/>
      <c r="O51" s="1449"/>
    </row>
    <row r="52" spans="1:16">
      <c r="A52" s="641" t="s">
        <v>348</v>
      </c>
      <c r="B52" s="721">
        <v>236</v>
      </c>
      <c r="C52" s="612" t="s">
        <v>754</v>
      </c>
      <c r="D52" s="206">
        <v>1726</v>
      </c>
      <c r="E52" s="782"/>
      <c r="F52" s="1414"/>
      <c r="G52" s="1966"/>
      <c r="H52" s="309"/>
      <c r="I52" s="1985"/>
      <c r="J52" s="1982" t="s">
        <v>703</v>
      </c>
      <c r="K52" s="1983" t="s">
        <v>829</v>
      </c>
      <c r="L52" s="1968"/>
      <c r="M52" s="802"/>
      <c r="N52" s="803"/>
      <c r="O52" s="1449"/>
    </row>
    <row r="53" spans="1:16">
      <c r="A53" s="641" t="s">
        <v>349</v>
      </c>
      <c r="B53" s="721" t="s">
        <v>918</v>
      </c>
      <c r="C53" s="612" t="s">
        <v>755</v>
      </c>
      <c r="D53" s="212">
        <v>10245</v>
      </c>
      <c r="E53" s="2110">
        <v>20622</v>
      </c>
      <c r="F53" s="1414"/>
      <c r="G53" s="1969" t="s">
        <v>1201</v>
      </c>
      <c r="H53" s="1979" t="s">
        <v>1202</v>
      </c>
      <c r="I53" s="1981" t="s">
        <v>1203</v>
      </c>
      <c r="J53" s="1959">
        <v>5030</v>
      </c>
      <c r="K53" s="1959">
        <v>4945</v>
      </c>
      <c r="L53" s="1976"/>
      <c r="M53" s="759"/>
      <c r="N53" s="803"/>
      <c r="O53" s="1449"/>
      <c r="P53" s="1439"/>
    </row>
    <row r="54" spans="1:16">
      <c r="A54" s="641" t="s">
        <v>958</v>
      </c>
      <c r="B54" s="721" t="s">
        <v>916</v>
      </c>
      <c r="C54" s="612" t="s">
        <v>917</v>
      </c>
      <c r="D54" s="212">
        <v>18525</v>
      </c>
      <c r="E54" s="2110">
        <v>18956</v>
      </c>
      <c r="F54" s="1414"/>
      <c r="G54" s="1977"/>
      <c r="H54" s="1977"/>
      <c r="I54" s="1978"/>
      <c r="J54" s="1964" t="s">
        <v>494</v>
      </c>
      <c r="K54" s="1964" t="s">
        <v>494</v>
      </c>
      <c r="L54" s="1964"/>
      <c r="M54" s="759"/>
      <c r="N54" s="803"/>
      <c r="O54" s="1449"/>
      <c r="P54" s="1439"/>
    </row>
    <row r="55" spans="1:16">
      <c r="A55" s="641" t="s">
        <v>350</v>
      </c>
      <c r="B55" s="724" t="s">
        <v>756</v>
      </c>
      <c r="C55" s="668" t="s">
        <v>757</v>
      </c>
      <c r="D55" s="213">
        <v>3404</v>
      </c>
      <c r="E55" s="2110">
        <v>5947</v>
      </c>
      <c r="F55" s="1414"/>
      <c r="G55" s="1971" t="s">
        <v>1204</v>
      </c>
      <c r="H55" s="1972" t="s">
        <v>1205</v>
      </c>
      <c r="I55" s="1993" t="s">
        <v>1206</v>
      </c>
      <c r="J55" s="1987">
        <v>45288</v>
      </c>
      <c r="K55" s="1988">
        <v>51231</v>
      </c>
      <c r="L55" s="191"/>
      <c r="M55" s="759"/>
      <c r="N55" s="803"/>
      <c r="O55" s="1449"/>
      <c r="P55" s="1439"/>
    </row>
    <row r="56" spans="1:16" ht="13.5" thickBot="1">
      <c r="A56" s="645" t="s">
        <v>351</v>
      </c>
      <c r="B56" s="787">
        <v>23</v>
      </c>
      <c r="C56" s="629" t="s">
        <v>758</v>
      </c>
      <c r="D56" s="388">
        <f>SUM(D50:D55)</f>
        <v>267010</v>
      </c>
      <c r="E56" s="388">
        <f>SUM(E50:E51,E53:E55)</f>
        <v>484875</v>
      </c>
      <c r="F56" s="260"/>
      <c r="G56" s="1994" t="s">
        <v>371</v>
      </c>
      <c r="H56" s="2003" t="s">
        <v>1205</v>
      </c>
      <c r="I56" s="1995" t="s">
        <v>1207</v>
      </c>
      <c r="J56" s="1989">
        <v>95032</v>
      </c>
      <c r="K56" s="1997"/>
      <c r="L56" s="191"/>
      <c r="M56" s="679">
        <f>D56*1000000/invanare</f>
        <v>26713.948250717123</v>
      </c>
      <c r="N56" s="680">
        <f>E56*1000000/invanare</f>
        <v>48511.013288140763</v>
      </c>
      <c r="O56" s="1449"/>
    </row>
    <row r="57" spans="1:16" ht="18">
      <c r="A57" s="641" t="s">
        <v>352</v>
      </c>
      <c r="B57" s="788" t="s">
        <v>759</v>
      </c>
      <c r="C57" s="612" t="s">
        <v>760</v>
      </c>
      <c r="D57" s="206">
        <v>64368</v>
      </c>
      <c r="E57" s="782"/>
      <c r="F57" s="1414"/>
      <c r="G57" s="1973" t="s">
        <v>354</v>
      </c>
      <c r="H57" s="1974" t="s">
        <v>837</v>
      </c>
      <c r="I57" s="1990" t="s">
        <v>7</v>
      </c>
      <c r="J57" s="1986">
        <v>19768</v>
      </c>
      <c r="K57" s="2004" t="s">
        <v>1208</v>
      </c>
      <c r="L57" s="191"/>
      <c r="M57" s="802"/>
      <c r="N57" s="803"/>
      <c r="O57" s="1449"/>
      <c r="P57" s="333"/>
    </row>
    <row r="58" spans="1:16" ht="18.75" customHeight="1">
      <c r="A58" s="641" t="s">
        <v>353</v>
      </c>
      <c r="B58" s="724" t="s">
        <v>761</v>
      </c>
      <c r="C58" s="617" t="s">
        <v>762</v>
      </c>
      <c r="D58" s="206">
        <v>29755</v>
      </c>
      <c r="E58" s="782"/>
      <c r="F58" s="1414"/>
      <c r="G58" s="1975" t="s">
        <v>1209</v>
      </c>
      <c r="H58" s="1991" t="s">
        <v>1210</v>
      </c>
      <c r="I58" s="1996" t="s">
        <v>1211</v>
      </c>
      <c r="J58" s="1962">
        <v>23159</v>
      </c>
      <c r="K58" s="2005" t="s">
        <v>1212</v>
      </c>
      <c r="L58" s="191"/>
      <c r="M58" s="802"/>
      <c r="N58" s="803"/>
      <c r="O58" s="1449"/>
      <c r="P58" s="333"/>
    </row>
    <row r="59" spans="1:16">
      <c r="A59" s="641" t="s">
        <v>372</v>
      </c>
      <c r="B59" s="724">
        <v>271</v>
      </c>
      <c r="C59" s="617" t="s">
        <v>18</v>
      </c>
      <c r="D59" s="206">
        <v>5428</v>
      </c>
      <c r="E59" s="782"/>
      <c r="F59" s="1414"/>
      <c r="G59" s="1975" t="s">
        <v>355</v>
      </c>
      <c r="H59" s="1991" t="s">
        <v>865</v>
      </c>
      <c r="I59" s="1992" t="s">
        <v>8</v>
      </c>
      <c r="J59" s="1998">
        <v>3268</v>
      </c>
      <c r="K59" s="1997"/>
      <c r="L59" s="191"/>
      <c r="M59" s="802"/>
      <c r="N59" s="803"/>
      <c r="O59" s="1449"/>
    </row>
    <row r="60" spans="1:16">
      <c r="A60" s="641" t="s">
        <v>356</v>
      </c>
      <c r="B60" s="724">
        <v>281</v>
      </c>
      <c r="C60" s="617" t="s">
        <v>763</v>
      </c>
      <c r="D60" s="214">
        <v>2679</v>
      </c>
      <c r="E60" s="795"/>
      <c r="F60" s="1414"/>
      <c r="G60" s="309"/>
      <c r="H60" s="1961"/>
      <c r="I60" s="1965"/>
      <c r="J60" s="1980"/>
      <c r="K60" s="2002"/>
      <c r="L60" s="1980"/>
      <c r="M60" s="802"/>
      <c r="N60" s="760"/>
      <c r="O60" s="1449"/>
    </row>
    <row r="61" spans="1:16">
      <c r="A61" s="641" t="s">
        <v>357</v>
      </c>
      <c r="B61" s="724" t="s">
        <v>764</v>
      </c>
      <c r="C61" s="617" t="s">
        <v>765</v>
      </c>
      <c r="D61" s="213">
        <v>17472</v>
      </c>
      <c r="E61" s="796"/>
      <c r="F61" s="260"/>
      <c r="G61" s="309"/>
      <c r="H61" s="309"/>
      <c r="I61" s="1965"/>
      <c r="J61" s="1960" t="s">
        <v>703</v>
      </c>
      <c r="K61" s="1965"/>
      <c r="L61" s="1965"/>
      <c r="M61" s="802"/>
      <c r="N61" s="760"/>
      <c r="O61" s="1449"/>
    </row>
    <row r="62" spans="1:16">
      <c r="A62" s="641" t="s">
        <v>996</v>
      </c>
      <c r="B62" s="724">
        <v>293</v>
      </c>
      <c r="C62" s="617" t="s">
        <v>920</v>
      </c>
      <c r="D62" s="212">
        <v>11459</v>
      </c>
      <c r="E62" s="794"/>
      <c r="F62" s="260"/>
      <c r="G62" s="1969" t="s">
        <v>358</v>
      </c>
      <c r="H62" s="1970" t="s">
        <v>766</v>
      </c>
      <c r="I62" s="1981" t="s">
        <v>919</v>
      </c>
      <c r="J62" s="1959">
        <v>3074</v>
      </c>
      <c r="K62" s="1976"/>
      <c r="L62" s="1976"/>
      <c r="M62" s="802"/>
      <c r="N62" s="760"/>
      <c r="O62" s="1449"/>
    </row>
    <row r="63" spans="1:16">
      <c r="A63" s="641" t="s">
        <v>359</v>
      </c>
      <c r="B63" s="724" t="s">
        <v>767</v>
      </c>
      <c r="C63" s="617" t="s">
        <v>892</v>
      </c>
      <c r="D63" s="212">
        <v>11851</v>
      </c>
      <c r="E63" s="794"/>
      <c r="F63" s="260"/>
      <c r="G63" s="309"/>
      <c r="H63" s="309"/>
      <c r="I63" s="309"/>
      <c r="J63" s="1964" t="s">
        <v>494</v>
      </c>
      <c r="K63" s="1964"/>
      <c r="L63" s="1964"/>
      <c r="M63" s="802"/>
      <c r="N63" s="760"/>
      <c r="O63" s="1449"/>
    </row>
    <row r="64" spans="1:16">
      <c r="A64" s="641" t="s">
        <v>482</v>
      </c>
      <c r="B64" s="724" t="s">
        <v>19</v>
      </c>
      <c r="C64" s="617" t="s">
        <v>20</v>
      </c>
      <c r="D64" s="212">
        <v>1655</v>
      </c>
      <c r="E64" s="794"/>
      <c r="F64" s="1414"/>
      <c r="G64" s="309"/>
      <c r="H64" s="1967"/>
      <c r="I64" s="309"/>
      <c r="J64" s="1965"/>
      <c r="K64" s="1984"/>
      <c r="L64" s="1968"/>
      <c r="M64" s="802"/>
      <c r="N64" s="760"/>
      <c r="O64" s="1449"/>
    </row>
    <row r="65" spans="1:15">
      <c r="A65" s="641" t="s">
        <v>360</v>
      </c>
      <c r="B65" s="721" t="s">
        <v>768</v>
      </c>
      <c r="C65" s="612" t="s">
        <v>770</v>
      </c>
      <c r="D65" s="212">
        <v>30589</v>
      </c>
      <c r="E65" s="794"/>
      <c r="F65" s="1414"/>
      <c r="G65" s="309"/>
      <c r="H65" s="1967"/>
      <c r="I65" s="309"/>
      <c r="J65" s="1965"/>
      <c r="K65" s="1960" t="s">
        <v>829</v>
      </c>
      <c r="L65" s="1968"/>
      <c r="M65" s="802"/>
      <c r="N65" s="760"/>
      <c r="O65" s="1449"/>
    </row>
    <row r="66" spans="1:15" ht="13.5" thickBot="1">
      <c r="A66" s="643" t="s">
        <v>361</v>
      </c>
      <c r="B66" s="789" t="s">
        <v>771</v>
      </c>
      <c r="C66" s="790" t="s">
        <v>772</v>
      </c>
      <c r="D66" s="392">
        <f>SUM(D57:D65)</f>
        <v>175256</v>
      </c>
      <c r="E66" s="209">
        <v>226176</v>
      </c>
      <c r="F66" s="260"/>
      <c r="G66" s="1971" t="s">
        <v>352</v>
      </c>
      <c r="H66" s="1972">
        <v>24</v>
      </c>
      <c r="I66" s="2000" t="s">
        <v>1213</v>
      </c>
      <c r="J66" s="2001"/>
      <c r="K66" s="2006">
        <v>62457</v>
      </c>
      <c r="L66" s="1951"/>
      <c r="M66" s="806">
        <f>D66*1000000/invanare</f>
        <v>17534.09877767754</v>
      </c>
      <c r="N66" s="807">
        <f>E66*1000000/invanare</f>
        <v>22628.568066942047</v>
      </c>
      <c r="O66" s="1449"/>
    </row>
    <row r="67" spans="1:15" ht="13.5" thickBot="1">
      <c r="A67" s="634" t="s">
        <v>362</v>
      </c>
      <c r="B67" s="732" t="s">
        <v>773</v>
      </c>
      <c r="C67" s="591" t="s">
        <v>774</v>
      </c>
      <c r="D67" s="380">
        <f>SUM(D56,D66)</f>
        <v>442266</v>
      </c>
      <c r="E67" s="393">
        <f>SUM(E56,E66)</f>
        <v>711051</v>
      </c>
      <c r="F67" s="1414"/>
      <c r="G67" s="1975" t="s">
        <v>1209</v>
      </c>
      <c r="H67" s="1950" t="s">
        <v>1210</v>
      </c>
      <c r="I67" s="1992" t="s">
        <v>1214</v>
      </c>
      <c r="J67" s="1999"/>
      <c r="K67" s="2007">
        <v>22849</v>
      </c>
      <c r="L67" s="1963"/>
      <c r="M67" s="76"/>
      <c r="N67" s="76"/>
      <c r="O67" s="247"/>
    </row>
    <row r="68" spans="1:15" ht="13.5" thickBot="1">
      <c r="A68" s="791">
        <v>100</v>
      </c>
      <c r="B68" s="792" t="s">
        <v>775</v>
      </c>
      <c r="C68" s="793" t="s">
        <v>776</v>
      </c>
      <c r="D68" s="394">
        <f>SUM(D42,D49,D56,D66)</f>
        <v>917952</v>
      </c>
      <c r="E68" s="390">
        <f>SUM(E42,E49,E56,E66)</f>
        <v>1340117</v>
      </c>
      <c r="F68" s="1414"/>
      <c r="K68" s="4"/>
      <c r="L68" s="4"/>
      <c r="O68" s="1490"/>
    </row>
    <row r="69" spans="1:15" ht="12.75" customHeight="1">
      <c r="A69" s="1539" t="s">
        <v>962</v>
      </c>
      <c r="B69" s="162"/>
      <c r="C69" s="164"/>
      <c r="D69" s="13"/>
      <c r="E69" s="13"/>
      <c r="F69" s="1414"/>
      <c r="G69" s="810" t="s">
        <v>603</v>
      </c>
      <c r="H69" s="811"/>
      <c r="I69" s="811"/>
      <c r="J69" s="812"/>
      <c r="M69" s="683">
        <f>J55*1000000/invanare</f>
        <v>4530.9961738454631</v>
      </c>
      <c r="N69" s="808"/>
      <c r="O69" s="1490"/>
    </row>
    <row r="70" spans="1:15">
      <c r="A70" s="191"/>
      <c r="B70" s="11"/>
      <c r="C70" s="8"/>
      <c r="D70" s="13"/>
      <c r="E70" s="13"/>
      <c r="F70" s="1414"/>
      <c r="G70" s="813" t="s">
        <v>595</v>
      </c>
      <c r="H70" s="814"/>
      <c r="I70" s="814"/>
      <c r="J70" s="815"/>
      <c r="K70" s="191"/>
      <c r="L70" s="191"/>
      <c r="M70" s="809">
        <f>SUM(D56-J55)*1000000/invanare</f>
        <v>22182.952076871661</v>
      </c>
      <c r="N70" s="756"/>
      <c r="O70" s="1449"/>
    </row>
    <row r="71" spans="1:15" ht="13.5" customHeight="1">
      <c r="A71" s="10"/>
      <c r="B71" s="11"/>
      <c r="C71" s="8"/>
      <c r="D71" s="13"/>
      <c r="E71" s="13"/>
      <c r="F71" s="1414"/>
      <c r="G71" s="816" t="s">
        <v>593</v>
      </c>
      <c r="H71" s="817"/>
      <c r="I71" s="817"/>
      <c r="J71" s="815"/>
      <c r="K71" s="191"/>
      <c r="L71" s="191"/>
      <c r="M71" s="679">
        <f>IF(D34=0,"",D42*100/D34)</f>
        <v>46.037701317715957</v>
      </c>
      <c r="N71" s="680">
        <f>IF(E34=0,"",E42*100/E34)</f>
        <v>40.624960357938896</v>
      </c>
      <c r="O71" s="1449"/>
    </row>
    <row r="72" spans="1:15" ht="12.75" customHeight="1" thickBot="1">
      <c r="A72" s="87" t="s">
        <v>855</v>
      </c>
      <c r="B72" s="13"/>
      <c r="C72" s="13"/>
      <c r="D72" s="13"/>
      <c r="E72" s="13"/>
      <c r="F72" s="1414"/>
      <c r="G72" s="1941" t="s">
        <v>594</v>
      </c>
      <c r="H72" s="1942"/>
      <c r="I72" s="1942"/>
      <c r="J72" s="1943"/>
      <c r="K72" s="4"/>
      <c r="L72" s="4"/>
      <c r="M72" s="682">
        <f>IF(D34=0,"",(D42-E79)*100/D34)</f>
        <v>24.107905424248763</v>
      </c>
      <c r="N72" s="807">
        <f>IF(E34=0,"",(E42-E79)*100/E34)</f>
        <v>25.603510738241511</v>
      </c>
    </row>
    <row r="73" spans="1:15" ht="27">
      <c r="A73" s="825" t="s">
        <v>714</v>
      </c>
      <c r="B73" s="826" t="s">
        <v>702</v>
      </c>
      <c r="C73" s="827"/>
      <c r="D73" s="736" t="s">
        <v>703</v>
      </c>
      <c r="E73" s="737" t="s">
        <v>703</v>
      </c>
      <c r="F73" s="1414"/>
      <c r="G73" s="4"/>
      <c r="H73" s="4"/>
      <c r="I73" s="4"/>
      <c r="J73" s="4"/>
      <c r="K73" s="4"/>
      <c r="L73" s="4"/>
      <c r="M73" s="818" t="s">
        <v>1265</v>
      </c>
      <c r="N73" s="818" t="s">
        <v>499</v>
      </c>
      <c r="O73" s="1526"/>
    </row>
    <row r="74" spans="1:15">
      <c r="A74" s="828" t="s">
        <v>704</v>
      </c>
      <c r="B74" s="592"/>
      <c r="C74" s="779"/>
      <c r="D74" s="829" t="s">
        <v>1192</v>
      </c>
      <c r="E74" s="838" t="s">
        <v>1264</v>
      </c>
      <c r="F74" s="1414"/>
      <c r="G74" s="4"/>
      <c r="H74" s="4"/>
      <c r="I74" s="4"/>
      <c r="J74" s="4"/>
      <c r="K74" s="4"/>
      <c r="L74" s="4"/>
      <c r="M74" s="819"/>
      <c r="N74" s="820" t="s">
        <v>703</v>
      </c>
      <c r="O74" s="1526"/>
    </row>
    <row r="75" spans="1:15" ht="17.25" customHeight="1">
      <c r="A75" s="641" t="s">
        <v>366</v>
      </c>
      <c r="B75" s="830" t="s">
        <v>777</v>
      </c>
      <c r="C75" s="831"/>
      <c r="D75" s="832">
        <v>110029</v>
      </c>
      <c r="E75" s="114">
        <v>116677</v>
      </c>
      <c r="F75" s="260"/>
      <c r="G75" s="4"/>
      <c r="H75" s="4"/>
      <c r="I75" s="4"/>
      <c r="J75" s="4"/>
      <c r="K75" s="4"/>
      <c r="L75" s="4"/>
      <c r="M75" s="821">
        <f t="shared" ref="M75:M80" si="0">IF(AND(D75=0,E75=0),"",IF(E75=0,1,IF(D75=0,-1,E75/D75-1)))</f>
        <v>6.0420434612693086E-2</v>
      </c>
      <c r="N75" s="822">
        <f t="shared" ref="N75:N80" si="1">E75*1000000/invanare</f>
        <v>11673.358076659757</v>
      </c>
      <c r="O75" s="1449"/>
    </row>
    <row r="76" spans="1:15">
      <c r="A76" s="641" t="s">
        <v>367</v>
      </c>
      <c r="B76" s="833" t="s">
        <v>778</v>
      </c>
      <c r="C76" s="624"/>
      <c r="D76" s="834">
        <v>5394</v>
      </c>
      <c r="E76" s="114">
        <v>5190</v>
      </c>
      <c r="F76" s="260"/>
      <c r="G76" s="4"/>
      <c r="H76" s="4"/>
      <c r="I76" s="4"/>
      <c r="J76" s="4"/>
      <c r="K76" s="4"/>
      <c r="L76" s="4"/>
      <c r="M76" s="823">
        <f t="shared" si="0"/>
        <v>-3.7819799777530583E-2</v>
      </c>
      <c r="N76" s="822">
        <f t="shared" si="1"/>
        <v>519.25168128992118</v>
      </c>
      <c r="O76" s="1449"/>
    </row>
    <row r="77" spans="1:15">
      <c r="A77" s="641" t="s">
        <v>238</v>
      </c>
      <c r="B77" s="833" t="s">
        <v>779</v>
      </c>
      <c r="C77" s="624"/>
      <c r="D77" s="834">
        <v>102085</v>
      </c>
      <c r="E77" s="114">
        <v>101888</v>
      </c>
      <c r="F77" s="260"/>
      <c r="G77" s="4"/>
      <c r="H77" s="4"/>
      <c r="I77" s="4"/>
      <c r="J77" s="4"/>
      <c r="K77" s="4"/>
      <c r="L77" s="4"/>
      <c r="M77" s="823">
        <f t="shared" si="0"/>
        <v>-1.9297644120096491E-3</v>
      </c>
      <c r="N77" s="822">
        <f t="shared" si="1"/>
        <v>10193.740906217243</v>
      </c>
      <c r="O77" s="1449"/>
    </row>
    <row r="78" spans="1:15" ht="20.25" customHeight="1">
      <c r="A78" s="641" t="s">
        <v>368</v>
      </c>
      <c r="B78" s="2355" t="s">
        <v>423</v>
      </c>
      <c r="C78" s="2357"/>
      <c r="D78" s="834">
        <v>16459</v>
      </c>
      <c r="E78" s="114">
        <v>18569</v>
      </c>
      <c r="F78" s="260"/>
      <c r="G78" s="4"/>
      <c r="H78" s="4"/>
      <c r="I78" s="4"/>
      <c r="J78" s="4"/>
      <c r="K78" s="4"/>
      <c r="L78" s="4"/>
      <c r="M78" s="823">
        <f t="shared" si="0"/>
        <v>0.12819733884197104</v>
      </c>
      <c r="N78" s="822">
        <f t="shared" si="1"/>
        <v>1857.8004758906643</v>
      </c>
      <c r="O78" s="1449"/>
    </row>
    <row r="79" spans="1:15" ht="18.75" customHeight="1">
      <c r="A79" s="641" t="s">
        <v>369</v>
      </c>
      <c r="B79" s="2355" t="s">
        <v>424</v>
      </c>
      <c r="C79" s="2356"/>
      <c r="D79" s="834">
        <v>210968</v>
      </c>
      <c r="E79" s="207">
        <v>201305</v>
      </c>
      <c r="F79" s="260"/>
      <c r="G79" s="4"/>
      <c r="H79" s="4"/>
      <c r="I79" s="4"/>
      <c r="J79" s="4"/>
      <c r="K79" s="4"/>
      <c r="L79" s="4"/>
      <c r="M79" s="823">
        <f t="shared" si="0"/>
        <v>-4.5803154980850191E-2</v>
      </c>
      <c r="N79" s="822">
        <f t="shared" si="1"/>
        <v>20140.261984984121</v>
      </c>
      <c r="O79" s="1449"/>
    </row>
    <row r="80" spans="1:15" ht="18" customHeight="1" thickBot="1">
      <c r="A80" s="645" t="s">
        <v>370</v>
      </c>
      <c r="B80" s="835" t="s">
        <v>780</v>
      </c>
      <c r="C80" s="836"/>
      <c r="D80" s="837">
        <f>SUM(D75:D79)</f>
        <v>444935</v>
      </c>
      <c r="E80" s="395">
        <f>SUM(E75:E79)</f>
        <v>443629</v>
      </c>
      <c r="F80" s="260"/>
      <c r="G80" s="1625" t="s">
        <v>1168</v>
      </c>
      <c r="H80" s="1626"/>
      <c r="I80" s="830" t="s">
        <v>1161</v>
      </c>
      <c r="J80" s="324">
        <v>227892</v>
      </c>
      <c r="K80" s="360"/>
      <c r="L80" s="360"/>
      <c r="M80" s="824">
        <f t="shared" si="0"/>
        <v>-2.9352602065469968E-3</v>
      </c>
      <c r="N80" s="691">
        <f t="shared" si="1"/>
        <v>44384.413125041705</v>
      </c>
      <c r="O80" s="1449"/>
    </row>
    <row r="81" spans="1:14">
      <c r="A81" s="14"/>
      <c r="B81" s="1"/>
      <c r="C81" s="1"/>
      <c r="D81" s="1"/>
      <c r="E81" s="1"/>
      <c r="F81" s="1414"/>
      <c r="G81" s="1734" t="s">
        <v>1169</v>
      </c>
      <c r="H81" s="1620"/>
      <c r="I81" s="1682" t="s">
        <v>1166</v>
      </c>
      <c r="J81" s="323">
        <v>172787</v>
      </c>
      <c r="K81" s="4"/>
      <c r="L81" s="4"/>
      <c r="M81" s="4"/>
      <c r="N81" s="4"/>
    </row>
    <row r="82" spans="1:14" ht="16.5" thickBot="1">
      <c r="A82" s="87" t="s">
        <v>215</v>
      </c>
      <c r="B82" s="4"/>
      <c r="C82" s="4"/>
      <c r="D82" s="4"/>
      <c r="E82" s="4"/>
      <c r="F82" s="78"/>
      <c r="G82" s="4"/>
      <c r="H82" s="4"/>
      <c r="I82" s="4"/>
      <c r="J82" s="159" t="str">
        <f>IF(E80=0,"",IF(SUM(J80)&gt;E80,"Däravrad 151 &gt; rad 160",IF(J80="","skriv belopp eller 0","")))</f>
        <v/>
      </c>
      <c r="K82" s="4"/>
      <c r="L82" s="4"/>
      <c r="M82" s="4"/>
      <c r="N82" s="4"/>
    </row>
    <row r="83" spans="1:14">
      <c r="A83" s="665" t="s">
        <v>363</v>
      </c>
      <c r="B83" s="839" t="s">
        <v>214</v>
      </c>
      <c r="C83" s="839"/>
      <c r="D83" s="840"/>
      <c r="E83" s="215">
        <v>18995</v>
      </c>
      <c r="F83" s="260"/>
      <c r="G83" s="4"/>
      <c r="H83" s="4"/>
      <c r="I83" s="4"/>
      <c r="J83" s="159" t="str">
        <f>IF(J80=0,"",IF(SUM(J81)&gt;J80,"Varav-rad 152 &gt; rad 151 ",IF(J81="","skriv belopp eller 0","")))</f>
        <v/>
      </c>
      <c r="K83" s="4"/>
      <c r="L83" s="4"/>
      <c r="M83" s="4"/>
      <c r="N83" s="4"/>
    </row>
    <row r="84" spans="1:14">
      <c r="A84" s="650" t="s">
        <v>364</v>
      </c>
      <c r="B84" s="841" t="s">
        <v>1144</v>
      </c>
      <c r="C84" s="842"/>
      <c r="D84" s="843"/>
      <c r="E84" s="216">
        <v>385</v>
      </c>
      <c r="F84" s="260"/>
      <c r="G84" s="4"/>
      <c r="H84" s="4"/>
      <c r="I84" s="4"/>
      <c r="J84" s="4"/>
      <c r="K84" s="4"/>
      <c r="L84" s="4"/>
      <c r="M84" s="4"/>
      <c r="N84" s="4"/>
    </row>
    <row r="85" spans="1:14" ht="13.5" thickBot="1">
      <c r="A85" s="645" t="s">
        <v>365</v>
      </c>
      <c r="B85" s="844" t="s">
        <v>489</v>
      </c>
      <c r="C85" s="844"/>
      <c r="D85" s="845"/>
      <c r="E85" s="211">
        <v>14746</v>
      </c>
      <c r="F85" s="260"/>
      <c r="G85" s="4"/>
      <c r="H85" s="4"/>
      <c r="I85" s="4"/>
      <c r="J85" s="4"/>
      <c r="K85" s="4"/>
      <c r="L85" s="4"/>
      <c r="M85" s="4"/>
      <c r="N85" s="4"/>
    </row>
    <row r="86" spans="1:14">
      <c r="A86" s="4"/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>
      <c r="A87" s="1703"/>
      <c r="B87" s="1704"/>
      <c r="C87" s="1704"/>
      <c r="D87" s="1704"/>
      <c r="E87" s="1704"/>
      <c r="F87" s="192"/>
      <c r="G87" s="4"/>
      <c r="H87" s="4"/>
      <c r="I87" s="4"/>
      <c r="J87" s="4"/>
      <c r="K87" s="4"/>
      <c r="L87" s="4"/>
      <c r="M87" s="4"/>
      <c r="N87" s="4"/>
    </row>
    <row r="88" spans="1:14">
      <c r="A88" s="2336"/>
      <c r="B88" s="2336"/>
      <c r="C88" s="2336"/>
      <c r="D88" s="2336"/>
      <c r="E88" s="2336"/>
      <c r="F88" s="192"/>
      <c r="G88" s="4"/>
      <c r="H88" s="4"/>
      <c r="I88" s="4"/>
      <c r="J88" s="4"/>
      <c r="K88" s="4"/>
      <c r="L88" s="4"/>
      <c r="M88" s="4"/>
      <c r="N88" s="4"/>
    </row>
    <row r="89" spans="1:14">
      <c r="A89" s="2336"/>
      <c r="B89" s="2336"/>
      <c r="C89" s="2336"/>
      <c r="D89" s="2336"/>
      <c r="E89" s="2336"/>
      <c r="F89" s="192"/>
      <c r="G89" s="4"/>
      <c r="H89" s="4"/>
      <c r="I89" s="4"/>
      <c r="J89" s="4"/>
      <c r="K89" s="4"/>
      <c r="L89" s="4"/>
      <c r="M89" s="4"/>
      <c r="N89" s="4"/>
    </row>
    <row r="90" spans="1:14">
      <c r="A90" s="2336"/>
      <c r="B90" s="2336"/>
      <c r="C90" s="2336"/>
      <c r="D90" s="2336"/>
      <c r="E90" s="2336"/>
      <c r="F90" s="192"/>
      <c r="G90" s="4"/>
      <c r="H90" s="4"/>
      <c r="I90" s="4"/>
      <c r="J90" s="4"/>
      <c r="K90" s="4"/>
      <c r="L90" s="4"/>
      <c r="M90" s="4"/>
      <c r="N90" s="4"/>
    </row>
    <row r="91" spans="1:14">
      <c r="A91" s="2336"/>
      <c r="B91" s="2336"/>
      <c r="C91" s="2336"/>
      <c r="D91" s="2336"/>
      <c r="E91" s="2336"/>
    </row>
    <row r="92" spans="1:14"/>
    <row r="93" spans="1:14"/>
    <row r="94" spans="1:14" hidden="1"/>
    <row r="95" spans="1:14" hidden="1"/>
    <row r="96" spans="1:14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</sheetData>
  <customSheetViews>
    <customSheetView guid="{27C9E95B-0E2B-454F-B637-1CECC9579A10}" showGridLines="0" hiddenRows="1" showRuler="0">
      <selection activeCell="I75" sqref="I75"/>
      <pageMargins left="0.11811023622047245" right="0.11811023622047245" top="0.74803149606299213" bottom="0.74803149606299213" header="0.31496062992125984" footer="0.31496062992125984"/>
      <pageSetup paperSize="9" scale="80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3"/>
      <headerFooter>
        <oddHeader>&amp;L&amp;8Statistiska Centralbyrån
Offentlig ekonomi&amp;R&amp;P</oddHeader>
      </headerFooter>
    </customSheetView>
  </customSheetViews>
  <mergeCells count="7">
    <mergeCell ref="M4:N4"/>
    <mergeCell ref="M37:N37"/>
    <mergeCell ref="A88:E91"/>
    <mergeCell ref="P5:P6"/>
    <mergeCell ref="B5:B6"/>
    <mergeCell ref="B79:C79"/>
    <mergeCell ref="B78:C78"/>
  </mergeCells>
  <phoneticPr fontId="90" type="noConversion"/>
  <conditionalFormatting sqref="D19:E19 D9:D11 D13:D15 E9 E12 E17 E83 E31:E32 D32 E85 D45:D48 E49 J13 J15 J22 J24:J25 J48 D50:D55 E66 E75:E79 J55 J57:J58 J62 D57:D65 D21:E21 D23:D25 D27:D29">
    <cfRule type="cellIs" dxfId="79" priority="6" stopIfTrue="1" operator="lessThan">
      <formula>-500</formula>
    </cfRule>
  </conditionalFormatting>
  <conditionalFormatting sqref="D22">
    <cfRule type="cellIs" dxfId="78" priority="4" stopIfTrue="1" operator="lessThan">
      <formula>-500</formula>
    </cfRule>
  </conditionalFormatting>
  <conditionalFormatting sqref="J80:J81">
    <cfRule type="cellIs" dxfId="77" priority="3" stopIfTrue="1" operator="lessThan">
      <formula>-500</formula>
    </cfRule>
  </conditionalFormatting>
  <conditionalFormatting sqref="E26">
    <cfRule type="cellIs" dxfId="76" priority="1" stopIfTrue="1" operator="lessThan">
      <formula>-500</formula>
    </cfRule>
  </conditionalFormatting>
  <dataValidations count="1">
    <dataValidation type="decimal" operator="lessThan" allowBlank="1" showInputMessage="1" showErrorMessage="1" error="Beloppet ska vara i 1000 tal kronor" sqref="D9:E9 J62 E83:E85 E75:E79 J57:J58 J55 J48 E44 J22 J15 J13 E66 E56 D50:D55 E49 D44:D48 D57:D65 D32 E31:E32 D43:E43 D21:E21 D19:E19 E17 D13:D16 E12 D10:D11 J24:J26 D22:D30 J20 D39:E41">
      <formula1>999999999</formula1>
    </dataValidation>
  </dataValidations>
  <pageMargins left="0.11811023622047245" right="0.11811023622047245" top="0.74803149606299213" bottom="0.74803149606299213" header="0.31496062992125984" footer="0.31496062992125984"/>
  <pageSetup paperSize="9" scale="80" orientation="landscape" r:id="rId4"/>
  <headerFooter>
    <oddHeader>&amp;L&amp;8Statistiska Centralbyrån
Offentlig ekonomi&amp;R&amp;P</oddHeader>
  </headerFooter>
  <rowBreaks count="1" manualBreakCount="1">
    <brk id="49" max="16383" man="1"/>
  </rowBreaks>
  <ignoredErrors>
    <ignoredError sqref="A38:A80 G80:G82 A83:A85 A9:A25 G13:H24 B15:B25 A32:A34 B32:B66 A27:A30 B27:B30 A26:B26 A31:B31 G25:H25 G50:H51 G48:H49 G52:H67" numberStoredAsText="1"/>
    <ignoredError sqref="M13:N16 M43:N45 M18:N18 M27:N32 M47:N47 N46 M50:N55 N48 M57:N65 M67:N67 M20:N25" evalError="1"/>
    <ignoredError sqref="E56 D12 D26 M46" formulaRange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0"/>
  <sheetViews>
    <sheetView showGridLines="0" zoomScaleNormal="100" workbookViewId="0">
      <pane ySplit="1" topLeftCell="A2" activePane="bottomLeft" state="frozen"/>
      <selection activeCell="F32" sqref="F32"/>
      <selection pane="bottomLeft" activeCell="A2" sqref="A2"/>
    </sheetView>
  </sheetViews>
  <sheetFormatPr defaultColWidth="0" defaultRowHeight="12.75" zeroHeight="1"/>
  <cols>
    <col min="1" max="1" width="4" style="190" customWidth="1"/>
    <col min="2" max="2" width="10.140625" style="190" customWidth="1"/>
    <col min="3" max="3" width="33.140625" style="190" customWidth="1"/>
    <col min="4" max="4" width="9.85546875" style="190" bestFit="1" customWidth="1"/>
    <col min="5" max="5" width="9.7109375" style="190" customWidth="1"/>
    <col min="6" max="6" width="4" style="190" customWidth="1"/>
    <col min="7" max="7" width="6.85546875" style="190" customWidth="1"/>
    <col min="8" max="8" width="27" style="190" customWidth="1"/>
    <col min="9" max="9" width="9.140625" style="190" customWidth="1"/>
    <col min="10" max="10" width="20.5703125" style="190" customWidth="1"/>
    <col min="11" max="11" width="1.7109375" style="190" customWidth="1"/>
    <col min="12" max="12" width="3.7109375" style="190" customWidth="1"/>
    <col min="13" max="13" width="9.140625" style="190" customWidth="1"/>
    <col min="14" max="14" width="8.7109375" style="190" customWidth="1"/>
    <col min="15" max="15" width="0.140625" style="190" customWidth="1"/>
    <col min="16" max="16" width="1.5703125" style="190" customWidth="1"/>
    <col min="17" max="17" width="8" style="190" customWidth="1"/>
    <col min="18" max="18" width="16" style="190" hidden="1" customWidth="1"/>
    <col min="19" max="16384" width="0" style="190" hidden="1"/>
  </cols>
  <sheetData>
    <row r="1" spans="1:16" s="227" customFormat="1" ht="20.25">
      <c r="A1" s="108" t="str">
        <f>"Verksamhetens intäkter och kostnader "&amp;År&amp;", miljoner kronor"</f>
        <v>Verksamhetens intäkter och kostnader 2016, miljoner kronor</v>
      </c>
      <c r="B1" s="189"/>
      <c r="C1" s="189"/>
      <c r="D1" s="189"/>
      <c r="E1" s="189"/>
      <c r="F1" s="189"/>
      <c r="G1" s="189"/>
      <c r="H1" s="562"/>
      <c r="I1" s="558" t="s">
        <v>494</v>
      </c>
      <c r="J1" s="559" t="str">
        <f>'Kn Information'!B2</f>
        <v>RIKSTOTAL</v>
      </c>
      <c r="K1" s="559"/>
      <c r="L1" s="559"/>
      <c r="M1" s="559"/>
      <c r="N1" s="559"/>
      <c r="O1" s="559"/>
      <c r="P1" s="1516"/>
    </row>
    <row r="2" spans="1:16" s="227" customFormat="1" ht="12.75" customHeight="1">
      <c r="A2" s="1387"/>
      <c r="D2" s="1534"/>
      <c r="E2" s="164"/>
      <c r="F2" s="190"/>
      <c r="G2" s="190"/>
      <c r="H2" s="190"/>
      <c r="I2" s="1490"/>
      <c r="J2" s="164"/>
      <c r="K2" s="47"/>
    </row>
    <row r="3" spans="1:16" s="227" customFormat="1" ht="12.75" customHeight="1">
      <c r="D3" s="190"/>
      <c r="E3" s="164"/>
      <c r="F3" s="190"/>
      <c r="G3" s="190"/>
      <c r="H3" s="190"/>
      <c r="I3" s="1490"/>
      <c r="J3" s="164"/>
      <c r="K3" s="47"/>
      <c r="L3" s="1441" t="s">
        <v>1170</v>
      </c>
    </row>
    <row r="4" spans="1:16" s="227" customFormat="1" ht="16.5" customHeight="1" thickBot="1">
      <c r="A4" s="87" t="s">
        <v>389</v>
      </c>
      <c r="B4" s="4"/>
      <c r="C4" s="4"/>
      <c r="D4" s="190"/>
      <c r="E4" s="164"/>
      <c r="F4" s="190"/>
      <c r="G4" s="190"/>
      <c r="H4" s="190"/>
      <c r="I4" s="190"/>
      <c r="J4" s="190"/>
      <c r="K4" s="4"/>
      <c r="L4" s="1441" t="s">
        <v>1262</v>
      </c>
    </row>
    <row r="5" spans="1:16" s="227" customFormat="1" ht="12.75" customHeight="1">
      <c r="A5" s="658" t="s">
        <v>701</v>
      </c>
      <c r="B5" s="2326" t="s">
        <v>863</v>
      </c>
      <c r="C5" s="657"/>
      <c r="D5" s="863" t="s">
        <v>1278</v>
      </c>
      <c r="E5" s="4"/>
      <c r="H5" s="4"/>
      <c r="I5" s="4"/>
      <c r="J5" s="4"/>
      <c r="K5" s="4"/>
      <c r="L5" s="658" t="s">
        <v>701</v>
      </c>
      <c r="M5" s="862" t="s">
        <v>1281</v>
      </c>
      <c r="N5" s="863" t="s">
        <v>853</v>
      </c>
      <c r="O5" s="1759"/>
      <c r="P5" s="1517"/>
    </row>
    <row r="6" spans="1:16" s="227" customFormat="1" ht="20.25" customHeight="1">
      <c r="A6" s="846" t="s">
        <v>704</v>
      </c>
      <c r="B6" s="2353"/>
      <c r="C6" s="848"/>
      <c r="D6" s="861">
        <v>2016</v>
      </c>
      <c r="E6" s="4"/>
      <c r="H6" s="76"/>
      <c r="I6" s="76"/>
      <c r="J6" s="4"/>
      <c r="K6" s="4"/>
      <c r="L6" s="846" t="s">
        <v>704</v>
      </c>
      <c r="M6" s="864">
        <v>2015</v>
      </c>
      <c r="N6" s="865" t="s">
        <v>1261</v>
      </c>
      <c r="O6" s="1760"/>
      <c r="P6" s="1517"/>
    </row>
    <row r="7" spans="1:16" s="227" customFormat="1" ht="15" customHeight="1">
      <c r="A7" s="849"/>
      <c r="B7" s="2361"/>
      <c r="C7" s="850"/>
      <c r="D7" s="750"/>
      <c r="E7" s="4"/>
      <c r="H7" s="76"/>
      <c r="I7" s="76"/>
      <c r="J7" s="4"/>
      <c r="K7" s="4"/>
      <c r="L7" s="849"/>
      <c r="M7" s="866"/>
      <c r="N7" s="867" t="s">
        <v>854</v>
      </c>
      <c r="O7" s="1761"/>
      <c r="P7" s="1517"/>
    </row>
    <row r="8" spans="1:16" s="227" customFormat="1" ht="13.5" thickBot="1">
      <c r="A8" s="604">
        <v>130</v>
      </c>
      <c r="B8" s="1623" t="s">
        <v>866</v>
      </c>
      <c r="C8" s="1540" t="s">
        <v>879</v>
      </c>
      <c r="D8" s="249">
        <v>8368</v>
      </c>
      <c r="E8" s="200"/>
      <c r="F8" s="4"/>
      <c r="G8" s="4"/>
      <c r="H8" s="76"/>
      <c r="I8" s="76"/>
      <c r="J8" s="4"/>
      <c r="K8" s="4"/>
      <c r="L8" s="604">
        <v>130</v>
      </c>
      <c r="M8" s="1420">
        <v>9012</v>
      </c>
      <c r="N8" s="1770">
        <f>IF(ISERROR((D8-M8)/M8),0,((D8-M8)/M8))</f>
        <v>-7.1460275188637373E-2</v>
      </c>
      <c r="O8" s="1762"/>
      <c r="P8" s="1518"/>
    </row>
    <row r="9" spans="1:16" s="227" customFormat="1">
      <c r="A9" s="852">
        <v>200</v>
      </c>
      <c r="B9" s="853">
        <v>311</v>
      </c>
      <c r="C9" s="854" t="s">
        <v>781</v>
      </c>
      <c r="D9" s="197">
        <v>2923</v>
      </c>
      <c r="E9" s="200"/>
      <c r="F9" s="4"/>
      <c r="G9" s="4"/>
      <c r="H9" s="76"/>
      <c r="I9" s="76"/>
      <c r="J9" s="4"/>
      <c r="K9" s="4"/>
      <c r="L9" s="1392"/>
      <c r="M9" s="1421"/>
      <c r="N9" s="1771"/>
      <c r="O9" s="1763"/>
      <c r="P9" s="1518"/>
    </row>
    <row r="10" spans="1:16" s="227" customFormat="1">
      <c r="A10" s="855">
        <v>210</v>
      </c>
      <c r="B10" s="724">
        <v>312</v>
      </c>
      <c r="C10" s="854" t="s">
        <v>925</v>
      </c>
      <c r="D10" s="197">
        <v>450</v>
      </c>
      <c r="E10" s="200"/>
      <c r="F10" s="4"/>
      <c r="G10" s="4"/>
      <c r="H10" s="76"/>
      <c r="I10" s="76"/>
      <c r="J10" s="4"/>
      <c r="K10" s="4"/>
      <c r="L10" s="1393"/>
      <c r="M10" s="1194"/>
      <c r="N10" s="1772"/>
      <c r="O10" s="1764"/>
      <c r="P10" s="1518"/>
    </row>
    <row r="11" spans="1:16" s="227" customFormat="1" ht="19.5" customHeight="1">
      <c r="A11" s="855">
        <v>280</v>
      </c>
      <c r="B11" s="1615" t="s">
        <v>997</v>
      </c>
      <c r="C11" s="854" t="s">
        <v>782</v>
      </c>
      <c r="D11" s="197">
        <v>31402</v>
      </c>
      <c r="E11" s="200"/>
      <c r="F11" s="4"/>
      <c r="G11" s="4"/>
      <c r="H11" s="76"/>
      <c r="I11" s="76"/>
      <c r="J11" s="4"/>
      <c r="K11" s="4"/>
      <c r="L11" s="852"/>
      <c r="M11" s="1371"/>
      <c r="N11" s="1773"/>
      <c r="O11" s="1765"/>
      <c r="P11" s="1518"/>
    </row>
    <row r="12" spans="1:16" s="227" customFormat="1" ht="13.5" thickBot="1">
      <c r="A12" s="856">
        <v>290</v>
      </c>
      <c r="B12" s="605"/>
      <c r="C12" s="857" t="s">
        <v>783</v>
      </c>
      <c r="D12" s="396">
        <f>SUM(D9:D11)</f>
        <v>34775</v>
      </c>
      <c r="E12" s="200"/>
      <c r="F12" s="191"/>
      <c r="G12" s="4"/>
      <c r="H12" s="76"/>
      <c r="I12" s="76"/>
      <c r="J12" s="4"/>
      <c r="K12" s="4"/>
      <c r="L12" s="856">
        <v>290</v>
      </c>
      <c r="M12" s="1374">
        <v>33632</v>
      </c>
      <c r="N12" s="1774">
        <f>IF(ISERROR((D12-M12)/M12),0,((D12-M12)/M12))</f>
        <v>3.398549000951475E-2</v>
      </c>
      <c r="O12" s="1766"/>
      <c r="P12" s="1518"/>
    </row>
    <row r="13" spans="1:16" s="227" customFormat="1">
      <c r="A13" s="610">
        <v>400</v>
      </c>
      <c r="B13" s="602">
        <v>341</v>
      </c>
      <c r="C13" s="858" t="s">
        <v>784</v>
      </c>
      <c r="D13" s="197">
        <v>13157</v>
      </c>
      <c r="E13" s="200"/>
      <c r="F13" s="4"/>
      <c r="G13" s="4"/>
      <c r="H13" s="76"/>
      <c r="I13" s="76"/>
      <c r="J13" s="4"/>
      <c r="K13" s="4"/>
      <c r="L13" s="610">
        <v>400</v>
      </c>
      <c r="M13" s="1371">
        <v>12814</v>
      </c>
      <c r="N13" s="1773">
        <f>IF(ISERROR((D13-M13)/M13),0,((D13-M13)/M13))</f>
        <v>2.6767597939753394E-2</v>
      </c>
      <c r="O13" s="1765"/>
      <c r="P13" s="1518"/>
    </row>
    <row r="14" spans="1:16" s="227" customFormat="1">
      <c r="A14" s="607">
        <v>420</v>
      </c>
      <c r="B14" s="724">
        <v>342</v>
      </c>
      <c r="C14" s="858" t="s">
        <v>785</v>
      </c>
      <c r="D14" s="197">
        <v>4805</v>
      </c>
      <c r="E14" s="200"/>
      <c r="F14" s="4"/>
      <c r="G14" s="4"/>
      <c r="H14" s="76"/>
      <c r="I14" s="76"/>
      <c r="J14" s="4"/>
      <c r="K14" s="4"/>
      <c r="L14" s="613"/>
      <c r="M14" s="1203"/>
      <c r="N14" s="1775"/>
      <c r="O14" s="1767"/>
      <c r="P14" s="1518"/>
    </row>
    <row r="15" spans="1:16" s="227" customFormat="1">
      <c r="A15" s="607">
        <v>480</v>
      </c>
      <c r="B15" s="724" t="s">
        <v>786</v>
      </c>
      <c r="C15" s="858" t="s">
        <v>867</v>
      </c>
      <c r="D15" s="197">
        <v>1468</v>
      </c>
      <c r="E15" s="200"/>
      <c r="G15" s="192"/>
      <c r="H15" s="243"/>
      <c r="I15" s="243"/>
      <c r="J15" s="4"/>
      <c r="K15" s="4"/>
      <c r="L15" s="877"/>
      <c r="M15" s="1194"/>
      <c r="N15" s="1772"/>
      <c r="O15" s="1764"/>
      <c r="P15" s="1518"/>
    </row>
    <row r="16" spans="1:16" s="227" customFormat="1" ht="13.5" thickBot="1">
      <c r="A16" s="620">
        <v>490</v>
      </c>
      <c r="B16" s="851"/>
      <c r="C16" s="859" t="s">
        <v>787</v>
      </c>
      <c r="D16" s="396">
        <f>SUM(D13:D15)</f>
        <v>19430</v>
      </c>
      <c r="E16" s="200"/>
      <c r="F16" s="47"/>
      <c r="G16" s="47"/>
      <c r="H16" s="332"/>
      <c r="I16" s="243"/>
      <c r="J16" s="4"/>
      <c r="K16" s="4"/>
      <c r="L16" s="604">
        <v>490</v>
      </c>
      <c r="M16" s="1422">
        <v>18981</v>
      </c>
      <c r="N16" s="1776">
        <f>IF(ISERROR((D16-M16)/M16),0,((D16-M16)/M16))</f>
        <v>2.365523418154997E-2</v>
      </c>
      <c r="O16" s="1768"/>
      <c r="P16" s="1518"/>
    </row>
    <row r="17" spans="1:18" s="227" customFormat="1">
      <c r="A17" s="852">
        <v>500</v>
      </c>
      <c r="B17" s="853">
        <v>351</v>
      </c>
      <c r="C17" s="858" t="s">
        <v>963</v>
      </c>
      <c r="D17" s="197">
        <v>53732</v>
      </c>
      <c r="E17" s="259"/>
      <c r="F17" s="1531"/>
      <c r="G17" s="1531"/>
      <c r="H17" s="1532"/>
      <c r="I17" s="1533"/>
      <c r="J17" s="320"/>
      <c r="K17" s="4"/>
      <c r="L17" s="1392"/>
      <c r="M17" s="1421"/>
      <c r="N17" s="1771"/>
      <c r="O17" s="1763"/>
      <c r="P17" s="1518"/>
    </row>
    <row r="18" spans="1:18" s="227" customFormat="1">
      <c r="A18" s="855">
        <v>510</v>
      </c>
      <c r="B18" s="598">
        <v>351</v>
      </c>
      <c r="C18" s="858" t="s">
        <v>964</v>
      </c>
      <c r="D18" s="197">
        <v>4019</v>
      </c>
      <c r="E18" s="200"/>
      <c r="F18" s="1531"/>
      <c r="G18" s="1528"/>
      <c r="H18" s="104"/>
      <c r="I18" s="1530"/>
      <c r="J18" s="4"/>
      <c r="K18" s="4"/>
      <c r="L18" s="1393"/>
      <c r="M18" s="1194"/>
      <c r="N18" s="1772"/>
      <c r="O18" s="1764"/>
      <c r="P18" s="1518"/>
    </row>
    <row r="19" spans="1:18" s="227" customFormat="1">
      <c r="A19" s="855">
        <v>520</v>
      </c>
      <c r="B19" s="598">
        <v>351</v>
      </c>
      <c r="C19" s="854" t="s">
        <v>868</v>
      </c>
      <c r="D19" s="197">
        <v>1138</v>
      </c>
      <c r="E19" s="200"/>
      <c r="F19" s="88" t="s">
        <v>869</v>
      </c>
      <c r="G19" s="1531"/>
      <c r="H19" s="104"/>
      <c r="I19" s="1534"/>
      <c r="J19" s="4"/>
      <c r="K19" s="4"/>
      <c r="L19" s="1393"/>
      <c r="M19" s="1194"/>
      <c r="N19" s="1772"/>
      <c r="O19" s="1764"/>
      <c r="P19" s="1518"/>
    </row>
    <row r="20" spans="1:18" s="227" customFormat="1">
      <c r="A20" s="855">
        <v>525</v>
      </c>
      <c r="B20" s="598">
        <v>354</v>
      </c>
      <c r="C20" s="858" t="s">
        <v>880</v>
      </c>
      <c r="D20" s="197">
        <v>6984</v>
      </c>
      <c r="E20" s="200"/>
      <c r="F20" s="1520"/>
      <c r="G20" s="1528"/>
      <c r="H20" s="1529"/>
      <c r="I20" s="1530"/>
      <c r="J20" s="4"/>
      <c r="K20" s="4"/>
      <c r="L20" s="852"/>
      <c r="M20" s="1371"/>
      <c r="N20" s="1773"/>
      <c r="O20" s="1765"/>
      <c r="P20" s="1518"/>
      <c r="R20" s="190"/>
    </row>
    <row r="21" spans="1:18" s="227" customFormat="1">
      <c r="A21" s="855">
        <v>527</v>
      </c>
      <c r="B21" s="598">
        <v>356</v>
      </c>
      <c r="C21" s="858" t="s">
        <v>1256</v>
      </c>
      <c r="D21" s="250">
        <v>6390</v>
      </c>
      <c r="E21" s="200"/>
      <c r="F21" s="4"/>
      <c r="G21" s="76"/>
      <c r="H21" s="76"/>
      <c r="I21" s="76"/>
      <c r="J21" s="4"/>
      <c r="K21" s="4"/>
      <c r="L21" s="855">
        <v>527</v>
      </c>
      <c r="M21" s="1363">
        <v>5962</v>
      </c>
      <c r="N21" s="1777">
        <f>IF(ISERROR((D21-M21)/M21),0,((D21-M21)/M21))</f>
        <v>7.1787990607178803E-2</v>
      </c>
      <c r="O21" s="1769"/>
      <c r="P21" s="1518"/>
      <c r="R21" s="190"/>
    </row>
    <row r="22" spans="1:18" s="227" customFormat="1">
      <c r="A22" s="855">
        <v>550</v>
      </c>
      <c r="B22" s="598">
        <v>358</v>
      </c>
      <c r="C22" s="854" t="s">
        <v>216</v>
      </c>
      <c r="D22" s="250">
        <v>404</v>
      </c>
      <c r="E22" s="200"/>
      <c r="F22" s="190"/>
      <c r="G22" s="190"/>
      <c r="H22" s="247"/>
      <c r="I22" s="247"/>
      <c r="J22" s="190"/>
      <c r="K22" s="4"/>
      <c r="L22" s="1394"/>
      <c r="M22" s="1203"/>
      <c r="N22" s="1775"/>
      <c r="O22" s="1767"/>
      <c r="P22" s="1518"/>
      <c r="R22" s="190"/>
    </row>
    <row r="23" spans="1:18" s="227" customFormat="1" ht="12.75" customHeight="1">
      <c r="A23" s="855">
        <v>560</v>
      </c>
      <c r="B23" s="598">
        <v>357</v>
      </c>
      <c r="C23" s="1456" t="s">
        <v>1215</v>
      </c>
      <c r="D23" s="250">
        <v>253</v>
      </c>
      <c r="E23" s="1690"/>
      <c r="F23" s="1531"/>
      <c r="G23" s="1531"/>
      <c r="H23" s="1529"/>
      <c r="I23" s="1533"/>
      <c r="J23" s="1954"/>
      <c r="K23" s="4"/>
      <c r="L23" s="852"/>
      <c r="M23" s="1371"/>
      <c r="N23" s="1773"/>
      <c r="O23" s="1765"/>
      <c r="P23" s="1518"/>
      <c r="R23" s="1520"/>
    </row>
    <row r="24" spans="1:18" s="227" customFormat="1">
      <c r="A24" s="1394">
        <v>570</v>
      </c>
      <c r="B24" s="598">
        <v>359</v>
      </c>
      <c r="C24" s="1952" t="s">
        <v>1216</v>
      </c>
      <c r="D24" s="1953">
        <v>1611</v>
      </c>
      <c r="E24" s="1690"/>
      <c r="F24" s="1531"/>
      <c r="G24" s="1531"/>
      <c r="H24" s="1529"/>
      <c r="I24" s="1533"/>
      <c r="J24" s="1954"/>
      <c r="K24" s="4"/>
      <c r="L24" s="1393"/>
      <c r="M24" s="1194"/>
      <c r="N24" s="1772"/>
      <c r="O24" s="1764"/>
      <c r="P24" s="1518"/>
      <c r="R24" s="1520"/>
    </row>
    <row r="25" spans="1:18" s="227" customFormat="1" ht="13.5" thickBot="1">
      <c r="A25" s="856">
        <v>590</v>
      </c>
      <c r="B25" s="605"/>
      <c r="C25" s="860" t="s">
        <v>788</v>
      </c>
      <c r="D25" s="400">
        <f>SUM(D17:D24)</f>
        <v>74531</v>
      </c>
      <c r="E25" s="200"/>
      <c r="F25" s="4"/>
      <c r="G25" s="47"/>
      <c r="H25" s="76"/>
      <c r="I25" s="76"/>
      <c r="J25" s="4"/>
      <c r="K25" s="4"/>
      <c r="L25" s="856">
        <v>590</v>
      </c>
      <c r="M25" s="1374">
        <v>54115</v>
      </c>
      <c r="N25" s="1774">
        <f>IF(ISERROR((D25-M25)/M25),0,((D25-M25)/M25))</f>
        <v>0.377270627367643</v>
      </c>
      <c r="O25" s="1768"/>
      <c r="P25" s="1518"/>
      <c r="R25" s="1520"/>
    </row>
    <row r="26" spans="1:18" s="227" customFormat="1">
      <c r="A26" s="610">
        <v>310</v>
      </c>
      <c r="B26" s="602" t="s">
        <v>945</v>
      </c>
      <c r="C26" s="854" t="s">
        <v>946</v>
      </c>
      <c r="D26" s="250">
        <v>11817</v>
      </c>
      <c r="E26" s="200"/>
      <c r="F26" s="1625" t="s">
        <v>956</v>
      </c>
      <c r="G26" s="1626" t="s">
        <v>951</v>
      </c>
      <c r="H26" s="830" t="s">
        <v>871</v>
      </c>
      <c r="I26" s="324">
        <v>11452</v>
      </c>
      <c r="J26" s="1442" t="str">
        <f>IF(SUM(I26)&gt;D26,"Däravrad 317 &gt; rad 310","")</f>
        <v/>
      </c>
      <c r="K26" s="4"/>
      <c r="L26" s="1395"/>
      <c r="M26" s="1421"/>
      <c r="N26" s="1771"/>
      <c r="O26" s="1763"/>
      <c r="P26" s="1518"/>
      <c r="R26" s="1520"/>
    </row>
    <row r="27" spans="1:18" s="227" customFormat="1">
      <c r="A27" s="607">
        <v>320</v>
      </c>
      <c r="B27" s="724" t="s">
        <v>949</v>
      </c>
      <c r="C27" s="858" t="s">
        <v>947</v>
      </c>
      <c r="D27" s="250">
        <v>479</v>
      </c>
      <c r="E27" s="200"/>
      <c r="F27" s="1627" t="s">
        <v>957</v>
      </c>
      <c r="G27" s="1628">
        <v>361</v>
      </c>
      <c r="H27" s="901" t="s">
        <v>870</v>
      </c>
      <c r="I27" s="1497">
        <v>437</v>
      </c>
      <c r="J27" s="1442" t="str">
        <f>IF(SUM(I27)&gt;D27,"Däravrad 327 &gt; rad 320","")</f>
        <v/>
      </c>
      <c r="K27" s="4"/>
      <c r="L27" s="877"/>
      <c r="M27" s="1194"/>
      <c r="N27" s="1772"/>
      <c r="O27" s="1764"/>
      <c r="P27" s="1518"/>
      <c r="R27" s="190"/>
    </row>
    <row r="28" spans="1:18" s="227" customFormat="1" ht="16.5" customHeight="1">
      <c r="A28" s="607">
        <v>380</v>
      </c>
      <c r="B28" s="1624" t="s">
        <v>924</v>
      </c>
      <c r="C28" s="858" t="s">
        <v>948</v>
      </c>
      <c r="D28" s="250">
        <v>5491</v>
      </c>
      <c r="E28" s="200"/>
      <c r="F28" s="1531"/>
      <c r="G28" s="1531"/>
      <c r="H28" s="104"/>
      <c r="I28" s="1534"/>
      <c r="J28" s="4"/>
      <c r="K28" s="4"/>
      <c r="L28" s="610"/>
      <c r="M28" s="1371"/>
      <c r="N28" s="1773"/>
      <c r="O28" s="1765"/>
      <c r="P28" s="1518"/>
    </row>
    <row r="29" spans="1:18" s="227" customFormat="1" ht="13.5" thickBot="1">
      <c r="A29" s="613">
        <v>390</v>
      </c>
      <c r="B29" s="599"/>
      <c r="C29" s="859" t="s">
        <v>882</v>
      </c>
      <c r="D29" s="397">
        <f>SUM(D26:D28)</f>
        <v>17787</v>
      </c>
      <c r="E29" s="200"/>
      <c r="F29" s="4"/>
      <c r="G29" s="4"/>
      <c r="H29" s="76"/>
      <c r="I29" s="76"/>
      <c r="J29" s="4"/>
      <c r="K29" s="4"/>
      <c r="L29" s="620">
        <v>390</v>
      </c>
      <c r="M29" s="1374">
        <v>17376</v>
      </c>
      <c r="N29" s="1774">
        <f>IF(ISERROR((D29-M29)/M29),0,((D29-M29)/M29))</f>
        <v>2.365331491712707E-2</v>
      </c>
      <c r="O29" s="1768"/>
      <c r="P29" s="1518"/>
    </row>
    <row r="30" spans="1:18" s="227" customFormat="1" ht="13.5" customHeight="1" thickBot="1">
      <c r="A30" s="594">
        <v>891</v>
      </c>
      <c r="B30" s="595">
        <v>37</v>
      </c>
      <c r="C30" s="1542" t="s">
        <v>484</v>
      </c>
      <c r="D30" s="251">
        <v>8932</v>
      </c>
      <c r="E30" s="200"/>
      <c r="F30" s="4"/>
      <c r="G30" s="4"/>
      <c r="H30" s="76"/>
      <c r="I30" s="76"/>
      <c r="J30" s="4"/>
      <c r="K30" s="4"/>
      <c r="L30" s="1395"/>
      <c r="M30" s="1421"/>
      <c r="N30" s="1771"/>
      <c r="O30" s="1763"/>
      <c r="P30" s="1518"/>
    </row>
    <row r="31" spans="1:18" s="227" customFormat="1" ht="19.5" customHeight="1">
      <c r="A31" s="596">
        <v>892</v>
      </c>
      <c r="B31" s="597" t="s">
        <v>395</v>
      </c>
      <c r="C31" s="858" t="s">
        <v>1154</v>
      </c>
      <c r="D31" s="251">
        <v>2133</v>
      </c>
      <c r="E31" s="200"/>
      <c r="H31" s="76"/>
      <c r="I31" s="76"/>
      <c r="J31" s="4"/>
      <c r="K31" s="4"/>
      <c r="L31" s="877"/>
      <c r="M31" s="1194"/>
      <c r="N31" s="1772"/>
      <c r="O31" s="1764"/>
      <c r="P31" s="1518"/>
    </row>
    <row r="32" spans="1:18" s="227" customFormat="1" ht="13.5" thickBot="1">
      <c r="A32" s="593">
        <v>894</v>
      </c>
      <c r="B32" s="605"/>
      <c r="C32" s="600" t="s">
        <v>490</v>
      </c>
      <c r="D32" s="334">
        <v>19</v>
      </c>
      <c r="E32" s="200"/>
      <c r="F32" s="4"/>
      <c r="G32" s="4"/>
      <c r="H32" s="76"/>
      <c r="I32" s="76"/>
      <c r="J32" s="4"/>
      <c r="K32" s="4"/>
      <c r="L32" s="877"/>
      <c r="M32" s="1194"/>
      <c r="N32" s="1772"/>
      <c r="O32" s="1764"/>
      <c r="P32" s="1518"/>
    </row>
    <row r="33" spans="1:18" s="227" customFormat="1" ht="13.5" thickBot="1">
      <c r="A33" s="601">
        <v>886</v>
      </c>
      <c r="B33" s="602"/>
      <c r="C33" s="603" t="s">
        <v>723</v>
      </c>
      <c r="D33" s="398">
        <f>SUM(D8+D12+D16+D25+D29+D30+D31+D32)</f>
        <v>165975</v>
      </c>
      <c r="E33" s="200"/>
      <c r="F33" s="1705"/>
      <c r="G33" s="1401"/>
      <c r="H33" s="1401"/>
      <c r="I33" s="1401"/>
      <c r="J33" s="1401"/>
      <c r="K33" s="4"/>
      <c r="L33" s="604"/>
      <c r="M33" s="1422"/>
      <c r="N33" s="1776"/>
      <c r="O33" s="1768"/>
      <c r="P33" s="1518"/>
    </row>
    <row r="34" spans="1:18" s="227" customFormat="1" ht="13.5" thickBot="1">
      <c r="A34" s="604">
        <v>896</v>
      </c>
      <c r="B34" s="605"/>
      <c r="C34" s="606" t="s">
        <v>96</v>
      </c>
      <c r="D34" s="335">
        <f>RR!C7</f>
        <v>165976</v>
      </c>
      <c r="F34" s="2336"/>
      <c r="G34" s="2336"/>
      <c r="H34" s="2336"/>
      <c r="I34" s="2336"/>
      <c r="J34" s="2336"/>
      <c r="K34" s="4"/>
      <c r="M34" s="19"/>
      <c r="N34" s="190"/>
    </row>
    <row r="35" spans="1:18" s="227" customFormat="1" ht="39" customHeight="1">
      <c r="A35" s="4"/>
      <c r="B35" s="4"/>
      <c r="C35" s="4"/>
      <c r="D35" s="200" t="str">
        <f>IF(ABS(D33-D34)&lt;50,"",IF(OR(D33=0,D34=0),"",IF((SUM(D33)/(D34))&lt;&gt;1,(ROUND(D33-D34,0))&amp;" mnkr differens mellan verks.intäkter i RR och summan av verks.intäkter här - måste rättas!","")))</f>
        <v/>
      </c>
      <c r="E35" s="200"/>
      <c r="F35" s="2336"/>
      <c r="G35" s="2336"/>
      <c r="H35" s="2336"/>
      <c r="I35" s="2336"/>
      <c r="J35" s="2336"/>
      <c r="K35" s="4"/>
      <c r="L35" s="1441" t="s">
        <v>1171</v>
      </c>
    </row>
    <row r="36" spans="1:18" s="227" customFormat="1" ht="16.5" thickBot="1">
      <c r="A36" s="87" t="s">
        <v>390</v>
      </c>
      <c r="B36" s="4"/>
      <c r="C36" s="4"/>
      <c r="D36" s="4"/>
      <c r="E36" s="200"/>
      <c r="F36" s="191"/>
      <c r="G36" s="192"/>
      <c r="H36" s="243"/>
      <c r="I36" s="76"/>
      <c r="J36" s="4"/>
      <c r="K36" s="4"/>
      <c r="L36" s="1441" t="s">
        <v>1263</v>
      </c>
    </row>
    <row r="37" spans="1:18" s="226" customFormat="1">
      <c r="A37" s="658" t="s">
        <v>701</v>
      </c>
      <c r="B37" s="2326" t="s">
        <v>863</v>
      </c>
      <c r="C37" s="870"/>
      <c r="D37" s="670" t="s">
        <v>1278</v>
      </c>
      <c r="E37" s="200"/>
      <c r="F37" s="88" t="s">
        <v>852</v>
      </c>
      <c r="G37" s="232"/>
      <c r="H37" s="233"/>
      <c r="I37" s="245"/>
      <c r="J37" s="202"/>
      <c r="K37" s="202"/>
      <c r="L37" s="880" t="s">
        <v>701</v>
      </c>
      <c r="M37" s="881" t="s">
        <v>1281</v>
      </c>
      <c r="N37" s="882" t="s">
        <v>853</v>
      </c>
      <c r="O37" s="1785"/>
      <c r="P37" s="1517"/>
    </row>
    <row r="38" spans="1:18" s="226" customFormat="1" ht="18.75" customHeight="1">
      <c r="A38" s="871" t="s">
        <v>704</v>
      </c>
      <c r="B38" s="2353"/>
      <c r="C38" s="873"/>
      <c r="D38" s="861">
        <v>2016</v>
      </c>
      <c r="E38" s="200"/>
      <c r="F38" s="246"/>
      <c r="G38" s="82"/>
      <c r="H38" s="145"/>
      <c r="I38" s="244"/>
      <c r="J38" s="202"/>
      <c r="K38" s="202"/>
      <c r="L38" s="883" t="s">
        <v>704</v>
      </c>
      <c r="M38" s="884">
        <v>2015</v>
      </c>
      <c r="N38" s="885" t="s">
        <v>1261</v>
      </c>
      <c r="O38" s="1760"/>
      <c r="P38" s="1517"/>
    </row>
    <row r="39" spans="1:18" s="227" customFormat="1" ht="18" customHeight="1" thickBot="1">
      <c r="A39" s="874"/>
      <c r="B39" s="2361"/>
      <c r="C39" s="653"/>
      <c r="D39" s="876"/>
      <c r="E39" s="200"/>
      <c r="F39" s="766">
        <v>602</v>
      </c>
      <c r="G39" s="767">
        <v>4513</v>
      </c>
      <c r="H39" s="768" t="s">
        <v>171</v>
      </c>
      <c r="I39" s="324">
        <v>136</v>
      </c>
      <c r="J39" s="1415"/>
      <c r="K39" s="4"/>
      <c r="L39" s="886"/>
      <c r="M39" s="887"/>
      <c r="N39" s="885" t="s">
        <v>854</v>
      </c>
      <c r="O39" s="1760"/>
      <c r="P39" s="1517"/>
    </row>
    <row r="40" spans="1:18" s="227" customFormat="1" ht="13.5" thickBot="1">
      <c r="A40" s="877">
        <v>600</v>
      </c>
      <c r="B40" s="878">
        <v>451</v>
      </c>
      <c r="C40" s="879" t="s">
        <v>789</v>
      </c>
      <c r="D40" s="215">
        <v>11775</v>
      </c>
      <c r="E40" s="200"/>
      <c r="F40" s="888">
        <v>603</v>
      </c>
      <c r="G40" s="889">
        <v>4514</v>
      </c>
      <c r="H40" s="890" t="s">
        <v>172</v>
      </c>
      <c r="I40" s="340">
        <v>70</v>
      </c>
      <c r="J40" s="159"/>
      <c r="K40" s="159"/>
      <c r="L40" s="1395"/>
      <c r="M40" s="1391"/>
      <c r="N40" s="1771"/>
      <c r="O40" s="1778"/>
      <c r="P40" s="1515"/>
    </row>
    <row r="41" spans="1:18" s="227" customFormat="1" ht="18" customHeight="1">
      <c r="A41" s="618">
        <v>610</v>
      </c>
      <c r="B41" s="619">
        <v>452</v>
      </c>
      <c r="C41" s="612" t="s">
        <v>790</v>
      </c>
      <c r="D41" s="114">
        <v>1092</v>
      </c>
      <c r="E41" s="200"/>
      <c r="F41" s="891">
        <v>630</v>
      </c>
      <c r="G41" s="892">
        <v>4538</v>
      </c>
      <c r="H41" s="1527" t="s">
        <v>944</v>
      </c>
      <c r="I41" s="1450">
        <v>4831</v>
      </c>
      <c r="J41" s="328"/>
      <c r="K41" s="328"/>
      <c r="L41" s="877"/>
      <c r="M41" s="847"/>
      <c r="N41" s="1772"/>
      <c r="O41" s="1779"/>
      <c r="P41" s="1515"/>
    </row>
    <row r="42" spans="1:18" s="227" customFormat="1" ht="13.5" thickBot="1">
      <c r="A42" s="618">
        <v>620</v>
      </c>
      <c r="B42" s="616">
        <v>453</v>
      </c>
      <c r="C42" s="617" t="s">
        <v>883</v>
      </c>
      <c r="D42" s="198">
        <v>14230</v>
      </c>
      <c r="E42" s="200"/>
      <c r="F42" s="635">
        <v>631</v>
      </c>
      <c r="G42" s="1633" t="s">
        <v>965</v>
      </c>
      <c r="H42" s="636" t="s">
        <v>930</v>
      </c>
      <c r="I42" s="258">
        <v>2290</v>
      </c>
      <c r="J42" s="159"/>
      <c r="K42" s="159"/>
      <c r="L42" s="610"/>
      <c r="M42" s="868"/>
      <c r="N42" s="1773"/>
      <c r="O42" s="1780"/>
      <c r="P42" s="1515"/>
    </row>
    <row r="43" spans="1:18" s="227" customFormat="1">
      <c r="A43" s="724">
        <v>650</v>
      </c>
      <c r="B43" s="616">
        <v>454</v>
      </c>
      <c r="C43" s="617" t="s">
        <v>874</v>
      </c>
      <c r="D43" s="198">
        <v>309</v>
      </c>
      <c r="E43" s="200"/>
      <c r="F43" s="1634" t="s">
        <v>955</v>
      </c>
      <c r="G43" s="1635" t="s">
        <v>875</v>
      </c>
      <c r="H43" s="1527" t="s">
        <v>876</v>
      </c>
      <c r="I43" s="1450">
        <v>199</v>
      </c>
      <c r="J43" s="159"/>
      <c r="K43" s="159"/>
      <c r="L43" s="877"/>
      <c r="M43" s="847"/>
      <c r="N43" s="1772"/>
      <c r="O43" s="1779"/>
      <c r="P43" s="1515"/>
    </row>
    <row r="44" spans="1:18" s="227" customFormat="1" ht="13.5" thickBot="1">
      <c r="A44" s="604">
        <v>690</v>
      </c>
      <c r="B44" s="621"/>
      <c r="C44" s="591" t="s">
        <v>884</v>
      </c>
      <c r="D44" s="399">
        <f>SUM(D40,D41,D42,D43)</f>
        <v>27406</v>
      </c>
      <c r="E44" s="200"/>
      <c r="F44" s="1636">
        <v>652</v>
      </c>
      <c r="G44" s="1637">
        <v>4542</v>
      </c>
      <c r="H44" s="1541" t="s">
        <v>877</v>
      </c>
      <c r="I44" s="1451">
        <v>111</v>
      </c>
      <c r="J44" s="159"/>
      <c r="L44" s="620">
        <v>690</v>
      </c>
      <c r="M44" s="1374">
        <v>27409</v>
      </c>
      <c r="N44" s="1774">
        <f>IF(ISERROR((D44-M44)/M44),0,((D44-M44)/M44))</f>
        <v>-1.0945309934692984E-4</v>
      </c>
      <c r="O44" s="1781"/>
      <c r="P44" s="1519"/>
      <c r="R44" s="1514"/>
    </row>
    <row r="45" spans="1:18" s="227" customFormat="1" ht="21.75" customHeight="1">
      <c r="A45" s="622">
        <v>100</v>
      </c>
      <c r="B45" s="1630" t="s">
        <v>941</v>
      </c>
      <c r="C45" s="624" t="s">
        <v>791</v>
      </c>
      <c r="D45" s="114">
        <v>253501</v>
      </c>
      <c r="E45" s="200"/>
      <c r="F45" s="1452">
        <v>102</v>
      </c>
      <c r="G45" s="1453">
        <v>512</v>
      </c>
      <c r="H45" s="1454" t="s">
        <v>173</v>
      </c>
      <c r="I45" s="1455">
        <v>4639</v>
      </c>
      <c r="J45" s="159"/>
      <c r="K45" s="159"/>
      <c r="L45" s="852">
        <v>100</v>
      </c>
      <c r="M45" s="1371">
        <v>223995</v>
      </c>
      <c r="N45" s="1773">
        <f>IF(ISERROR((D45-M45)/M45),0,((D45-M45)/M45))</f>
        <v>0.13172615460166523</v>
      </c>
      <c r="O45" s="1782"/>
      <c r="P45" s="1515"/>
    </row>
    <row r="46" spans="1:18" s="227" customFormat="1" ht="18.75">
      <c r="A46" s="607">
        <v>110</v>
      </c>
      <c r="B46" s="608" t="s">
        <v>605</v>
      </c>
      <c r="C46" s="609" t="str">
        <f>"Sociala avg. enl. lag o. avtal (inkl. lönesk. för år 2013), exkl särskild löneskatt på pensi.avsättning"</f>
        <v>Sociala avg. enl. lag o. avtal (inkl. lönesk. för år 2013), exkl särskild löneskatt på pensi.avsättning</v>
      </c>
      <c r="D46" s="342">
        <v>84200</v>
      </c>
      <c r="E46" s="200"/>
      <c r="F46" s="637">
        <v>111</v>
      </c>
      <c r="G46" s="1433" t="s">
        <v>861</v>
      </c>
      <c r="H46" s="638" t="s">
        <v>881</v>
      </c>
      <c r="I46" s="257">
        <v>5546</v>
      </c>
      <c r="J46" s="159"/>
      <c r="K46" s="159"/>
      <c r="L46" s="613"/>
      <c r="M46" s="1203"/>
      <c r="N46" s="1775"/>
      <c r="O46" s="1783"/>
      <c r="P46" s="1515"/>
    </row>
    <row r="47" spans="1:18" s="227" customFormat="1" ht="16.5" customHeight="1">
      <c r="A47" s="610">
        <v>115</v>
      </c>
      <c r="B47" s="611" t="s">
        <v>604</v>
      </c>
      <c r="C47" s="612" t="s">
        <v>148</v>
      </c>
      <c r="D47" s="114">
        <v>1879</v>
      </c>
      <c r="E47" s="200"/>
      <c r="F47" s="4"/>
      <c r="G47" s="4"/>
      <c r="H47" s="76"/>
      <c r="L47" s="610">
        <v>115</v>
      </c>
      <c r="M47" s="1371">
        <v>1760</v>
      </c>
      <c r="N47" s="1773">
        <f>IF(ISERROR((D47-M47)/M47),0,((D47-M47)/M47))</f>
        <v>6.7613636363636362E-2</v>
      </c>
      <c r="O47" s="1780"/>
      <c r="P47" s="1515"/>
    </row>
    <row r="48" spans="1:18" s="227" customFormat="1">
      <c r="A48" s="613">
        <v>120</v>
      </c>
      <c r="B48" s="614">
        <v>573</v>
      </c>
      <c r="C48" s="612" t="s">
        <v>886</v>
      </c>
      <c r="D48" s="253">
        <v>9642</v>
      </c>
      <c r="E48" s="200"/>
      <c r="F48" s="766">
        <v>121</v>
      </c>
      <c r="G48" s="767" t="s">
        <v>623</v>
      </c>
      <c r="H48" s="830" t="s">
        <v>931</v>
      </c>
      <c r="I48" s="324">
        <v>737</v>
      </c>
      <c r="L48" s="607">
        <v>120</v>
      </c>
      <c r="M48" s="1363">
        <v>9218</v>
      </c>
      <c r="N48" s="1777">
        <f>IF(ISERROR((D48-M48)/M48),0,((D48-M48)/M48))</f>
        <v>4.5996962464742892E-2</v>
      </c>
      <c r="O48" s="1769"/>
      <c r="P48" s="1518"/>
    </row>
    <row r="49" spans="1:16" s="227" customFormat="1">
      <c r="A49" s="613">
        <v>180</v>
      </c>
      <c r="B49" s="616">
        <v>571</v>
      </c>
      <c r="C49" s="612" t="s">
        <v>885</v>
      </c>
      <c r="D49" s="198">
        <v>1332</v>
      </c>
      <c r="E49" s="200"/>
      <c r="F49" s="769">
        <v>122</v>
      </c>
      <c r="G49" s="725" t="s">
        <v>624</v>
      </c>
      <c r="H49" s="833" t="s">
        <v>932</v>
      </c>
      <c r="I49" s="325">
        <v>8460</v>
      </c>
      <c r="J49" s="1686"/>
      <c r="K49" s="4"/>
      <c r="L49" s="613"/>
      <c r="M49" s="1203"/>
      <c r="N49" s="1775"/>
      <c r="O49" s="1783"/>
      <c r="P49" s="1515"/>
    </row>
    <row r="50" spans="1:16" s="227" customFormat="1">
      <c r="A50" s="618">
        <v>186</v>
      </c>
      <c r="B50" s="619">
        <v>574</v>
      </c>
      <c r="C50" s="612" t="s">
        <v>10</v>
      </c>
      <c r="D50" s="114">
        <v>92</v>
      </c>
      <c r="E50" s="200"/>
      <c r="F50" s="772">
        <v>123</v>
      </c>
      <c r="G50" s="896">
        <v>5733</v>
      </c>
      <c r="H50" s="636" t="s">
        <v>933</v>
      </c>
      <c r="I50" s="326">
        <v>301</v>
      </c>
      <c r="J50" s="174"/>
      <c r="K50" s="174"/>
      <c r="L50" s="877"/>
      <c r="M50" s="1194"/>
      <c r="N50" s="1772"/>
      <c r="O50" s="1779"/>
      <c r="P50" s="1515"/>
    </row>
    <row r="51" spans="1:16" s="227" customFormat="1">
      <c r="A51" s="618">
        <v>185</v>
      </c>
      <c r="B51" s="616">
        <v>575</v>
      </c>
      <c r="C51" s="617" t="str">
        <f>"Pensionskostnad, avgiftsbestämd ålderspension"</f>
        <v>Pensionskostnad, avgiftsbestämd ålderspension</v>
      </c>
      <c r="D51" s="198">
        <v>11859</v>
      </c>
      <c r="E51" s="260"/>
      <c r="F51" s="4"/>
      <c r="G51" s="4"/>
      <c r="H51" s="76"/>
      <c r="J51" s="4"/>
      <c r="K51" s="4"/>
      <c r="L51" s="877"/>
      <c r="M51" s="1194"/>
      <c r="N51" s="1772"/>
      <c r="O51" s="1779"/>
      <c r="P51" s="1515"/>
    </row>
    <row r="52" spans="1:16" s="227" customFormat="1" ht="13.5" thickBot="1">
      <c r="A52" s="620">
        <v>189</v>
      </c>
      <c r="B52" s="621"/>
      <c r="C52" s="591" t="s">
        <v>792</v>
      </c>
      <c r="D52" s="399">
        <f>SUM(D45,D46,D47,D48,D49,D50,D51)</f>
        <v>362505</v>
      </c>
      <c r="E52" s="200"/>
      <c r="F52" s="4"/>
      <c r="G52" s="4"/>
      <c r="H52" s="76"/>
      <c r="I52" s="76"/>
      <c r="L52" s="620"/>
      <c r="M52" s="1374"/>
      <c r="N52" s="1774"/>
      <c r="O52" s="1781"/>
      <c r="P52" s="1519"/>
    </row>
    <row r="53" spans="1:16" s="227" customFormat="1">
      <c r="A53" s="622">
        <v>300</v>
      </c>
      <c r="B53" s="619" t="s">
        <v>922</v>
      </c>
      <c r="C53" s="612" t="s">
        <v>921</v>
      </c>
      <c r="D53" s="114">
        <v>8690</v>
      </c>
      <c r="E53" s="200"/>
      <c r="F53" s="763">
        <v>318</v>
      </c>
      <c r="G53" s="893">
        <v>628</v>
      </c>
      <c r="H53" s="894" t="s">
        <v>174</v>
      </c>
      <c r="I53" s="257">
        <v>454</v>
      </c>
      <c r="J53" s="159"/>
      <c r="K53" s="159"/>
      <c r="L53" s="1395"/>
      <c r="M53" s="1421"/>
      <c r="N53" s="1771"/>
      <c r="O53" s="1778"/>
      <c r="P53" s="1515"/>
    </row>
    <row r="54" spans="1:16" s="227" customFormat="1">
      <c r="A54" s="618">
        <v>325</v>
      </c>
      <c r="B54" s="619">
        <v>644</v>
      </c>
      <c r="C54" s="612" t="s">
        <v>793</v>
      </c>
      <c r="D54" s="114">
        <v>7269</v>
      </c>
      <c r="E54" s="200"/>
      <c r="F54" s="4"/>
      <c r="G54" s="4"/>
      <c r="H54" s="76"/>
      <c r="J54" s="4"/>
      <c r="K54" s="4"/>
      <c r="L54" s="877"/>
      <c r="M54" s="1194"/>
      <c r="N54" s="1772"/>
      <c r="O54" s="1779"/>
      <c r="P54" s="1515"/>
    </row>
    <row r="55" spans="1:16" s="227" customFormat="1">
      <c r="A55" s="618">
        <v>330</v>
      </c>
      <c r="B55" s="619">
        <v>651</v>
      </c>
      <c r="C55" s="612" t="s">
        <v>794</v>
      </c>
      <c r="D55" s="114">
        <v>408</v>
      </c>
      <c r="E55" s="200"/>
      <c r="F55" s="4"/>
      <c r="G55" s="4"/>
      <c r="H55" s="76"/>
      <c r="I55" s="76"/>
      <c r="L55" s="877"/>
      <c r="M55" s="1194"/>
      <c r="N55" s="1772"/>
      <c r="O55" s="1779"/>
      <c r="P55" s="1515"/>
    </row>
    <row r="56" spans="1:16" s="227" customFormat="1">
      <c r="A56" s="618">
        <v>340</v>
      </c>
      <c r="B56" s="623" t="s">
        <v>768</v>
      </c>
      <c r="C56" s="624" t="s">
        <v>795</v>
      </c>
      <c r="D56" s="114">
        <v>17376</v>
      </c>
      <c r="E56" s="200"/>
      <c r="F56" s="1860" t="s">
        <v>954</v>
      </c>
      <c r="G56" s="1857">
        <v>641</v>
      </c>
      <c r="H56" s="1581" t="s">
        <v>895</v>
      </c>
      <c r="I56" s="1582">
        <v>3626</v>
      </c>
      <c r="J56" s="159"/>
      <c r="K56" s="4"/>
      <c r="L56" s="610"/>
      <c r="M56" s="1371"/>
      <c r="N56" s="1773"/>
      <c r="O56" s="1780"/>
      <c r="P56" s="1515"/>
    </row>
    <row r="57" spans="1:16" s="227" customFormat="1" ht="12.75" customHeight="1" thickBot="1">
      <c r="A57" s="620">
        <v>360</v>
      </c>
      <c r="B57" s="625"/>
      <c r="C57" s="626" t="s">
        <v>796</v>
      </c>
      <c r="D57" s="399">
        <f>SUM(D53,D54,D55,D56)</f>
        <v>33743</v>
      </c>
      <c r="E57" s="200"/>
      <c r="F57" s="772" t="s">
        <v>1178</v>
      </c>
      <c r="G57" s="896">
        <v>422</v>
      </c>
      <c r="H57" s="1867" t="s">
        <v>1179</v>
      </c>
      <c r="I57" s="1862">
        <v>1167</v>
      </c>
      <c r="J57" s="4"/>
      <c r="K57" s="4"/>
      <c r="L57" s="620">
        <v>360</v>
      </c>
      <c r="M57" s="1374">
        <v>30732</v>
      </c>
      <c r="N57" s="1774">
        <f>IF(ISERROR((D57-M57)/M57),0,((D57-M57)/M57))</f>
        <v>9.7976051021736302E-2</v>
      </c>
      <c r="O57" s="1781"/>
      <c r="P57" s="1519"/>
    </row>
    <row r="58" spans="1:16" s="227" customFormat="1">
      <c r="A58" s="618">
        <v>345</v>
      </c>
      <c r="B58" s="619" t="s">
        <v>939</v>
      </c>
      <c r="C58" s="612" t="s">
        <v>887</v>
      </c>
      <c r="D58" s="114">
        <v>7785</v>
      </c>
      <c r="E58" s="200"/>
      <c r="F58" s="4"/>
      <c r="G58" s="4"/>
      <c r="H58" s="76"/>
      <c r="I58" s="76"/>
      <c r="J58" s="4"/>
      <c r="K58" s="4"/>
      <c r="L58" s="1395"/>
      <c r="M58" s="1421"/>
      <c r="N58" s="1771"/>
      <c r="O58" s="1778"/>
      <c r="P58" s="1515"/>
    </row>
    <row r="59" spans="1:16" s="227" customFormat="1">
      <c r="A59" s="618">
        <v>401</v>
      </c>
      <c r="B59" s="619">
        <v>46</v>
      </c>
      <c r="C59" s="612" t="s">
        <v>888</v>
      </c>
      <c r="D59" s="114">
        <v>129213</v>
      </c>
      <c r="E59" s="200"/>
      <c r="F59" s="4"/>
      <c r="G59" s="4"/>
      <c r="H59" s="76"/>
      <c r="I59" s="76"/>
      <c r="J59" s="4"/>
      <c r="K59" s="4"/>
      <c r="L59" s="607">
        <v>401</v>
      </c>
      <c r="M59" s="1363">
        <v>110512</v>
      </c>
      <c r="N59" s="1777">
        <f>IF(ISERROR((D59-M59)/M59),0,((D59-M59)/M59))</f>
        <v>0.16922144201534675</v>
      </c>
      <c r="O59" s="1782"/>
      <c r="P59" s="1515"/>
    </row>
    <row r="60" spans="1:16" s="227" customFormat="1" ht="17.25" customHeight="1">
      <c r="A60" s="618">
        <v>410</v>
      </c>
      <c r="B60" s="619">
        <v>74</v>
      </c>
      <c r="C60" s="612" t="s">
        <v>926</v>
      </c>
      <c r="D60" s="114">
        <v>18672</v>
      </c>
      <c r="E60" s="200"/>
      <c r="F60" s="4"/>
      <c r="G60" s="4"/>
      <c r="H60" s="76"/>
      <c r="I60" s="76"/>
      <c r="J60" s="4"/>
      <c r="K60" s="4"/>
      <c r="L60" s="877"/>
      <c r="M60" s="1194"/>
      <c r="N60" s="1772"/>
      <c r="O60" s="1779"/>
      <c r="P60" s="1515"/>
    </row>
    <row r="61" spans="1:16" s="227" customFormat="1">
      <c r="A61" s="618">
        <v>411</v>
      </c>
      <c r="B61" s="619">
        <v>75</v>
      </c>
      <c r="C61" s="612" t="s">
        <v>797</v>
      </c>
      <c r="D61" s="114">
        <v>1762</v>
      </c>
      <c r="E61" s="200"/>
      <c r="F61" s="4"/>
      <c r="G61" s="4"/>
      <c r="H61" s="76"/>
      <c r="I61" s="76"/>
      <c r="J61" s="4"/>
      <c r="K61" s="4"/>
      <c r="L61" s="877"/>
      <c r="M61" s="1194"/>
      <c r="N61" s="1772"/>
      <c r="O61" s="1779"/>
      <c r="P61" s="1515"/>
    </row>
    <row r="62" spans="1:16" s="227" customFormat="1">
      <c r="A62" s="618">
        <v>415</v>
      </c>
      <c r="B62" s="619" t="s">
        <v>940</v>
      </c>
      <c r="C62" s="612" t="s">
        <v>798</v>
      </c>
      <c r="D62" s="114">
        <v>4368</v>
      </c>
      <c r="E62" s="200"/>
      <c r="F62" s="4"/>
      <c r="G62" s="4"/>
      <c r="H62" s="76"/>
      <c r="I62" s="76"/>
      <c r="J62" s="4"/>
      <c r="K62" s="4"/>
      <c r="L62" s="877"/>
      <c r="M62" s="1194"/>
      <c r="N62" s="1772"/>
      <c r="O62" s="1779"/>
      <c r="P62" s="1515"/>
    </row>
    <row r="63" spans="1:16" s="227" customFormat="1">
      <c r="A63" s="618">
        <v>416</v>
      </c>
      <c r="B63" s="623">
        <v>68</v>
      </c>
      <c r="C63" s="624" t="s">
        <v>799</v>
      </c>
      <c r="D63" s="114">
        <v>2403</v>
      </c>
      <c r="E63" s="200"/>
      <c r="F63" s="4"/>
      <c r="G63" s="4"/>
      <c r="H63" s="76"/>
      <c r="I63" s="76"/>
      <c r="J63" s="4"/>
      <c r="K63" s="4"/>
      <c r="L63" s="877"/>
      <c r="M63" s="1194"/>
      <c r="N63" s="1772"/>
      <c r="O63" s="1779"/>
      <c r="P63" s="1515"/>
    </row>
    <row r="64" spans="1:16" s="227" customFormat="1">
      <c r="A64" s="618">
        <v>430</v>
      </c>
      <c r="B64" s="623">
        <v>66</v>
      </c>
      <c r="C64" s="624" t="s">
        <v>889</v>
      </c>
      <c r="D64" s="114">
        <v>1635</v>
      </c>
      <c r="E64" s="200"/>
      <c r="F64" s="4"/>
      <c r="G64" s="4"/>
      <c r="H64" s="76"/>
      <c r="I64" s="76"/>
      <c r="J64" s="4"/>
      <c r="K64" s="4"/>
      <c r="L64" s="877"/>
      <c r="M64" s="1194"/>
      <c r="N64" s="1772"/>
      <c r="O64" s="1779"/>
      <c r="P64" s="1515"/>
    </row>
    <row r="65" spans="1:18" s="227" customFormat="1">
      <c r="A65" s="618">
        <v>440</v>
      </c>
      <c r="B65" s="623">
        <v>701</v>
      </c>
      <c r="C65" s="624" t="s">
        <v>800</v>
      </c>
      <c r="D65" s="114">
        <v>6127</v>
      </c>
      <c r="E65" s="200"/>
      <c r="F65" s="4"/>
      <c r="G65" s="4"/>
      <c r="H65" s="76"/>
      <c r="I65" s="76"/>
      <c r="J65" s="4"/>
      <c r="K65" s="4"/>
      <c r="L65" s="610"/>
      <c r="M65" s="1371"/>
      <c r="N65" s="1773"/>
      <c r="O65" s="1780"/>
      <c r="P65" s="1515"/>
    </row>
    <row r="66" spans="1:18" s="227" customFormat="1">
      <c r="A66" s="618">
        <v>450</v>
      </c>
      <c r="B66" s="623">
        <v>601</v>
      </c>
      <c r="C66" s="624" t="s">
        <v>801</v>
      </c>
      <c r="D66" s="114">
        <v>30289</v>
      </c>
      <c r="E66" s="200"/>
      <c r="F66" s="4"/>
      <c r="G66" s="4"/>
      <c r="H66" s="76"/>
      <c r="I66" s="76"/>
      <c r="J66" s="4"/>
      <c r="K66" s="4"/>
      <c r="L66" s="607">
        <v>450</v>
      </c>
      <c r="M66" s="1363">
        <v>27350</v>
      </c>
      <c r="N66" s="1777">
        <f>IF(ISERROR((D66-M66)/M66),0,((D66-M66)/M66))</f>
        <v>0.10745886654478977</v>
      </c>
      <c r="O66" s="1782"/>
      <c r="P66" s="1515"/>
    </row>
    <row r="67" spans="1:18" s="227" customFormat="1" ht="20.25" customHeight="1">
      <c r="A67" s="618">
        <v>460</v>
      </c>
      <c r="B67" s="623">
        <v>602</v>
      </c>
      <c r="C67" s="624" t="s">
        <v>802</v>
      </c>
      <c r="D67" s="114">
        <v>73</v>
      </c>
      <c r="E67" s="200"/>
      <c r="F67" s="1638">
        <v>469</v>
      </c>
      <c r="G67" s="1639" t="s">
        <v>1180</v>
      </c>
      <c r="H67" s="1855" t="s">
        <v>1181</v>
      </c>
      <c r="I67" s="1859">
        <v>3224</v>
      </c>
      <c r="J67" s="4"/>
      <c r="K67" s="4"/>
      <c r="L67" s="613"/>
      <c r="M67" s="1203"/>
      <c r="N67" s="1775"/>
      <c r="O67" s="1783"/>
      <c r="P67" s="1515"/>
    </row>
    <row r="68" spans="1:18" s="227" customFormat="1" ht="18.75" customHeight="1">
      <c r="A68" s="618">
        <v>470</v>
      </c>
      <c r="B68" s="1629" t="s">
        <v>928</v>
      </c>
      <c r="C68" s="649" t="s">
        <v>929</v>
      </c>
      <c r="D68" s="254">
        <v>8005</v>
      </c>
      <c r="E68" s="200"/>
      <c r="F68" s="769">
        <v>472</v>
      </c>
      <c r="G68" s="770">
        <v>731</v>
      </c>
      <c r="H68" s="771" t="s">
        <v>0</v>
      </c>
      <c r="I68" s="1858">
        <v>1023</v>
      </c>
      <c r="J68" s="4"/>
      <c r="K68" s="4"/>
      <c r="L68" s="877"/>
      <c r="M68" s="1194"/>
      <c r="N68" s="1772"/>
      <c r="O68" s="1779"/>
      <c r="P68" s="1515"/>
    </row>
    <row r="69" spans="1:18" s="227" customFormat="1">
      <c r="A69" s="618">
        <v>471</v>
      </c>
      <c r="B69" s="619" t="s">
        <v>769</v>
      </c>
      <c r="C69" s="612" t="s">
        <v>803</v>
      </c>
      <c r="D69" s="115">
        <v>12483</v>
      </c>
      <c r="E69" s="200"/>
      <c r="F69" s="769">
        <v>474</v>
      </c>
      <c r="G69" s="725">
        <v>732</v>
      </c>
      <c r="H69" s="895" t="s">
        <v>1</v>
      </c>
      <c r="I69" s="325">
        <v>86</v>
      </c>
      <c r="J69" s="4"/>
      <c r="K69" s="4"/>
      <c r="L69" s="610"/>
      <c r="M69" s="1371"/>
      <c r="N69" s="1773"/>
      <c r="O69" s="1780"/>
      <c r="P69" s="1515"/>
    </row>
    <row r="70" spans="1:18" s="227" customFormat="1" ht="18.75" thickBot="1">
      <c r="A70" s="627">
        <v>479</v>
      </c>
      <c r="B70" s="628"/>
      <c r="C70" s="629" t="s">
        <v>804</v>
      </c>
      <c r="D70" s="400">
        <f>SUM(D58:D69)</f>
        <v>222815</v>
      </c>
      <c r="E70" s="200"/>
      <c r="F70" s="769">
        <v>476</v>
      </c>
      <c r="G70" s="897" t="s">
        <v>396</v>
      </c>
      <c r="H70" s="895" t="s">
        <v>2</v>
      </c>
      <c r="I70" s="325">
        <v>956</v>
      </c>
      <c r="J70" s="4"/>
      <c r="K70" s="4"/>
      <c r="L70" s="620">
        <v>479</v>
      </c>
      <c r="M70" s="1374">
        <v>194995</v>
      </c>
      <c r="N70" s="1774">
        <f>IF(ISERROR((D70-M70)/M70),0,((D70-M70)/M70))</f>
        <v>0.14267032488012513</v>
      </c>
      <c r="O70" s="1781"/>
      <c r="P70" s="1519"/>
    </row>
    <row r="71" spans="1:18" s="227" customFormat="1" ht="12.75" customHeight="1">
      <c r="A71" s="630">
        <v>897</v>
      </c>
      <c r="B71" s="1629" t="s">
        <v>927</v>
      </c>
      <c r="C71" s="624" t="s">
        <v>849</v>
      </c>
      <c r="D71" s="255">
        <v>622</v>
      </c>
      <c r="E71" s="200"/>
      <c r="F71" s="769">
        <v>477</v>
      </c>
      <c r="G71" s="725">
        <v>737</v>
      </c>
      <c r="H71" s="895" t="s">
        <v>3</v>
      </c>
      <c r="I71" s="325">
        <v>8</v>
      </c>
      <c r="J71" s="4"/>
      <c r="K71" s="4"/>
      <c r="L71" s="1395"/>
      <c r="M71" s="1421"/>
      <c r="N71" s="1771"/>
      <c r="O71" s="1778"/>
      <c r="P71" s="1515"/>
    </row>
    <row r="72" spans="1:18" s="227" customFormat="1" ht="12.75" customHeight="1">
      <c r="A72" s="607">
        <v>899</v>
      </c>
      <c r="B72" s="1631">
        <v>787</v>
      </c>
      <c r="C72" s="624" t="s">
        <v>878</v>
      </c>
      <c r="D72" s="252">
        <v>451</v>
      </c>
      <c r="E72" s="200"/>
      <c r="F72" s="1735" t="s">
        <v>272</v>
      </c>
      <c r="G72" s="725"/>
      <c r="H72" s="833" t="s">
        <v>1162</v>
      </c>
      <c r="I72" s="325">
        <v>3</v>
      </c>
      <c r="J72" s="159" t="str">
        <f>IF(I72&gt;I71,"rad 479 &gt; rad 477",IF(AND(I71&gt;0,I72=""),"skriv belopp eller 0",""))</f>
        <v/>
      </c>
      <c r="K72" s="4"/>
      <c r="L72" s="877"/>
      <c r="M72" s="1194"/>
      <c r="N72" s="1772"/>
      <c r="O72" s="1779"/>
      <c r="P72" s="1515"/>
    </row>
    <row r="73" spans="1:18" s="227" customFormat="1" ht="12.75" customHeight="1" thickBot="1">
      <c r="A73" s="627">
        <v>900</v>
      </c>
      <c r="B73" s="631">
        <v>789</v>
      </c>
      <c r="C73" s="632" t="s">
        <v>394</v>
      </c>
      <c r="D73" s="256">
        <v>15</v>
      </c>
      <c r="E73" s="141"/>
      <c r="F73" s="898">
        <v>478</v>
      </c>
      <c r="G73" s="725" t="s">
        <v>893</v>
      </c>
      <c r="H73" s="895" t="s">
        <v>832</v>
      </c>
      <c r="I73" s="325">
        <v>1900</v>
      </c>
      <c r="J73" s="4"/>
      <c r="K73" s="159"/>
      <c r="L73" s="877"/>
      <c r="M73" s="1194"/>
      <c r="N73" s="1772"/>
      <c r="O73" s="1779"/>
      <c r="P73" s="1515"/>
    </row>
    <row r="74" spans="1:18" s="227" customFormat="1" ht="18" customHeight="1" thickBot="1">
      <c r="A74" s="622">
        <v>887</v>
      </c>
      <c r="B74" s="623"/>
      <c r="C74" s="633" t="s">
        <v>724</v>
      </c>
      <c r="D74" s="401">
        <f>SUM(D44+D52+D57+D70+D71+D72+D73)</f>
        <v>647557</v>
      </c>
      <c r="F74" s="635">
        <v>473</v>
      </c>
      <c r="G74" s="1736" t="s">
        <v>966</v>
      </c>
      <c r="H74" s="1543" t="s">
        <v>990</v>
      </c>
      <c r="I74" s="1497">
        <v>342</v>
      </c>
      <c r="J74" s="159"/>
      <c r="K74" s="4"/>
      <c r="L74" s="604"/>
      <c r="M74" s="1422"/>
      <c r="N74" s="1776"/>
      <c r="O74" s="1784"/>
      <c r="P74" s="1519"/>
    </row>
    <row r="75" spans="1:18" s="227" customFormat="1" ht="12.75" customHeight="1" thickBot="1">
      <c r="A75" s="634" t="s">
        <v>491</v>
      </c>
      <c r="B75" s="621"/>
      <c r="C75" s="591" t="s">
        <v>97</v>
      </c>
      <c r="D75" s="335">
        <f>RR!C8</f>
        <v>647557</v>
      </c>
      <c r="E75" s="200"/>
      <c r="F75" s="2358"/>
      <c r="G75" s="2359"/>
      <c r="H75" s="2359"/>
      <c r="I75" s="339"/>
      <c r="J75" s="192"/>
      <c r="L75" s="1396"/>
      <c r="M75" s="1397"/>
      <c r="N75" s="1398"/>
      <c r="O75" s="1399"/>
      <c r="P75" s="1515"/>
    </row>
    <row r="76" spans="1:18" s="227" customFormat="1" ht="12.75" customHeight="1">
      <c r="A76" s="163" t="s">
        <v>1258</v>
      </c>
      <c r="B76" s="1632"/>
      <c r="C76" s="1632"/>
      <c r="D76" s="43" t="str">
        <f>IF(ABS(D74-D75)&lt;50,"",IF(OR(D74=0,D75=0),"",IF((SUM(D74)/(D75))&lt;&gt;1,(ROUND(D74-D75,0))&amp;" tkr differens mellan verks.kostn i RR och summan av verks.kostnader här - måste rättas!","")))</f>
        <v/>
      </c>
      <c r="F76" s="2360"/>
      <c r="G76" s="2360"/>
      <c r="H76" s="2360"/>
      <c r="I76" s="2360"/>
      <c r="J76" s="2360"/>
      <c r="K76" s="4"/>
    </row>
    <row r="77" spans="1:18" s="227" customFormat="1" ht="12.75" customHeight="1">
      <c r="A77" s="163" t="s">
        <v>967</v>
      </c>
      <c r="B77" s="92"/>
      <c r="C77" s="92"/>
      <c r="D77" s="4"/>
      <c r="F77" s="2360"/>
      <c r="G77" s="2360"/>
      <c r="H77" s="2360"/>
      <c r="I77" s="2360"/>
      <c r="J77" s="2360"/>
      <c r="K77" s="4"/>
    </row>
    <row r="78" spans="1:18" s="227" customFormat="1">
      <c r="A78" s="190"/>
      <c r="B78" s="190"/>
      <c r="C78" s="190"/>
      <c r="D78" s="190"/>
      <c r="F78" s="2360"/>
      <c r="G78" s="2360"/>
      <c r="H78" s="2360"/>
      <c r="I78" s="2360"/>
      <c r="J78" s="2360"/>
      <c r="K78" s="4"/>
      <c r="L78" s="190"/>
      <c r="M78" s="190"/>
      <c r="N78" s="190"/>
      <c r="O78" s="190"/>
      <c r="P78" s="190"/>
      <c r="Q78" s="190"/>
      <c r="R78" s="190"/>
    </row>
    <row r="79" spans="1:18">
      <c r="F79" s="4"/>
      <c r="G79" s="4"/>
      <c r="H79" s="4"/>
      <c r="I79" s="4"/>
      <c r="J79" s="4"/>
    </row>
    <row r="80" spans="1:18"/>
  </sheetData>
  <customSheetViews>
    <customSheetView guid="{27C9E95B-0E2B-454F-B637-1CECC9579A10}" showGridLines="0" hiddenRows="1" showRuler="0">
      <selection activeCell="J73" sqref="J73"/>
      <rowBreaks count="1" manualBreakCount="1">
        <brk id="34" max="8" man="1"/>
      </rowBreaks>
      <pageMargins left="0.31496062992125984" right="0.31496062992125984" top="0.74803149606299213" bottom="0.74803149606299213" header="0.31496062992125984" footer="0.31496062992125984"/>
      <pageSetup paperSize="9" scale="80" orientation="portrait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 topLeftCell="A15">
      <selection activeCell="E34" sqref="E34"/>
      <rowBreaks count="1" manualBreakCount="1">
        <brk id="34" max="8" man="1"/>
      </rowBreaks>
      <pageMargins left="0.31496062992125984" right="0.31496062992125984" top="0.74803149606299213" bottom="0.74803149606299213" header="0.31496062992125984" footer="0.31496062992125984"/>
      <pageSetup paperSize="9" scale="80" orientation="portrait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selection activeCell="C60" sqref="C60"/>
      <rowBreaks count="1" manualBreakCount="1">
        <brk id="34" max="8" man="1"/>
      </rowBreaks>
      <pageMargins left="0.31496062992125984" right="0.31496062992125984" top="0.74803149606299213" bottom="0.74803149606299213" header="0.31496062992125984" footer="0.31496062992125984"/>
      <pageSetup paperSize="9" scale="80" orientation="portrait" r:id="rId3"/>
      <headerFooter>
        <oddHeader>&amp;L&amp;8Statistiska Centralbyrån
Offentlig ekonomi&amp;R&amp;P</oddHeader>
      </headerFooter>
    </customSheetView>
  </customSheetViews>
  <mergeCells count="5">
    <mergeCell ref="F75:H75"/>
    <mergeCell ref="F34:J35"/>
    <mergeCell ref="F76:J78"/>
    <mergeCell ref="B6:B7"/>
    <mergeCell ref="B38:B39"/>
  </mergeCells>
  <phoneticPr fontId="9" type="noConversion"/>
  <conditionalFormatting sqref="D2 D8:D11 D13:D15 D26:D28 D40:D43 I48:I50 I53 D45:D51 D53:D56 D71 D73 D30:D32 D58:D69 I68:I74 D17:D24 I39:I46">
    <cfRule type="cellIs" dxfId="75" priority="10" stopIfTrue="1" operator="lessThan">
      <formula>-500</formula>
    </cfRule>
  </conditionalFormatting>
  <conditionalFormatting sqref="I17:I20">
    <cfRule type="cellIs" dxfId="74" priority="6" stopIfTrue="1" operator="lessThan">
      <formula>-500</formula>
    </cfRule>
  </conditionalFormatting>
  <conditionalFormatting sqref="I23:I24">
    <cfRule type="cellIs" dxfId="73" priority="5" stopIfTrue="1" operator="lessThan">
      <formula>-500</formula>
    </cfRule>
  </conditionalFormatting>
  <conditionalFormatting sqref="I56">
    <cfRule type="cellIs" dxfId="72" priority="4" stopIfTrue="1" operator="lessThan">
      <formula>-500</formula>
    </cfRule>
  </conditionalFormatting>
  <conditionalFormatting sqref="I57">
    <cfRule type="cellIs" dxfId="71" priority="3" stopIfTrue="1" operator="lessThan">
      <formula>-500</formula>
    </cfRule>
  </conditionalFormatting>
  <conditionalFormatting sqref="I26:I28">
    <cfRule type="cellIs" dxfId="70" priority="2" stopIfTrue="1" operator="lessThan">
      <formula>-500</formula>
    </cfRule>
  </conditionalFormatting>
  <conditionalFormatting sqref="I23:I24 I26:I27 D40:D73 I48:I50 I53 I56 I68:I74 I39:I46 D8:D32">
    <cfRule type="cellIs" dxfId="69" priority="1" stopIfTrue="1" operator="lessThan">
      <formula>-500</formula>
    </cfRule>
  </conditionalFormatting>
  <dataValidations count="2">
    <dataValidation type="decimal" operator="lessThan" allowBlank="1" showInputMessage="1" showErrorMessage="1" error="Beloppet ska vara i 1000 tal kronor" sqref="I48:I50 D53:D56 D40:D43 D17:D24 D26:D28 D13:D15 I23:I24 D8:D11 D45:D51 I53 I17:I20 I39:I46 I56:I57 D30:D32 D58:D69 D71:D73 I26:I28 I68:I74">
      <formula1>99999999</formula1>
    </dataValidation>
    <dataValidation operator="lessThan" allowBlank="1" showInputMessage="1" showErrorMessage="1" sqref="D74 D33"/>
  </dataValidations>
  <pageMargins left="0.7" right="0.7" top="0.75" bottom="0.75" header="0.3" footer="0.3"/>
  <pageSetup paperSize="9" scale="70" orientation="portrait" r:id="rId4"/>
  <headerFooter>
    <oddHeader>&amp;L&amp;8Statistiska Centralbyrån
Offentlig ekonomi&amp;R&amp;P</oddHeader>
  </headerFooter>
  <rowBreaks count="1" manualBreakCount="1">
    <brk id="34" max="8" man="1"/>
  </rowBreaks>
  <ignoredErrors>
    <ignoredError sqref="F73:G74 A75 F43:G56 F26:G27 F72:G72" numberStoredAsText="1"/>
    <ignoredError sqref="D12" formulaRange="1"/>
  </ignoredError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4"/>
  <sheetViews>
    <sheetView showGridLines="0" zoomScaleNormal="100" workbookViewId="0">
      <pane ySplit="1" topLeftCell="A2" activePane="bottomLeft" state="frozen"/>
      <selection activeCell="F32" sqref="F32"/>
      <selection pane="bottomLeft" activeCell="A2" sqref="A2"/>
    </sheetView>
  </sheetViews>
  <sheetFormatPr defaultColWidth="0" defaultRowHeight="12.75" zeroHeight="1"/>
  <cols>
    <col min="1" max="1" width="4" style="190" customWidth="1"/>
    <col min="2" max="2" width="9.140625" style="190" customWidth="1"/>
    <col min="3" max="3" width="30.85546875" style="190" customWidth="1"/>
    <col min="4" max="4" width="10.7109375" style="190" customWidth="1"/>
    <col min="5" max="5" width="6" style="190" customWidth="1"/>
    <col min="6" max="6" width="5" style="190" customWidth="1"/>
    <col min="7" max="7" width="21.140625" style="190" customWidth="1"/>
    <col min="8" max="8" width="4" style="190" customWidth="1"/>
    <col min="9" max="9" width="8.28515625" style="190" customWidth="1"/>
    <col min="10" max="10" width="31.28515625" style="190" customWidth="1"/>
    <col min="11" max="12" width="10.7109375" style="190" customWidth="1"/>
    <col min="13" max="13" width="5.140625" style="190" customWidth="1"/>
    <col min="14" max="14" width="4.28515625" style="190" customWidth="1"/>
    <col min="15" max="15" width="3.7109375" style="190" customWidth="1"/>
    <col min="16" max="16" width="21.42578125" style="190" customWidth="1"/>
    <col min="17" max="17" width="7" style="190" customWidth="1"/>
    <col min="18" max="18" width="16.7109375" style="190" customWidth="1"/>
    <col min="19" max="19" width="7.5703125" style="190" customWidth="1"/>
    <col min="20" max="20" width="0" style="190" hidden="1" customWidth="1"/>
    <col min="21" max="16384" width="9.140625" style="190" hidden="1"/>
  </cols>
  <sheetData>
    <row r="1" spans="1:19" ht="18">
      <c r="A1" s="563" t="str">
        <f>"Skatteintäkter, utjämningssystem o. generella statliga bidrag samt finansiella poster "&amp;År&amp;", miljoner kronor"</f>
        <v>Skatteintäkter, utjämningssystem o. generella statliga bidrag samt finansiella poster 2016, miljoner kronor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6"/>
      <c r="O1" s="566"/>
      <c r="P1" s="566"/>
      <c r="Q1" s="566"/>
      <c r="R1" s="566"/>
      <c r="S1" s="567"/>
    </row>
    <row r="2" spans="1:19" ht="12.75" customHeight="1">
      <c r="A2" s="1385"/>
      <c r="D2" s="1490"/>
      <c r="E2" s="164"/>
      <c r="M2" s="164"/>
      <c r="P2" s="4"/>
      <c r="Q2" s="4"/>
      <c r="R2" s="4"/>
      <c r="S2" s="4"/>
    </row>
    <row r="3" spans="1:19" ht="12.75" customHeight="1">
      <c r="D3" s="1490"/>
      <c r="E3" s="164"/>
      <c r="M3" s="164"/>
      <c r="P3" s="4"/>
      <c r="Q3" s="4"/>
      <c r="R3" s="4"/>
      <c r="S3" s="4"/>
    </row>
    <row r="4" spans="1:19" ht="17.25" customHeight="1" thickBot="1">
      <c r="A4" s="87" t="s">
        <v>707</v>
      </c>
      <c r="B4" s="4"/>
      <c r="C4" s="4"/>
      <c r="D4" s="1713"/>
      <c r="H4" s="1714"/>
      <c r="P4" s="4"/>
      <c r="Q4" s="4"/>
      <c r="R4" s="4"/>
      <c r="S4" s="4"/>
    </row>
    <row r="5" spans="1:19" s="203" customFormat="1">
      <c r="A5" s="658" t="s">
        <v>701</v>
      </c>
      <c r="B5" s="2326" t="s">
        <v>863</v>
      </c>
      <c r="C5" s="899"/>
      <c r="D5" s="2327" t="s">
        <v>1280</v>
      </c>
      <c r="E5" s="202"/>
      <c r="F5" s="202"/>
      <c r="G5" s="202"/>
      <c r="H5" s="658" t="s">
        <v>701</v>
      </c>
      <c r="I5" s="2326" t="s">
        <v>863</v>
      </c>
      <c r="J5" s="899"/>
      <c r="K5" s="2328" t="s">
        <v>703</v>
      </c>
      <c r="L5" s="2009" t="s">
        <v>829</v>
      </c>
      <c r="M5" s="1551"/>
      <c r="N5" s="245" t="s">
        <v>1164</v>
      </c>
      <c r="O5" s="202"/>
      <c r="P5" s="202"/>
      <c r="Q5" s="202"/>
      <c r="S5" s="202"/>
    </row>
    <row r="6" spans="1:19" s="203" customFormat="1">
      <c r="A6" s="660" t="s">
        <v>704</v>
      </c>
      <c r="B6" s="872"/>
      <c r="C6" s="900"/>
      <c r="D6" s="905"/>
      <c r="E6" s="202"/>
      <c r="F6" s="202"/>
      <c r="G6" s="202"/>
      <c r="H6" s="660" t="s">
        <v>704</v>
      </c>
      <c r="I6" s="671"/>
      <c r="J6" s="900"/>
      <c r="K6" s="908"/>
      <c r="L6" s="2026"/>
      <c r="M6" s="1552"/>
      <c r="N6" s="202"/>
      <c r="O6" s="202"/>
      <c r="P6" s="202"/>
      <c r="Q6" s="202"/>
      <c r="S6" s="202"/>
    </row>
    <row r="7" spans="1:19" ht="15">
      <c r="A7" s="849"/>
      <c r="B7" s="901"/>
      <c r="C7" s="902"/>
      <c r="D7" s="906"/>
      <c r="E7" s="4"/>
      <c r="F7" s="4"/>
      <c r="G7" s="4"/>
      <c r="H7" s="907"/>
      <c r="I7" s="653"/>
      <c r="J7" s="653"/>
      <c r="K7" s="909"/>
      <c r="L7" s="2024"/>
      <c r="M7" s="1553"/>
      <c r="N7" s="4"/>
      <c r="O7" s="4"/>
      <c r="P7" s="4"/>
      <c r="Q7" s="4"/>
      <c r="S7" s="4"/>
    </row>
    <row r="8" spans="1:19">
      <c r="A8" s="855">
        <v>600</v>
      </c>
      <c r="B8" s="623">
        <v>801</v>
      </c>
      <c r="C8" s="624" t="s">
        <v>805</v>
      </c>
      <c r="D8" s="402">
        <v>434325</v>
      </c>
      <c r="E8" s="4"/>
      <c r="F8" s="4"/>
      <c r="G8" s="4"/>
      <c r="H8" s="852">
        <v>800</v>
      </c>
      <c r="I8" s="623">
        <v>841</v>
      </c>
      <c r="J8" s="624" t="s">
        <v>818</v>
      </c>
      <c r="K8" s="115">
        <v>2355</v>
      </c>
      <c r="L8" s="2027">
        <v>1346</v>
      </c>
      <c r="M8" s="1554"/>
      <c r="N8" s="1876">
        <v>801</v>
      </c>
      <c r="O8" s="1875">
        <v>8411</v>
      </c>
      <c r="P8" s="1877" t="s">
        <v>1185</v>
      </c>
      <c r="Q8" s="1878">
        <v>1714</v>
      </c>
      <c r="S8" s="4"/>
    </row>
    <row r="9" spans="1:19">
      <c r="A9" s="855">
        <v>620</v>
      </c>
      <c r="B9" s="724">
        <v>8052</v>
      </c>
      <c r="C9" s="617" t="str">
        <f>"Slutavräkning, prognos för år 2014"</f>
        <v>Slutavräkning, prognos för år 2014</v>
      </c>
      <c r="D9" s="402">
        <v>-2032</v>
      </c>
      <c r="E9" s="4"/>
      <c r="F9" s="4"/>
      <c r="G9" s="4"/>
      <c r="H9" s="855">
        <v>810</v>
      </c>
      <c r="I9" s="903">
        <v>844</v>
      </c>
      <c r="J9" s="904" t="s">
        <v>819</v>
      </c>
      <c r="K9" s="115">
        <v>4073</v>
      </c>
      <c r="L9" s="2023">
        <v>2260</v>
      </c>
      <c r="M9" s="1554"/>
      <c r="N9" s="4"/>
      <c r="O9" s="4"/>
      <c r="P9" s="4"/>
      <c r="Q9" s="4"/>
      <c r="S9" s="4"/>
    </row>
    <row r="10" spans="1:19">
      <c r="A10" s="855">
        <v>625</v>
      </c>
      <c r="B10" s="724">
        <v>8051</v>
      </c>
      <c r="C10" s="617" t="s">
        <v>1142</v>
      </c>
      <c r="D10" s="402">
        <v>413</v>
      </c>
      <c r="E10" s="4"/>
      <c r="F10" s="4"/>
      <c r="G10" s="4"/>
      <c r="H10" s="855">
        <v>880</v>
      </c>
      <c r="I10" s="623">
        <v>845</v>
      </c>
      <c r="J10" s="624" t="s">
        <v>820</v>
      </c>
      <c r="K10" s="115">
        <v>43</v>
      </c>
      <c r="L10" s="2025"/>
      <c r="M10" s="1554"/>
      <c r="N10" s="4"/>
      <c r="O10" s="4"/>
      <c r="P10" s="4"/>
      <c r="Q10" s="4"/>
      <c r="S10" s="4"/>
    </row>
    <row r="11" spans="1:19">
      <c r="A11" s="855">
        <v>630</v>
      </c>
      <c r="B11" s="724"/>
      <c r="C11" s="617" t="s">
        <v>1143</v>
      </c>
      <c r="D11" s="255">
        <v>-4</v>
      </c>
      <c r="E11" s="200"/>
      <c r="F11" s="4"/>
      <c r="G11" s="4"/>
      <c r="H11" s="855">
        <v>885</v>
      </c>
      <c r="I11" s="623">
        <v>8481</v>
      </c>
      <c r="J11" s="624" t="s">
        <v>525</v>
      </c>
      <c r="K11" s="115">
        <v>5</v>
      </c>
      <c r="L11" s="2025"/>
      <c r="M11" s="1554"/>
      <c r="N11" s="4"/>
      <c r="O11" s="4"/>
      <c r="P11" s="4"/>
      <c r="Q11" s="4"/>
      <c r="S11" s="4"/>
    </row>
    <row r="12" spans="1:19">
      <c r="A12" s="855">
        <v>640</v>
      </c>
      <c r="B12" s="619" t="s">
        <v>968</v>
      </c>
      <c r="C12" s="612" t="s">
        <v>969</v>
      </c>
      <c r="D12" s="255">
        <v>13</v>
      </c>
      <c r="E12" s="1579"/>
      <c r="F12" s="4"/>
      <c r="G12" s="4"/>
      <c r="H12" s="855">
        <v>886</v>
      </c>
      <c r="I12" s="623">
        <v>8482</v>
      </c>
      <c r="J12" s="624" t="s">
        <v>830</v>
      </c>
      <c r="K12" s="115">
        <v>4</v>
      </c>
      <c r="L12" s="2025"/>
      <c r="M12" s="1554"/>
      <c r="N12" s="4"/>
      <c r="O12" s="4"/>
      <c r="P12" s="4"/>
      <c r="Q12" s="4"/>
      <c r="S12" s="4"/>
    </row>
    <row r="13" spans="1:19" ht="13.5" thickBot="1">
      <c r="A13" s="856">
        <v>680</v>
      </c>
      <c r="B13" s="1547">
        <v>809</v>
      </c>
      <c r="C13" s="1548" t="s">
        <v>1182</v>
      </c>
      <c r="D13" s="399">
        <v>195</v>
      </c>
      <c r="E13" s="35"/>
      <c r="F13" s="4"/>
      <c r="G13" s="4"/>
      <c r="H13" s="855">
        <v>887</v>
      </c>
      <c r="I13" s="623">
        <v>8498</v>
      </c>
      <c r="J13" s="624" t="s">
        <v>398</v>
      </c>
      <c r="K13" s="115">
        <v>64</v>
      </c>
      <c r="L13" s="2023">
        <v>63</v>
      </c>
      <c r="M13" s="1554"/>
      <c r="N13" s="4"/>
      <c r="O13" s="4"/>
      <c r="P13" s="4"/>
      <c r="Q13" s="4"/>
      <c r="S13" s="4"/>
    </row>
    <row r="14" spans="1:19" ht="13.5" thickBot="1">
      <c r="A14" s="620">
        <v>690</v>
      </c>
      <c r="B14" s="625"/>
      <c r="C14" s="626" t="s">
        <v>707</v>
      </c>
      <c r="D14" s="399">
        <f>SUM(D8:D13)</f>
        <v>432910</v>
      </c>
      <c r="E14" s="4"/>
      <c r="F14" s="4"/>
      <c r="G14" s="4"/>
      <c r="H14" s="607">
        <v>888</v>
      </c>
      <c r="I14" s="619" t="s">
        <v>844</v>
      </c>
      <c r="J14" s="612" t="s">
        <v>847</v>
      </c>
      <c r="K14" s="115">
        <v>1920</v>
      </c>
      <c r="L14" s="2025"/>
      <c r="M14" s="1555"/>
      <c r="N14" s="1737">
        <v>889</v>
      </c>
      <c r="O14" s="1737">
        <v>8491</v>
      </c>
      <c r="P14" s="1698" t="s">
        <v>1163</v>
      </c>
      <c r="Q14" s="1699">
        <v>794</v>
      </c>
      <c r="R14" s="1579"/>
      <c r="S14" s="4"/>
    </row>
    <row r="15" spans="1:19" ht="13.5" thickBot="1">
      <c r="A15" s="4"/>
      <c r="B15" s="4"/>
      <c r="C15" s="205"/>
      <c r="D15" s="4"/>
      <c r="E15" s="4"/>
      <c r="F15" s="4"/>
      <c r="G15" s="4"/>
      <c r="H15" s="620">
        <v>884</v>
      </c>
      <c r="I15" s="1547">
        <v>843</v>
      </c>
      <c r="J15" s="1548" t="s">
        <v>934</v>
      </c>
      <c r="K15" s="124">
        <v>422</v>
      </c>
      <c r="L15" s="2010">
        <v>1939</v>
      </c>
      <c r="M15" s="1551"/>
      <c r="N15" s="1738">
        <v>891</v>
      </c>
      <c r="O15" s="1738"/>
      <c r="P15" s="1543" t="s">
        <v>1167</v>
      </c>
      <c r="Q15" s="1700">
        <v>1</v>
      </c>
      <c r="R15" s="1579"/>
      <c r="S15" s="4"/>
    </row>
    <row r="16" spans="1:19" ht="16.5" thickBot="1">
      <c r="A16" s="87" t="s">
        <v>842</v>
      </c>
      <c r="B16" s="4"/>
      <c r="C16" s="4"/>
      <c r="D16" s="4"/>
      <c r="E16" s="4"/>
      <c r="F16" s="4"/>
      <c r="G16" s="4"/>
      <c r="H16" s="620">
        <v>890</v>
      </c>
      <c r="I16" s="621"/>
      <c r="J16" s="591" t="s">
        <v>15</v>
      </c>
      <c r="K16" s="1684">
        <f>RR!C13</f>
        <v>8885</v>
      </c>
      <c r="L16" s="1490"/>
      <c r="M16" s="1462"/>
      <c r="N16" s="4" t="str">
        <f>IF(J16&lt;&gt;"summa rad 800 - 888:","",SUM(K8:K15))</f>
        <v/>
      </c>
      <c r="O16" s="4"/>
      <c r="P16" s="4"/>
      <c r="Q16" s="4"/>
      <c r="R16" s="4"/>
      <c r="S16" s="4"/>
    </row>
    <row r="17" spans="1:19" ht="16.5" thickBot="1">
      <c r="A17" s="87" t="s">
        <v>843</v>
      </c>
      <c r="B17" s="4"/>
      <c r="C17" s="4"/>
      <c r="D17" s="35"/>
      <c r="E17" s="4"/>
      <c r="F17" s="4"/>
      <c r="G17" s="4"/>
      <c r="H17" s="8"/>
      <c r="I17" s="1556"/>
      <c r="J17" s="141"/>
      <c r="K17" s="1556"/>
      <c r="L17" s="1556"/>
      <c r="M17" s="1442"/>
      <c r="N17" s="4"/>
      <c r="O17" s="4"/>
      <c r="P17" s="4"/>
      <c r="Q17" s="4"/>
      <c r="R17" s="4"/>
      <c r="S17" s="4"/>
    </row>
    <row r="18" spans="1:19" ht="16.5" thickBot="1">
      <c r="A18" s="658" t="s">
        <v>701</v>
      </c>
      <c r="B18" s="2326" t="s">
        <v>863</v>
      </c>
      <c r="C18" s="899"/>
      <c r="D18" s="2327" t="s">
        <v>1280</v>
      </c>
      <c r="E18" s="4"/>
      <c r="F18" s="4"/>
      <c r="G18" s="4"/>
      <c r="H18" s="87" t="s">
        <v>709</v>
      </c>
      <c r="I18" s="192"/>
      <c r="J18" s="192"/>
      <c r="K18" s="192"/>
      <c r="L18" s="192"/>
      <c r="N18" s="4"/>
      <c r="O18" s="4"/>
      <c r="P18" s="4"/>
      <c r="Q18" s="4"/>
      <c r="R18" s="4"/>
      <c r="S18" s="4"/>
    </row>
    <row r="19" spans="1:19">
      <c r="A19" s="660" t="s">
        <v>704</v>
      </c>
      <c r="B19" s="872"/>
      <c r="C19" s="669"/>
      <c r="D19" s="910"/>
      <c r="E19" s="4"/>
      <c r="F19" s="4"/>
      <c r="G19" s="4"/>
      <c r="H19" s="658" t="s">
        <v>701</v>
      </c>
      <c r="I19" s="2326" t="s">
        <v>863</v>
      </c>
      <c r="J19" s="899"/>
      <c r="K19" s="2327" t="s">
        <v>703</v>
      </c>
      <c r="L19" s="2032" t="s">
        <v>829</v>
      </c>
      <c r="M19" s="1520"/>
      <c r="N19" s="2362"/>
      <c r="O19" s="2362"/>
      <c r="P19" s="2362"/>
      <c r="Q19" s="2363"/>
      <c r="S19" s="4"/>
    </row>
    <row r="20" spans="1:19" s="203" customFormat="1" ht="15">
      <c r="A20" s="931"/>
      <c r="B20" s="875"/>
      <c r="C20" s="653"/>
      <c r="D20" s="911"/>
      <c r="E20" s="202"/>
      <c r="F20" s="202"/>
      <c r="G20" s="202"/>
      <c r="H20" s="660" t="s">
        <v>704</v>
      </c>
      <c r="I20" s="912"/>
      <c r="J20" s="900"/>
      <c r="K20" s="905"/>
      <c r="L20" s="2029"/>
      <c r="M20" s="104"/>
      <c r="N20" s="2364"/>
      <c r="O20" s="2364"/>
      <c r="P20" s="2364"/>
      <c r="Q20" s="2363"/>
      <c r="S20" s="202"/>
    </row>
    <row r="21" spans="1:19" s="203" customFormat="1">
      <c r="A21" s="607">
        <v>711</v>
      </c>
      <c r="B21" s="724">
        <v>821</v>
      </c>
      <c r="C21" s="617" t="s">
        <v>811</v>
      </c>
      <c r="D21" s="402">
        <v>69301</v>
      </c>
      <c r="E21" s="202"/>
      <c r="F21" s="202"/>
      <c r="G21" s="202"/>
      <c r="H21" s="913"/>
      <c r="I21" s="914"/>
      <c r="J21" s="902"/>
      <c r="K21" s="915"/>
      <c r="L21" s="2033"/>
      <c r="M21" s="18"/>
      <c r="Q21" s="232"/>
      <c r="S21" s="202"/>
    </row>
    <row r="22" spans="1:19">
      <c r="A22" s="607">
        <v>713</v>
      </c>
      <c r="B22" s="724">
        <v>822</v>
      </c>
      <c r="C22" s="617" t="s">
        <v>812</v>
      </c>
      <c r="D22" s="402">
        <v>1132</v>
      </c>
      <c r="E22" s="4"/>
      <c r="F22" s="4"/>
      <c r="G22" s="4"/>
      <c r="H22" s="607">
        <v>900</v>
      </c>
      <c r="I22" s="623">
        <v>852</v>
      </c>
      <c r="J22" s="612" t="s">
        <v>897</v>
      </c>
      <c r="K22" s="115">
        <v>4017</v>
      </c>
      <c r="L22" s="2030">
        <v>8536</v>
      </c>
      <c r="M22" s="1549"/>
      <c r="N22" s="205"/>
      <c r="O22" s="205"/>
      <c r="P22" s="205"/>
      <c r="Q22" s="192"/>
      <c r="S22" s="4"/>
    </row>
    <row r="23" spans="1:19">
      <c r="A23" s="607">
        <v>715</v>
      </c>
      <c r="B23" s="724">
        <v>823</v>
      </c>
      <c r="C23" s="617" t="s">
        <v>813</v>
      </c>
      <c r="D23" s="402">
        <v>784</v>
      </c>
      <c r="E23" s="4"/>
      <c r="F23" s="4"/>
      <c r="G23" s="4"/>
      <c r="H23" s="607">
        <v>910</v>
      </c>
      <c r="I23" s="619">
        <v>853</v>
      </c>
      <c r="J23" s="612" t="s">
        <v>11</v>
      </c>
      <c r="K23" s="115">
        <v>415</v>
      </c>
      <c r="L23" s="2023">
        <v>378</v>
      </c>
      <c r="M23" s="1528"/>
      <c r="N23" s="1520"/>
      <c r="O23" s="164"/>
      <c r="P23" s="293"/>
      <c r="Q23" s="141"/>
      <c r="S23" s="4"/>
    </row>
    <row r="24" spans="1:19">
      <c r="A24" s="607">
        <v>717</v>
      </c>
      <c r="B24" s="724">
        <v>824</v>
      </c>
      <c r="C24" s="617" t="s">
        <v>814</v>
      </c>
      <c r="D24" s="402">
        <v>0</v>
      </c>
      <c r="E24" s="4"/>
      <c r="F24" s="4"/>
      <c r="G24" s="4"/>
      <c r="H24" s="607">
        <v>920</v>
      </c>
      <c r="I24" s="903" t="s">
        <v>821</v>
      </c>
      <c r="J24" s="904" t="s">
        <v>822</v>
      </c>
      <c r="K24" s="115">
        <v>124</v>
      </c>
      <c r="L24" s="2034"/>
      <c r="M24" s="1549"/>
      <c r="N24" s="4"/>
      <c r="O24" s="4"/>
      <c r="P24" s="4"/>
      <c r="Q24" s="192"/>
      <c r="S24" s="4"/>
    </row>
    <row r="25" spans="1:19">
      <c r="A25" s="607">
        <v>719</v>
      </c>
      <c r="B25" s="724">
        <v>825</v>
      </c>
      <c r="C25" s="617" t="s">
        <v>815</v>
      </c>
      <c r="D25" s="402">
        <v>6671</v>
      </c>
      <c r="E25" s="4"/>
      <c r="F25" s="1873" t="s">
        <v>915</v>
      </c>
      <c r="G25" s="1874" t="s">
        <v>1183</v>
      </c>
      <c r="H25" s="607">
        <v>985</v>
      </c>
      <c r="I25" s="619">
        <v>8581</v>
      </c>
      <c r="J25" s="612" t="s">
        <v>845</v>
      </c>
      <c r="K25" s="115">
        <v>3</v>
      </c>
      <c r="L25" s="2034"/>
      <c r="M25" s="1528"/>
      <c r="N25" s="4"/>
      <c r="O25" s="4"/>
      <c r="P25" s="4"/>
      <c r="Q25" s="192"/>
      <c r="S25" s="4"/>
    </row>
    <row r="26" spans="1:19">
      <c r="A26" s="607">
        <v>785</v>
      </c>
      <c r="B26" s="724">
        <v>826</v>
      </c>
      <c r="C26" s="617" t="s">
        <v>816</v>
      </c>
      <c r="D26" s="402">
        <v>3664</v>
      </c>
      <c r="E26" s="4"/>
      <c r="F26" s="1871"/>
      <c r="G26" s="1872" t="s">
        <v>1184</v>
      </c>
      <c r="H26" s="607">
        <v>996</v>
      </c>
      <c r="I26" s="619">
        <v>8582</v>
      </c>
      <c r="J26" s="612" t="s">
        <v>846</v>
      </c>
      <c r="K26" s="115">
        <v>-1</v>
      </c>
      <c r="L26" s="2034"/>
      <c r="M26" s="1528"/>
      <c r="N26" s="4"/>
      <c r="O26" s="4"/>
      <c r="P26" s="4"/>
      <c r="Q26" s="4"/>
      <c r="S26" s="4"/>
    </row>
    <row r="27" spans="1:19">
      <c r="A27" s="607">
        <v>740</v>
      </c>
      <c r="B27" s="619">
        <v>829</v>
      </c>
      <c r="C27" s="617" t="s">
        <v>936</v>
      </c>
      <c r="D27" s="255">
        <v>8280</v>
      </c>
      <c r="E27" s="200"/>
      <c r="F27" s="1856">
        <v>741</v>
      </c>
      <c r="G27" s="1870">
        <v>6604</v>
      </c>
      <c r="H27" s="607">
        <v>997</v>
      </c>
      <c r="I27" s="619" t="s">
        <v>923</v>
      </c>
      <c r="J27" s="612" t="s">
        <v>831</v>
      </c>
      <c r="K27" s="115">
        <v>159</v>
      </c>
      <c r="L27" s="2023">
        <v>491</v>
      </c>
      <c r="M27" s="1528"/>
      <c r="N27" s="4"/>
      <c r="O27" s="4"/>
      <c r="P27" s="4"/>
      <c r="Q27" s="4"/>
      <c r="S27" s="4"/>
    </row>
    <row r="28" spans="1:19" ht="18.75" thickBot="1">
      <c r="A28" s="620">
        <v>750</v>
      </c>
      <c r="B28" s="621">
        <v>82</v>
      </c>
      <c r="C28" s="1544" t="s">
        <v>817</v>
      </c>
      <c r="D28" s="399">
        <f>SUM(D21:D27)</f>
        <v>89832</v>
      </c>
      <c r="E28" s="35"/>
      <c r="F28" s="4"/>
      <c r="G28" s="4"/>
      <c r="H28" s="607">
        <v>998</v>
      </c>
      <c r="I28" s="1615" t="s">
        <v>935</v>
      </c>
      <c r="J28" s="624" t="s">
        <v>848</v>
      </c>
      <c r="K28" s="115">
        <v>483</v>
      </c>
      <c r="L28" s="2034"/>
      <c r="M28" s="1550"/>
      <c r="N28" s="4"/>
      <c r="O28" s="4"/>
      <c r="P28" s="4"/>
      <c r="Q28" s="4"/>
      <c r="S28" s="4"/>
    </row>
    <row r="29" spans="1:19" ht="13.5" thickBot="1">
      <c r="A29" s="4"/>
      <c r="B29" s="4"/>
      <c r="C29" s="4"/>
      <c r="D29" s="4"/>
      <c r="E29" s="4"/>
      <c r="F29" s="4"/>
      <c r="G29" s="4"/>
      <c r="H29" s="620">
        <v>984</v>
      </c>
      <c r="I29" s="1547">
        <v>851</v>
      </c>
      <c r="J29" s="1548" t="s">
        <v>896</v>
      </c>
      <c r="K29" s="124">
        <v>19</v>
      </c>
      <c r="L29" s="2031">
        <v>14</v>
      </c>
      <c r="M29" s="1520"/>
      <c r="N29" s="4"/>
      <c r="O29" s="4"/>
      <c r="P29" s="4"/>
      <c r="Q29" s="4"/>
      <c r="S29" s="4"/>
    </row>
    <row r="30" spans="1:19" ht="13.5" thickBot="1">
      <c r="A30" s="4"/>
      <c r="B30" s="4"/>
      <c r="C30" s="4"/>
      <c r="D30" s="4"/>
      <c r="E30" s="4"/>
      <c r="F30" s="4"/>
      <c r="G30" s="4"/>
      <c r="H30" s="620">
        <v>990</v>
      </c>
      <c r="I30" s="625"/>
      <c r="J30" s="626" t="s">
        <v>16</v>
      </c>
      <c r="K30" s="1683">
        <f>RR!C14</f>
        <v>5219</v>
      </c>
      <c r="L30" s="19"/>
      <c r="N30" s="4"/>
      <c r="O30" s="4"/>
      <c r="P30" s="4"/>
      <c r="Q30" s="4"/>
      <c r="R30" s="4"/>
      <c r="S30" s="4"/>
    </row>
    <row r="31" spans="1:19" ht="16.5" thickBot="1">
      <c r="A31" s="87" t="s">
        <v>840</v>
      </c>
      <c r="B31" s="4"/>
      <c r="C31" s="4"/>
      <c r="D31" s="35"/>
      <c r="E31" s="4"/>
      <c r="F31" s="4"/>
      <c r="G31" s="4"/>
      <c r="H31" s="4"/>
      <c r="I31" s="1557"/>
      <c r="J31" s="200"/>
      <c r="K31" s="1558"/>
      <c r="L31" s="1865"/>
      <c r="M31" s="1442"/>
      <c r="N31" s="4"/>
      <c r="O31" s="4"/>
      <c r="P31" s="4"/>
      <c r="Q31" s="4"/>
      <c r="R31" s="4"/>
      <c r="S31" s="4"/>
    </row>
    <row r="32" spans="1:19">
      <c r="A32" s="658" t="s">
        <v>701</v>
      </c>
      <c r="B32" s="2326" t="s">
        <v>863</v>
      </c>
      <c r="C32" s="899"/>
      <c r="D32" s="2327" t="s">
        <v>1280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660" t="s">
        <v>704</v>
      </c>
      <c r="B33" s="872"/>
      <c r="C33" s="669"/>
      <c r="D33" s="9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">
      <c r="A34" s="931"/>
      <c r="B34" s="875"/>
      <c r="C34" s="653"/>
      <c r="D34" s="911"/>
      <c r="E34" s="4"/>
      <c r="F34" s="4"/>
      <c r="G34" s="4"/>
      <c r="H34" s="164"/>
      <c r="I34" s="192"/>
      <c r="J34" s="192"/>
      <c r="K34" s="192"/>
      <c r="L34" s="192"/>
      <c r="M34" s="4"/>
      <c r="N34" s="4"/>
      <c r="O34" s="4"/>
      <c r="P34" s="4"/>
      <c r="Q34" s="4"/>
      <c r="R34" s="4"/>
      <c r="S34" s="4"/>
    </row>
    <row r="35" spans="1:19">
      <c r="A35" s="855">
        <v>760</v>
      </c>
      <c r="B35" s="623">
        <v>831</v>
      </c>
      <c r="C35" s="624" t="s">
        <v>806</v>
      </c>
      <c r="D35" s="402">
        <v>6351</v>
      </c>
      <c r="E35" s="4"/>
      <c r="F35" s="4"/>
      <c r="G35" s="4"/>
      <c r="H35" s="2335"/>
      <c r="I35" s="2336"/>
      <c r="J35" s="2336"/>
      <c r="K35" s="2336"/>
      <c r="L35" s="1940"/>
    </row>
    <row r="36" spans="1:19">
      <c r="A36" s="855">
        <v>770</v>
      </c>
      <c r="B36" s="623">
        <v>834</v>
      </c>
      <c r="C36" s="624" t="s">
        <v>807</v>
      </c>
      <c r="D36" s="402">
        <v>364</v>
      </c>
      <c r="E36" s="4"/>
      <c r="F36" s="4"/>
      <c r="G36" s="4"/>
      <c r="H36" s="2336"/>
      <c r="I36" s="2336"/>
      <c r="J36" s="2336"/>
      <c r="K36" s="2336"/>
      <c r="L36" s="1940"/>
    </row>
    <row r="37" spans="1:19">
      <c r="A37" s="855">
        <v>780</v>
      </c>
      <c r="B37" s="623">
        <v>835</v>
      </c>
      <c r="C37" s="624" t="s">
        <v>808</v>
      </c>
      <c r="D37" s="403">
        <v>6653</v>
      </c>
      <c r="E37" s="4"/>
      <c r="F37" s="4"/>
      <c r="G37" s="4"/>
      <c r="H37" s="2336"/>
      <c r="I37" s="2336"/>
      <c r="J37" s="2336"/>
      <c r="K37" s="2336"/>
      <c r="L37" s="1940"/>
      <c r="M37" s="4"/>
      <c r="N37" s="4"/>
      <c r="O37" s="4"/>
      <c r="P37" s="4"/>
      <c r="Q37" s="4"/>
      <c r="R37" s="4"/>
      <c r="S37" s="4"/>
    </row>
    <row r="38" spans="1:19">
      <c r="A38" s="855">
        <v>786</v>
      </c>
      <c r="B38" s="623">
        <v>836</v>
      </c>
      <c r="C38" s="624" t="s">
        <v>809</v>
      </c>
      <c r="D38" s="403">
        <v>3664</v>
      </c>
      <c r="E38" s="4"/>
      <c r="F38" s="4"/>
      <c r="G38" s="4"/>
      <c r="H38" s="2336"/>
      <c r="I38" s="2336"/>
      <c r="J38" s="2336"/>
      <c r="K38" s="2336"/>
      <c r="L38" s="1940"/>
      <c r="M38" s="4"/>
      <c r="N38" s="4"/>
      <c r="O38" s="4"/>
      <c r="P38" s="4"/>
      <c r="Q38" s="4"/>
      <c r="R38" s="4"/>
      <c r="S38" s="4"/>
    </row>
    <row r="39" spans="1:19" ht="13.5" thickBot="1">
      <c r="A39" s="856">
        <v>790</v>
      </c>
      <c r="B39" s="916"/>
      <c r="C39" s="1545" t="s">
        <v>810</v>
      </c>
      <c r="D39" s="400">
        <f>SUM(D35:D38)</f>
        <v>17032</v>
      </c>
      <c r="E39" s="3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3.5" thickBot="1">
      <c r="A40" s="261"/>
      <c r="B40" s="17"/>
      <c r="C40" s="18"/>
      <c r="D40" s="19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3.5" thickBot="1">
      <c r="A41" s="869">
        <v>765</v>
      </c>
      <c r="B41" s="917">
        <v>828</v>
      </c>
      <c r="C41" s="1546" t="s">
        <v>894</v>
      </c>
      <c r="D41" s="262">
        <v>16178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idden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</sheetData>
  <customSheetViews>
    <customSheetView guid="{27C9E95B-0E2B-454F-B637-1CECC9579A10}" showGridLines="0" hiddenRows="1" hiddenColumns="1" showRuler="0">
      <selection activeCell="K16" sqref="K16"/>
      <pageMargins left="0.70866141732283472" right="0.70866141732283472" top="0.74803149606299213" bottom="0.15748031496062992" header="0.31496062992125984" footer="0.31496062992125984"/>
      <pageSetup paperSize="9" scale="80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 topLeftCell="A16">
      <selection activeCell="I42" sqref="I42"/>
      <pageMargins left="0.70866141732283472" right="0.70866141732283472" top="0.74803149606299213" bottom="0.15748031496062992" header="0.31496062992125984" footer="0.31496062992125984"/>
      <pageSetup paperSize="9" scale="80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3">
      <selection activeCell="K29" sqref="K29"/>
      <pageMargins left="0.70866141732283472" right="0.70866141732283472" top="0.74803149606299213" bottom="0.15748031496062992" header="0.31496062992125984" footer="0.31496062992125984"/>
      <pageSetup paperSize="9" scale="80" orientation="landscape" r:id="rId3"/>
      <headerFooter>
        <oddHeader>&amp;L&amp;8Statistiska Centralbyrån
Offentlig ekonomi&amp;R&amp;P</oddHeader>
      </headerFooter>
    </customSheetView>
  </customSheetViews>
  <mergeCells count="2">
    <mergeCell ref="H35:K38"/>
    <mergeCell ref="N19:Q20"/>
  </mergeCells>
  <phoneticPr fontId="9" type="noConversion"/>
  <conditionalFormatting sqref="D27 D41 K8:L14 K22:L28">
    <cfRule type="cellIs" dxfId="68" priority="14" stopIfTrue="1" operator="lessThan">
      <formula>-500</formula>
    </cfRule>
  </conditionalFormatting>
  <conditionalFormatting sqref="K15:L15">
    <cfRule type="cellIs" dxfId="67" priority="13" stopIfTrue="1" operator="lessThan">
      <formula>-500</formula>
    </cfRule>
  </conditionalFormatting>
  <conditionalFormatting sqref="K29:L29">
    <cfRule type="cellIs" dxfId="66" priority="12" stopIfTrue="1" operator="lessThan">
      <formula>-500</formula>
    </cfRule>
  </conditionalFormatting>
  <conditionalFormatting sqref="I17">
    <cfRule type="expression" dxfId="65" priority="5" stopIfTrue="1">
      <formula>ABS(K17)&gt;100</formula>
    </cfRule>
  </conditionalFormatting>
  <conditionalFormatting sqref="K17:L17">
    <cfRule type="expression" dxfId="64" priority="4" stopIfTrue="1">
      <formula>ABS(K17)&gt;100</formula>
    </cfRule>
  </conditionalFormatting>
  <conditionalFormatting sqref="I31">
    <cfRule type="expression" dxfId="63" priority="3" stopIfTrue="1">
      <formula>ABS(K31)&gt;100</formula>
    </cfRule>
  </conditionalFormatting>
  <conditionalFormatting sqref="K31:L31">
    <cfRule type="expression" dxfId="62" priority="2" stopIfTrue="1">
      <formula>ABS(K31)&gt;100</formula>
    </cfRule>
  </conditionalFormatting>
  <dataValidations count="1">
    <dataValidation type="decimal" operator="lessThan" allowBlank="1" showInputMessage="1" showErrorMessage="1" error="Beloppet ska vara i 1000 tal kronor" sqref="K8:L14 K22:L28 D41 D27 D11">
      <formula1>99999999</formula1>
    </dataValidation>
  </dataValidations>
  <pageMargins left="0.70866141732283472" right="0.70866141732283472" top="0.74803149606299213" bottom="0.15748031496062992" header="0.31496062992125984" footer="0.31496062992125984"/>
  <pageSetup paperSize="9" scale="80" orientation="landscape" r:id="rId4"/>
  <headerFooter>
    <oddHeader>&amp;L&amp;8Statistiska Centralbyrån
Offentlig ekonomi&amp;R&amp;P</oddHead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98"/>
  <sheetViews>
    <sheetView showGridLines="0" zoomScaleNormal="100" workbookViewId="0">
      <pane ySplit="1" topLeftCell="A2" activePane="bottomLeft" state="frozen"/>
      <selection activeCell="F32" sqref="F32"/>
      <selection pane="bottomLeft" activeCell="A2" sqref="A2"/>
    </sheetView>
  </sheetViews>
  <sheetFormatPr defaultColWidth="0" defaultRowHeight="12.75"/>
  <cols>
    <col min="1" max="1" width="4" style="161" customWidth="1"/>
    <col min="2" max="2" width="34.28515625" style="161" customWidth="1"/>
    <col min="3" max="4" width="11" style="161" customWidth="1"/>
    <col min="5" max="5" width="8.42578125" style="161" customWidth="1"/>
    <col min="6" max="6" width="9" style="161" customWidth="1"/>
    <col min="7" max="7" width="10" style="161" customWidth="1"/>
    <col min="8" max="8" width="8.5703125" style="161" customWidth="1"/>
    <col min="9" max="9" width="17.140625" style="164" customWidth="1"/>
    <col min="10" max="10" width="20.28515625" style="161" customWidth="1"/>
    <col min="11" max="11" width="2.85546875" style="161" customWidth="1"/>
    <col min="12" max="12" width="4.140625" style="190" customWidth="1"/>
    <col min="13" max="13" width="3" style="190" customWidth="1"/>
    <col min="14" max="16384" width="9.140625" style="190" hidden="1"/>
  </cols>
  <sheetData>
    <row r="1" spans="1:13" s="263" customFormat="1" ht="20.25">
      <c r="A1" s="90" t="str">
        <f>"Investeringsredovisning "&amp;År&amp;", miljoner kronor"</f>
        <v>Investeringsredovisning 2016, miljoner kronor</v>
      </c>
      <c r="B1" s="109"/>
      <c r="C1" s="109"/>
      <c r="D1" s="109"/>
      <c r="E1" s="110"/>
      <c r="F1" s="110"/>
      <c r="G1" s="560" t="s">
        <v>494</v>
      </c>
      <c r="H1" s="561" t="str">
        <f>'Kn Information'!B2</f>
        <v>RIKSTOTAL</v>
      </c>
      <c r="I1" s="176"/>
      <c r="J1" s="111">
        <v>1</v>
      </c>
      <c r="K1" s="111"/>
      <c r="L1" s="111"/>
      <c r="M1" s="111"/>
    </row>
    <row r="2" spans="1:13" s="263" customFormat="1" ht="12.75" customHeight="1">
      <c r="A2" s="1385"/>
      <c r="C2" s="1490"/>
      <c r="D2" s="164"/>
      <c r="H2" s="1715"/>
      <c r="I2" s="164"/>
      <c r="L2" s="264"/>
    </row>
    <row r="3" spans="1:13" s="263" customFormat="1" ht="12.75" customHeight="1" thickBot="1">
      <c r="C3" s="1490"/>
      <c r="D3" s="164"/>
      <c r="G3" s="1716"/>
      <c r="H3" s="1715"/>
      <c r="I3" s="164"/>
      <c r="J3" s="265"/>
      <c r="L3" s="265"/>
    </row>
    <row r="4" spans="1:13" s="263" customFormat="1" ht="18" customHeight="1">
      <c r="A4" s="918" t="s">
        <v>519</v>
      </c>
      <c r="B4" s="919"/>
      <c r="C4" s="2369" t="s">
        <v>550</v>
      </c>
      <c r="D4" s="2369" t="s">
        <v>551</v>
      </c>
      <c r="E4" s="2369" t="s">
        <v>552</v>
      </c>
      <c r="F4" s="1739" t="s">
        <v>191</v>
      </c>
      <c r="G4" s="2037" t="s">
        <v>1217</v>
      </c>
      <c r="H4" s="2036" t="s">
        <v>1218</v>
      </c>
      <c r="I4" s="77"/>
      <c r="J4" s="43"/>
      <c r="K4" s="265"/>
      <c r="L4" s="265"/>
    </row>
    <row r="5" spans="1:13" s="263" customFormat="1" ht="36.75" customHeight="1">
      <c r="A5" s="920"/>
      <c r="B5" s="921"/>
      <c r="C5" s="2370"/>
      <c r="D5" s="2370"/>
      <c r="E5" s="2370"/>
      <c r="F5" s="922" t="s">
        <v>898</v>
      </c>
      <c r="G5" s="2039"/>
      <c r="H5" s="2038"/>
      <c r="I5" s="103"/>
      <c r="J5" s="1525"/>
      <c r="K5" s="265"/>
      <c r="L5" s="265"/>
    </row>
    <row r="6" spans="1:13" s="267" customFormat="1" ht="11.25">
      <c r="A6" s="639" t="s">
        <v>527</v>
      </c>
      <c r="B6" s="640" t="s">
        <v>399</v>
      </c>
      <c r="C6" s="392">
        <v>395188</v>
      </c>
      <c r="D6" s="392">
        <v>20320</v>
      </c>
      <c r="E6" s="392">
        <v>243187</v>
      </c>
      <c r="F6" s="1463">
        <v>69396</v>
      </c>
      <c r="G6" s="2040">
        <v>1061256</v>
      </c>
      <c r="H6" s="1463">
        <v>40813</v>
      </c>
      <c r="I6" s="103"/>
      <c r="J6" s="1525"/>
      <c r="K6" s="266"/>
      <c r="L6" s="266"/>
    </row>
    <row r="7" spans="1:13" s="267" customFormat="1" ht="12.75" customHeight="1">
      <c r="A7" s="641" t="s">
        <v>528</v>
      </c>
      <c r="B7" s="642" t="s">
        <v>1153</v>
      </c>
      <c r="C7" s="271">
        <v>46600</v>
      </c>
      <c r="D7" s="272">
        <v>6208</v>
      </c>
      <c r="E7" s="273">
        <v>11586</v>
      </c>
      <c r="F7" s="274">
        <v>4553</v>
      </c>
      <c r="G7" s="2042">
        <v>101719</v>
      </c>
      <c r="H7" s="274">
        <v>4314</v>
      </c>
      <c r="I7" s="1679" t="str">
        <f>IF(SUM(F7)&gt;(E7),"Därav-Kol.F&gt;Kol.E","")</f>
        <v/>
      </c>
      <c r="J7" s="1530"/>
      <c r="K7" s="266"/>
      <c r="L7" s="266"/>
    </row>
    <row r="8" spans="1:13" s="267" customFormat="1" ht="12.75" customHeight="1">
      <c r="A8" s="643" t="s">
        <v>529</v>
      </c>
      <c r="B8" s="642" t="s">
        <v>970</v>
      </c>
      <c r="C8" s="271">
        <v>-5011</v>
      </c>
      <c r="D8" s="272">
        <v>-181</v>
      </c>
      <c r="E8" s="273">
        <v>-3216</v>
      </c>
      <c r="F8" s="274">
        <v>-1261</v>
      </c>
      <c r="G8" s="2042">
        <v>-19993</v>
      </c>
      <c r="H8" s="274">
        <v>-883</v>
      </c>
      <c r="I8" s="1679"/>
      <c r="J8" s="1530"/>
      <c r="K8" s="266"/>
      <c r="L8" s="266"/>
    </row>
    <row r="9" spans="1:13" s="267" customFormat="1" ht="12.75" customHeight="1">
      <c r="A9" s="643" t="s">
        <v>530</v>
      </c>
      <c r="B9" s="642" t="s">
        <v>538</v>
      </c>
      <c r="C9" s="346">
        <v>2392</v>
      </c>
      <c r="D9" s="272">
        <v>60</v>
      </c>
      <c r="E9" s="273">
        <v>69</v>
      </c>
      <c r="F9" s="274">
        <v>67</v>
      </c>
      <c r="G9" s="2042">
        <v>13275</v>
      </c>
      <c r="H9" s="116">
        <v>8</v>
      </c>
      <c r="I9" s="1679" t="str">
        <f>IF(SUM(F9)&gt;(E9),"Därav-Kol.F&gt;Kol.E","")</f>
        <v/>
      </c>
      <c r="J9" s="64"/>
      <c r="K9" s="266"/>
      <c r="L9" s="266"/>
    </row>
    <row r="10" spans="1:13" s="267" customFormat="1" ht="12.75" customHeight="1">
      <c r="A10" s="643" t="s">
        <v>382</v>
      </c>
      <c r="B10" s="642" t="s">
        <v>526</v>
      </c>
      <c r="C10" s="346">
        <v>-524</v>
      </c>
      <c r="D10" s="272">
        <v>-97</v>
      </c>
      <c r="E10" s="273">
        <v>-33</v>
      </c>
      <c r="F10" s="274">
        <v>-32</v>
      </c>
      <c r="G10" s="2042">
        <v>-877</v>
      </c>
      <c r="H10" s="274">
        <v>-30</v>
      </c>
      <c r="I10" s="1679" t="str">
        <f>IF(SUM(F10)&lt;(E10),"Därav-Kol.F&gt;Kol.E","")</f>
        <v/>
      </c>
      <c r="J10" s="64"/>
      <c r="K10" s="266"/>
      <c r="L10" s="266"/>
    </row>
    <row r="11" spans="1:13" s="267" customFormat="1" ht="12.75" customHeight="1">
      <c r="A11" s="643" t="s">
        <v>383</v>
      </c>
      <c r="B11" s="642" t="s">
        <v>379</v>
      </c>
      <c r="C11" s="271">
        <v>-16185</v>
      </c>
      <c r="D11" s="272">
        <v>-5102</v>
      </c>
      <c r="E11" s="1687">
        <v>-9</v>
      </c>
      <c r="F11" s="1688">
        <v>-4</v>
      </c>
      <c r="G11" s="2042">
        <v>-38893</v>
      </c>
      <c r="H11" s="274">
        <v>-29</v>
      </c>
      <c r="I11" s="1679" t="str">
        <f>IF(SUM(F11)&lt;(E11),"Därav-Kol.F&gt;Kol.E","")</f>
        <v/>
      </c>
      <c r="J11" s="64" t="s">
        <v>190</v>
      </c>
      <c r="K11" s="266"/>
      <c r="L11" s="266"/>
    </row>
    <row r="12" spans="1:13" s="267" customFormat="1" ht="12.75" customHeight="1">
      <c r="A12" s="643" t="s">
        <v>384</v>
      </c>
      <c r="B12" s="642" t="s">
        <v>169</v>
      </c>
      <c r="C12" s="275">
        <v>-619</v>
      </c>
      <c r="D12" s="276">
        <v>-21</v>
      </c>
      <c r="E12" s="57">
        <v>-817</v>
      </c>
      <c r="F12" s="579">
        <v>-498</v>
      </c>
      <c r="G12" s="2042">
        <v>-1310</v>
      </c>
      <c r="H12" s="274">
        <v>-1197</v>
      </c>
      <c r="I12" s="1689"/>
      <c r="J12" s="1706"/>
      <c r="K12" s="1707"/>
      <c r="L12" s="1707"/>
    </row>
    <row r="13" spans="1:13" s="267" customFormat="1" ht="12.75" customHeight="1">
      <c r="A13" s="644" t="s">
        <v>385</v>
      </c>
      <c r="B13" s="642" t="s">
        <v>380</v>
      </c>
      <c r="C13" s="271">
        <v>-678</v>
      </c>
      <c r="D13" s="272">
        <v>170</v>
      </c>
      <c r="E13" s="273">
        <v>-2076</v>
      </c>
      <c r="F13" s="274">
        <v>-58</v>
      </c>
      <c r="G13" s="2042">
        <v>-1578</v>
      </c>
      <c r="H13" s="274">
        <v>-33</v>
      </c>
      <c r="I13" s="2371"/>
      <c r="J13" s="2372"/>
      <c r="K13" s="2372"/>
      <c r="L13" s="2372"/>
    </row>
    <row r="14" spans="1:13" s="267" customFormat="1" ht="12.75" customHeight="1">
      <c r="A14" s="643" t="s">
        <v>386</v>
      </c>
      <c r="B14" s="642" t="s">
        <v>381</v>
      </c>
      <c r="C14" s="271">
        <v>1110</v>
      </c>
      <c r="D14" s="272">
        <v>1442</v>
      </c>
      <c r="E14" s="273">
        <v>-3490</v>
      </c>
      <c r="F14" s="274">
        <v>373</v>
      </c>
      <c r="G14" s="2042">
        <v>-1488</v>
      </c>
      <c r="H14" s="274">
        <v>-164</v>
      </c>
      <c r="I14" s="2372"/>
      <c r="J14" s="2372"/>
      <c r="K14" s="2372"/>
      <c r="L14" s="2372"/>
    </row>
    <row r="15" spans="1:13" s="267" customFormat="1" ht="12" thickBot="1">
      <c r="A15" s="645" t="s">
        <v>387</v>
      </c>
      <c r="B15" s="646" t="s">
        <v>400</v>
      </c>
      <c r="C15" s="329">
        <f>BR!D10</f>
        <v>422273</v>
      </c>
      <c r="D15" s="330">
        <f>BR!D11</f>
        <v>22799</v>
      </c>
      <c r="E15" s="330">
        <f>BR!D17</f>
        <v>245201</v>
      </c>
      <c r="F15" s="331">
        <f>BR!D13</f>
        <v>72536</v>
      </c>
      <c r="G15" s="2041">
        <f>SUM(G6+G7-G8+G9-G10-G11+G12+G13+G14)</f>
        <v>1231637</v>
      </c>
      <c r="H15" s="331">
        <f>SUM(H6+H7-H8+H9-H10-H11+H12+H13+H14)</f>
        <v>44683</v>
      </c>
      <c r="I15" s="2372"/>
      <c r="J15" s="2372"/>
      <c r="K15" s="2372"/>
      <c r="L15" s="2372"/>
    </row>
    <row r="16" spans="1:13" s="267" customFormat="1" ht="11.25">
      <c r="A16" s="65"/>
      <c r="B16" s="62"/>
      <c r="C16" s="158" t="str">
        <f>IF(ABS(SUM(C6:C14)-C15)&gt;100,"Diff mot BR rad 021","")</f>
        <v/>
      </c>
      <c r="D16" s="158" t="str">
        <f>IF(ABS(SUM(D6:D14)-D15)&gt;100,"Diff mot BR rad 023","")</f>
        <v/>
      </c>
      <c r="E16" s="158" t="str">
        <f>IF(ABS(SUM(E6:E14)-E15)&gt;100,"Diff mot BR rad 035","")</f>
        <v/>
      </c>
      <c r="F16" s="158" t="str">
        <f>IF(ABS(SUM(F6:F14)-F15)&gt;100,"Diff mot BR rad 036","")</f>
        <v/>
      </c>
      <c r="G16" s="66"/>
      <c r="H16" s="63"/>
      <c r="I16" s="63"/>
      <c r="J16" s="64"/>
      <c r="K16" s="266"/>
      <c r="L16" s="266"/>
    </row>
    <row r="17" spans="1:12" ht="16.5" customHeight="1">
      <c r="A17" s="320"/>
      <c r="B17" s="227"/>
      <c r="C17" s="43" t="str">
        <f>IF(C16&lt;&gt;"diff mot BR rad 021","",C15-SUM(C6:C14))</f>
        <v/>
      </c>
      <c r="D17" s="43" t="str">
        <f>IF(D16&lt;&gt;"diff mot BR rad 023","",D15-SUM(D6:D14))</f>
        <v/>
      </c>
      <c r="E17" s="43" t="str">
        <f>IF(E16&lt;&gt;"diff mot BR rad 035","",E15-SUM(E6:E14))</f>
        <v/>
      </c>
      <c r="F17" s="43" t="str">
        <f>IF(F16&lt;&gt;"diff mot BR rad 036","",F15-SUM(F6:F14))</f>
        <v/>
      </c>
      <c r="G17" s="320"/>
      <c r="H17" s="4"/>
      <c r="I17" s="47"/>
      <c r="J17" s="47"/>
      <c r="K17" s="4"/>
      <c r="L17" s="191"/>
    </row>
    <row r="18" spans="1:12" ht="17.25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1677"/>
      <c r="K18" s="4"/>
      <c r="L18" s="191"/>
    </row>
    <row r="19" spans="1:12" s="269" customFormat="1" ht="22.5" customHeight="1" thickBot="1">
      <c r="A19" s="1678" t="s">
        <v>1193</v>
      </c>
      <c r="B19" s="268"/>
      <c r="C19" s="67"/>
      <c r="D19" s="68"/>
      <c r="E19" s="69"/>
      <c r="F19" s="69"/>
      <c r="G19" s="69"/>
      <c r="H19" s="69"/>
      <c r="I19" s="177"/>
      <c r="J19" s="175"/>
      <c r="K19" s="70"/>
      <c r="L19" s="268"/>
    </row>
    <row r="20" spans="1:12" ht="14.25" customHeight="1">
      <c r="A20" s="923" t="s">
        <v>701</v>
      </c>
      <c r="B20" s="924" t="s">
        <v>21</v>
      </c>
      <c r="C20" s="1680" t="s">
        <v>1159</v>
      </c>
      <c r="D20" s="925" t="s">
        <v>191</v>
      </c>
      <c r="E20" s="926"/>
      <c r="F20" s="2105"/>
      <c r="G20" s="2098"/>
      <c r="H20" s="2099"/>
      <c r="I20" s="39"/>
      <c r="J20" s="39"/>
      <c r="K20" s="44"/>
      <c r="L20" s="4"/>
    </row>
    <row r="21" spans="1:12" ht="27.75" customHeight="1">
      <c r="A21" s="927" t="s">
        <v>704</v>
      </c>
      <c r="B21" s="873"/>
      <c r="C21" s="1681" t="s">
        <v>1160</v>
      </c>
      <c r="D21" s="1675" t="s">
        <v>1156</v>
      </c>
      <c r="E21" s="1675" t="s">
        <v>1157</v>
      </c>
      <c r="F21" s="2106" t="s">
        <v>1158</v>
      </c>
      <c r="G21" s="2100"/>
      <c r="H21" s="2101"/>
      <c r="I21" s="8"/>
      <c r="J21" s="71"/>
      <c r="K21" s="44"/>
      <c r="L21" s="4"/>
    </row>
    <row r="22" spans="1:12">
      <c r="A22" s="927"/>
      <c r="B22" s="929"/>
      <c r="C22" s="930"/>
      <c r="D22" s="928"/>
      <c r="E22" s="985" t="s">
        <v>192</v>
      </c>
      <c r="F22" s="1676" t="s">
        <v>193</v>
      </c>
      <c r="G22" s="102"/>
      <c r="H22" s="2102"/>
      <c r="I22" s="8"/>
      <c r="J22" s="71"/>
      <c r="K22" s="44"/>
      <c r="L22" s="4"/>
    </row>
    <row r="23" spans="1:12" ht="48.75" customHeight="1">
      <c r="A23" s="931"/>
      <c r="B23" s="932"/>
      <c r="C23" s="933"/>
      <c r="D23" s="2118" t="s">
        <v>1194</v>
      </c>
      <c r="E23" s="1559" t="s">
        <v>194</v>
      </c>
      <c r="F23" s="2107" t="s">
        <v>195</v>
      </c>
      <c r="G23" s="2100"/>
      <c r="H23" s="2103"/>
      <c r="I23" s="8"/>
      <c r="J23" s="8"/>
      <c r="K23" s="44"/>
      <c r="L23" s="4"/>
    </row>
    <row r="24" spans="1:12">
      <c r="A24" s="934"/>
      <c r="B24" s="935" t="s">
        <v>22</v>
      </c>
      <c r="C24" s="1789"/>
      <c r="D24" s="1789"/>
      <c r="E24" s="1789"/>
      <c r="F24" s="1790"/>
      <c r="G24" s="2104"/>
      <c r="H24" s="2104"/>
      <c r="I24" s="178"/>
      <c r="J24" s="179"/>
      <c r="K24" s="180"/>
      <c r="L24" s="180"/>
    </row>
    <row r="25" spans="1:12">
      <c r="A25" s="936" t="s">
        <v>239</v>
      </c>
      <c r="B25" s="651" t="s">
        <v>23</v>
      </c>
      <c r="C25" s="277">
        <v>105</v>
      </c>
      <c r="D25" s="277">
        <v>53</v>
      </c>
      <c r="E25" s="277">
        <v>42</v>
      </c>
      <c r="F25" s="278">
        <v>3</v>
      </c>
      <c r="G25" s="1530"/>
      <c r="H25" s="1530"/>
      <c r="I25" s="343"/>
      <c r="J25" s="343" t="str">
        <f>IF(SUM(H25)&gt;(G25+100),"Kol.H &gt; Kol.G","")</f>
        <v/>
      </c>
      <c r="K25" s="344"/>
      <c r="L25" s="200"/>
    </row>
    <row r="26" spans="1:12" ht="18.75">
      <c r="A26" s="937" t="s">
        <v>240</v>
      </c>
      <c r="B26" s="654" t="s">
        <v>1279</v>
      </c>
      <c r="C26" s="20">
        <v>3639</v>
      </c>
      <c r="D26" s="20">
        <v>2589</v>
      </c>
      <c r="E26" s="20">
        <v>92</v>
      </c>
      <c r="F26" s="115">
        <v>690</v>
      </c>
      <c r="G26" s="1530"/>
      <c r="H26" s="1530"/>
      <c r="I26" s="343"/>
      <c r="J26" s="343" t="str">
        <f t="shared" ref="J26:J65" si="0">IF(SUM(H26)&gt;(G26+100),"Kol.H &gt; Kol.G","")</f>
        <v/>
      </c>
      <c r="K26" s="344"/>
      <c r="L26" s="200"/>
    </row>
    <row r="27" spans="1:12">
      <c r="A27" s="643" t="s">
        <v>373</v>
      </c>
      <c r="B27" s="612" t="s">
        <v>196</v>
      </c>
      <c r="C27" s="20">
        <v>183</v>
      </c>
      <c r="D27" s="20">
        <v>104</v>
      </c>
      <c r="E27" s="20">
        <v>15</v>
      </c>
      <c r="F27" s="115">
        <v>49</v>
      </c>
      <c r="G27" s="1530"/>
      <c r="H27" s="1530"/>
      <c r="I27" s="343"/>
      <c r="J27" s="343" t="str">
        <f t="shared" si="0"/>
        <v/>
      </c>
      <c r="K27" s="344"/>
      <c r="L27" s="200"/>
    </row>
    <row r="28" spans="1:12">
      <c r="A28" s="643" t="s">
        <v>243</v>
      </c>
      <c r="B28" s="612" t="s">
        <v>1000</v>
      </c>
      <c r="C28" s="20">
        <v>9915</v>
      </c>
      <c r="D28" s="20">
        <v>8879</v>
      </c>
      <c r="E28" s="20">
        <v>203</v>
      </c>
      <c r="F28" s="115">
        <v>29</v>
      </c>
      <c r="G28" s="1530"/>
      <c r="H28" s="1530"/>
      <c r="I28" s="343"/>
      <c r="J28" s="343" t="str">
        <f t="shared" si="0"/>
        <v/>
      </c>
      <c r="K28" s="344"/>
      <c r="L28" s="200"/>
    </row>
    <row r="29" spans="1:12">
      <c r="A29" s="643" t="s">
        <v>244</v>
      </c>
      <c r="B29" s="612" t="s">
        <v>24</v>
      </c>
      <c r="C29" s="20">
        <v>1420</v>
      </c>
      <c r="D29" s="20">
        <v>1046</v>
      </c>
      <c r="E29" s="20">
        <v>109</v>
      </c>
      <c r="F29" s="115">
        <v>37</v>
      </c>
      <c r="G29" s="1530"/>
      <c r="H29" s="1530"/>
      <c r="I29" s="343"/>
      <c r="J29" s="343" t="str">
        <f>IF(SUM(H29)&gt;(G29+100),"Kol.H &gt; Kol.G","")</f>
        <v/>
      </c>
      <c r="K29" s="344"/>
      <c r="L29" s="200"/>
    </row>
    <row r="30" spans="1:12">
      <c r="A30" s="643" t="s">
        <v>374</v>
      </c>
      <c r="B30" s="612" t="s">
        <v>198</v>
      </c>
      <c r="C30" s="20">
        <v>91</v>
      </c>
      <c r="D30" s="20">
        <v>60</v>
      </c>
      <c r="E30" s="20">
        <v>15</v>
      </c>
      <c r="F30" s="115">
        <v>0</v>
      </c>
      <c r="G30" s="1530"/>
      <c r="H30" s="1530"/>
      <c r="I30" s="343"/>
      <c r="J30" s="343" t="str">
        <f t="shared" si="0"/>
        <v/>
      </c>
      <c r="K30" s="344"/>
      <c r="L30" s="200"/>
    </row>
    <row r="31" spans="1:12">
      <c r="A31" s="643" t="s">
        <v>248</v>
      </c>
      <c r="B31" s="612" t="s">
        <v>25</v>
      </c>
      <c r="C31" s="20">
        <v>248</v>
      </c>
      <c r="D31" s="20">
        <v>46</v>
      </c>
      <c r="E31" s="20">
        <v>181</v>
      </c>
      <c r="F31" s="115">
        <v>2</v>
      </c>
      <c r="G31" s="1530"/>
      <c r="H31" s="1530"/>
      <c r="I31" s="343"/>
      <c r="J31" s="343" t="str">
        <f t="shared" si="0"/>
        <v/>
      </c>
      <c r="K31" s="344"/>
      <c r="L31" s="200"/>
    </row>
    <row r="32" spans="1:12">
      <c r="A32" s="643" t="s">
        <v>249</v>
      </c>
      <c r="B32" s="612" t="s">
        <v>199</v>
      </c>
      <c r="C32" s="20">
        <v>60</v>
      </c>
      <c r="D32" s="20">
        <v>42</v>
      </c>
      <c r="E32" s="20">
        <v>4</v>
      </c>
      <c r="F32" s="115">
        <v>12</v>
      </c>
      <c r="G32" s="1530"/>
      <c r="H32" s="1530"/>
      <c r="I32" s="343"/>
      <c r="J32" s="343" t="str">
        <f t="shared" si="0"/>
        <v/>
      </c>
      <c r="K32" s="344"/>
      <c r="L32" s="200"/>
    </row>
    <row r="33" spans="1:12">
      <c r="A33" s="650" t="s">
        <v>250</v>
      </c>
      <c r="B33" s="651" t="s">
        <v>200</v>
      </c>
      <c r="C33" s="406">
        <f>SUM(C26:C32)</f>
        <v>15556</v>
      </c>
      <c r="D33" s="406">
        <f>SUM(D26:D32)</f>
        <v>12766</v>
      </c>
      <c r="E33" s="406">
        <f>SUM(E26:E32)</f>
        <v>619</v>
      </c>
      <c r="F33" s="408">
        <f>SUM(F26:F32)</f>
        <v>819</v>
      </c>
      <c r="G33" s="85"/>
      <c r="H33" s="85"/>
      <c r="I33" s="343"/>
      <c r="J33" s="343"/>
      <c r="K33" s="345"/>
      <c r="L33" s="200"/>
    </row>
    <row r="34" spans="1:12">
      <c r="A34" s="652" t="s">
        <v>260</v>
      </c>
      <c r="B34" s="653" t="s">
        <v>201</v>
      </c>
      <c r="C34" s="279">
        <v>3550</v>
      </c>
      <c r="D34" s="279">
        <v>2780</v>
      </c>
      <c r="E34" s="279">
        <v>440</v>
      </c>
      <c r="F34" s="280">
        <v>65</v>
      </c>
      <c r="G34" s="1530"/>
      <c r="H34" s="1530"/>
      <c r="I34" s="343"/>
      <c r="J34" s="343" t="str">
        <f t="shared" si="0"/>
        <v/>
      </c>
      <c r="K34" s="344"/>
      <c r="L34" s="200"/>
    </row>
    <row r="35" spans="1:12" ht="18.75">
      <c r="A35" s="938" t="s">
        <v>266</v>
      </c>
      <c r="B35" s="1416" t="s">
        <v>857</v>
      </c>
      <c r="C35" s="277">
        <v>2574</v>
      </c>
      <c r="D35" s="277">
        <v>2156</v>
      </c>
      <c r="E35" s="277">
        <v>222</v>
      </c>
      <c r="F35" s="278">
        <v>43</v>
      </c>
      <c r="G35" s="1530"/>
      <c r="H35" s="1530"/>
      <c r="I35" s="343"/>
      <c r="J35" s="343" t="str">
        <f t="shared" si="0"/>
        <v/>
      </c>
      <c r="K35" s="344"/>
      <c r="L35" s="200"/>
    </row>
    <row r="36" spans="1:12">
      <c r="A36" s="647"/>
      <c r="B36" s="648" t="s">
        <v>202</v>
      </c>
      <c r="C36" s="1787"/>
      <c r="D36" s="1787"/>
      <c r="E36" s="1787"/>
      <c r="F36" s="1788"/>
      <c r="G36" s="1530"/>
      <c r="H36" s="1530"/>
      <c r="I36" s="343"/>
      <c r="J36" s="343"/>
      <c r="K36" s="344"/>
      <c r="L36" s="200"/>
    </row>
    <row r="37" spans="1:12">
      <c r="A37" s="641" t="s">
        <v>426</v>
      </c>
      <c r="B37" s="649" t="s">
        <v>841</v>
      </c>
      <c r="C37" s="20">
        <v>8111</v>
      </c>
      <c r="D37" s="20">
        <v>6729</v>
      </c>
      <c r="E37" s="20">
        <v>924</v>
      </c>
      <c r="F37" s="115">
        <v>99</v>
      </c>
      <c r="G37" s="1530"/>
      <c r="H37" s="1530"/>
      <c r="I37" s="343"/>
      <c r="J37" s="343" t="str">
        <f t="shared" si="0"/>
        <v/>
      </c>
      <c r="K37" s="344"/>
      <c r="L37" s="200"/>
    </row>
    <row r="38" spans="1:12">
      <c r="A38" s="643" t="s">
        <v>375</v>
      </c>
      <c r="B38" s="612" t="s">
        <v>203</v>
      </c>
      <c r="C38" s="20">
        <v>1034</v>
      </c>
      <c r="D38" s="20">
        <v>665</v>
      </c>
      <c r="E38" s="20">
        <v>285</v>
      </c>
      <c r="F38" s="115">
        <v>7</v>
      </c>
      <c r="G38" s="1530"/>
      <c r="H38" s="1530"/>
      <c r="I38" s="343"/>
      <c r="J38" s="343" t="str">
        <f t="shared" si="0"/>
        <v/>
      </c>
      <c r="K38" s="344"/>
      <c r="L38" s="200"/>
    </row>
    <row r="39" spans="1:12">
      <c r="A39" s="641" t="s">
        <v>376</v>
      </c>
      <c r="B39" s="612" t="s">
        <v>26</v>
      </c>
      <c r="C39" s="20">
        <v>219</v>
      </c>
      <c r="D39" s="20">
        <v>149</v>
      </c>
      <c r="E39" s="20">
        <v>57</v>
      </c>
      <c r="F39" s="115">
        <v>1</v>
      </c>
      <c r="G39" s="1530"/>
      <c r="H39" s="1530"/>
      <c r="I39" s="343"/>
      <c r="J39" s="343" t="str">
        <f t="shared" si="0"/>
        <v/>
      </c>
      <c r="K39" s="344"/>
      <c r="L39" s="344"/>
    </row>
    <row r="40" spans="1:12">
      <c r="A40" s="650" t="s">
        <v>275</v>
      </c>
      <c r="B40" s="651" t="s">
        <v>27</v>
      </c>
      <c r="C40" s="406">
        <f>SUM(C37:C39)</f>
        <v>9364</v>
      </c>
      <c r="D40" s="406">
        <f>SUM(D37:D39)</f>
        <v>7543</v>
      </c>
      <c r="E40" s="406">
        <f>SUM(E37:E39)</f>
        <v>1266</v>
      </c>
      <c r="F40" s="408">
        <f>SUM(F37:F39)</f>
        <v>107</v>
      </c>
      <c r="G40" s="85"/>
      <c r="H40" s="85"/>
      <c r="I40" s="343"/>
      <c r="J40" s="343"/>
      <c r="K40" s="344"/>
      <c r="L40" s="344"/>
    </row>
    <row r="41" spans="1:12">
      <c r="A41" s="652" t="s">
        <v>276</v>
      </c>
      <c r="B41" s="653" t="s">
        <v>204</v>
      </c>
      <c r="C41" s="406">
        <f>C35+C40</f>
        <v>11938</v>
      </c>
      <c r="D41" s="406">
        <f>D35+D40</f>
        <v>9699</v>
      </c>
      <c r="E41" s="406">
        <f>E35+E40</f>
        <v>1488</v>
      </c>
      <c r="F41" s="409">
        <f>F35+F40</f>
        <v>150</v>
      </c>
      <c r="G41" s="85"/>
      <c r="H41" s="85"/>
      <c r="I41" s="343"/>
      <c r="J41" s="343"/>
      <c r="K41" s="344"/>
      <c r="L41" s="344"/>
    </row>
    <row r="42" spans="1:12" ht="18.75">
      <c r="A42" s="639" t="s">
        <v>277</v>
      </c>
      <c r="B42" s="654" t="s">
        <v>205</v>
      </c>
      <c r="C42" s="20">
        <v>8</v>
      </c>
      <c r="D42" s="20">
        <v>1</v>
      </c>
      <c r="E42" s="20">
        <v>6</v>
      </c>
      <c r="F42" s="115">
        <v>0</v>
      </c>
      <c r="G42" s="1530"/>
      <c r="H42" s="1530"/>
      <c r="I42" s="343"/>
      <c r="J42" s="343" t="str">
        <f t="shared" si="0"/>
        <v/>
      </c>
      <c r="K42" s="344"/>
      <c r="L42" s="344"/>
    </row>
    <row r="43" spans="1:12">
      <c r="A43" s="655" t="s">
        <v>278</v>
      </c>
      <c r="B43" s="612" t="s">
        <v>105</v>
      </c>
      <c r="C43" s="20">
        <v>67</v>
      </c>
      <c r="D43" s="20">
        <v>41</v>
      </c>
      <c r="E43" s="20">
        <v>20</v>
      </c>
      <c r="F43" s="115">
        <v>0</v>
      </c>
      <c r="G43" s="1530"/>
      <c r="H43" s="1530"/>
      <c r="I43" s="343"/>
      <c r="J43" s="343" t="str">
        <f t="shared" si="0"/>
        <v/>
      </c>
      <c r="K43" s="344"/>
      <c r="L43" s="200"/>
    </row>
    <row r="44" spans="1:12">
      <c r="A44" s="643" t="s">
        <v>468</v>
      </c>
      <c r="B44" s="656" t="s">
        <v>534</v>
      </c>
      <c r="C44" s="536">
        <v>2002</v>
      </c>
      <c r="D44" s="20">
        <v>1470</v>
      </c>
      <c r="E44" s="20">
        <v>349</v>
      </c>
      <c r="F44" s="115">
        <v>70</v>
      </c>
      <c r="G44" s="1530"/>
      <c r="H44" s="1530"/>
      <c r="I44" s="343"/>
      <c r="J44" s="343" t="str">
        <f t="shared" si="0"/>
        <v/>
      </c>
      <c r="K44" s="344"/>
      <c r="L44" s="200"/>
    </row>
    <row r="45" spans="1:12" ht="18.75">
      <c r="A45" s="643" t="s">
        <v>556</v>
      </c>
      <c r="B45" s="649" t="s">
        <v>557</v>
      </c>
      <c r="C45" s="536">
        <v>704</v>
      </c>
      <c r="D45" s="20">
        <v>523</v>
      </c>
      <c r="E45" s="20">
        <v>71</v>
      </c>
      <c r="F45" s="115">
        <v>54</v>
      </c>
      <c r="G45" s="1530"/>
      <c r="H45" s="1530"/>
      <c r="I45" s="343"/>
      <c r="J45" s="343" t="str">
        <f t="shared" si="0"/>
        <v/>
      </c>
      <c r="K45" s="344"/>
      <c r="L45" s="200"/>
    </row>
    <row r="46" spans="1:12">
      <c r="A46" s="643" t="s">
        <v>377</v>
      </c>
      <c r="B46" s="612" t="s">
        <v>206</v>
      </c>
      <c r="C46" s="20">
        <v>212</v>
      </c>
      <c r="D46" s="20">
        <v>144</v>
      </c>
      <c r="E46" s="20">
        <v>50</v>
      </c>
      <c r="F46" s="115">
        <v>4</v>
      </c>
      <c r="G46" s="1530"/>
      <c r="H46" s="1530"/>
      <c r="I46" s="343"/>
      <c r="J46" s="343" t="str">
        <f t="shared" si="0"/>
        <v/>
      </c>
      <c r="K46" s="344"/>
      <c r="L46" s="200"/>
    </row>
    <row r="47" spans="1:12">
      <c r="A47" s="650" t="s">
        <v>378</v>
      </c>
      <c r="B47" s="939" t="s">
        <v>207</v>
      </c>
      <c r="C47" s="406">
        <f>SUM(C42:C46)</f>
        <v>2993</v>
      </c>
      <c r="D47" s="406">
        <f>SUM(D42:D46)</f>
        <v>2179</v>
      </c>
      <c r="E47" s="406">
        <f>SUM(E42:E46)</f>
        <v>496</v>
      </c>
      <c r="F47" s="408">
        <f>SUM(F42:F46)</f>
        <v>128</v>
      </c>
      <c r="G47" s="85"/>
      <c r="H47" s="85"/>
      <c r="I47" s="343"/>
      <c r="J47" s="343"/>
      <c r="K47" s="345"/>
      <c r="L47" s="200"/>
    </row>
    <row r="48" spans="1:12">
      <c r="A48" s="652" t="s">
        <v>283</v>
      </c>
      <c r="B48" s="653" t="s">
        <v>208</v>
      </c>
      <c r="C48" s="279">
        <v>603</v>
      </c>
      <c r="D48" s="279">
        <v>369</v>
      </c>
      <c r="E48" s="279">
        <v>33</v>
      </c>
      <c r="F48" s="280">
        <v>170</v>
      </c>
      <c r="G48" s="1530"/>
      <c r="H48" s="1530"/>
      <c r="I48" s="343"/>
      <c r="J48" s="343" t="str">
        <f t="shared" si="0"/>
        <v/>
      </c>
      <c r="K48" s="344"/>
      <c r="L48" s="200"/>
    </row>
    <row r="49" spans="1:12">
      <c r="A49" s="938" t="s">
        <v>284</v>
      </c>
      <c r="B49" s="651" t="s">
        <v>28</v>
      </c>
      <c r="C49" s="406">
        <f>SUM(C25,C33,C34,C41,C47,C48)</f>
        <v>34745</v>
      </c>
      <c r="D49" s="406">
        <f>SUM(D25,D33,D34,D41,D47,D48)</f>
        <v>27846</v>
      </c>
      <c r="E49" s="406">
        <f>SUM(E25,E33,E34,E41,E47,E48)</f>
        <v>3118</v>
      </c>
      <c r="F49" s="410">
        <f>SUM(F25,F33,F34,F41,F47,F48)</f>
        <v>1335</v>
      </c>
      <c r="G49" s="85"/>
      <c r="H49" s="85"/>
      <c r="I49" s="343"/>
      <c r="J49" s="343"/>
      <c r="K49" s="344"/>
      <c r="L49" s="200"/>
    </row>
    <row r="50" spans="1:12" ht="27.75">
      <c r="A50" s="937" t="s">
        <v>285</v>
      </c>
      <c r="B50" s="940" t="s">
        <v>209</v>
      </c>
      <c r="C50" s="20">
        <v>1759</v>
      </c>
      <c r="D50" s="20">
        <v>1428</v>
      </c>
      <c r="E50" s="20">
        <v>12</v>
      </c>
      <c r="F50" s="115">
        <v>161</v>
      </c>
      <c r="G50" s="1530"/>
      <c r="H50" s="1530"/>
      <c r="I50" s="343"/>
      <c r="J50" s="343" t="str">
        <f t="shared" si="0"/>
        <v/>
      </c>
      <c r="K50" s="344"/>
      <c r="L50" s="200"/>
    </row>
    <row r="51" spans="1:12">
      <c r="A51" s="655" t="s">
        <v>286</v>
      </c>
      <c r="B51" s="624" t="s">
        <v>29</v>
      </c>
      <c r="C51" s="20">
        <v>660</v>
      </c>
      <c r="D51" s="20">
        <v>492</v>
      </c>
      <c r="E51" s="20">
        <v>5</v>
      </c>
      <c r="F51" s="115">
        <v>148</v>
      </c>
      <c r="G51" s="1530"/>
      <c r="H51" s="1530"/>
      <c r="I51" s="343"/>
      <c r="J51" s="343" t="str">
        <f t="shared" si="0"/>
        <v/>
      </c>
      <c r="K51" s="344"/>
      <c r="L51" s="200"/>
    </row>
    <row r="52" spans="1:12">
      <c r="A52" s="655" t="s">
        <v>287</v>
      </c>
      <c r="B52" s="624" t="s">
        <v>30</v>
      </c>
      <c r="C52" s="20">
        <v>468</v>
      </c>
      <c r="D52" s="20">
        <v>313</v>
      </c>
      <c r="E52" s="20">
        <v>32</v>
      </c>
      <c r="F52" s="115">
        <v>104</v>
      </c>
      <c r="G52" s="1530"/>
      <c r="H52" s="1530"/>
      <c r="I52" s="343"/>
      <c r="J52" s="343" t="str">
        <f t="shared" si="0"/>
        <v/>
      </c>
      <c r="K52" s="344"/>
      <c r="L52" s="200"/>
    </row>
    <row r="53" spans="1:12">
      <c r="A53" s="655" t="s">
        <v>288</v>
      </c>
      <c r="B53" s="624" t="s">
        <v>31</v>
      </c>
      <c r="C53" s="20">
        <v>2533</v>
      </c>
      <c r="D53" s="20">
        <v>2158</v>
      </c>
      <c r="E53" s="20">
        <v>3</v>
      </c>
      <c r="F53" s="115">
        <v>310</v>
      </c>
      <c r="G53" s="1530"/>
      <c r="H53" s="1530"/>
      <c r="I53" s="343"/>
      <c r="J53" s="343" t="str">
        <f t="shared" si="0"/>
        <v/>
      </c>
      <c r="K53" s="344"/>
      <c r="L53" s="200"/>
    </row>
    <row r="54" spans="1:12">
      <c r="A54" s="941" t="s">
        <v>289</v>
      </c>
      <c r="B54" s="942" t="s">
        <v>32</v>
      </c>
      <c r="C54" s="406">
        <f>SUM(C50:C53)</f>
        <v>5420</v>
      </c>
      <c r="D54" s="406">
        <f>SUM(D50:D53)</f>
        <v>4391</v>
      </c>
      <c r="E54" s="406">
        <f>SUM(E50:E53)</f>
        <v>52</v>
      </c>
      <c r="F54" s="408">
        <f>SUM(F50:F53)</f>
        <v>723</v>
      </c>
      <c r="G54" s="85"/>
      <c r="H54" s="85"/>
      <c r="I54" s="343"/>
      <c r="J54" s="343"/>
      <c r="K54" s="345"/>
      <c r="L54" s="200"/>
    </row>
    <row r="55" spans="1:12" ht="18.75">
      <c r="A55" s="639" t="s">
        <v>290</v>
      </c>
      <c r="B55" s="943" t="s">
        <v>210</v>
      </c>
      <c r="C55" s="20">
        <v>47</v>
      </c>
      <c r="D55" s="20">
        <v>42</v>
      </c>
      <c r="E55" s="20">
        <v>4</v>
      </c>
      <c r="F55" s="115">
        <v>0</v>
      </c>
      <c r="G55" s="1530"/>
      <c r="H55" s="1530"/>
      <c r="I55" s="343"/>
      <c r="J55" s="343" t="str">
        <f t="shared" si="0"/>
        <v/>
      </c>
      <c r="K55" s="344"/>
      <c r="L55" s="200"/>
    </row>
    <row r="56" spans="1:12">
      <c r="A56" s="655" t="s">
        <v>291</v>
      </c>
      <c r="B56" s="663" t="s">
        <v>999</v>
      </c>
      <c r="C56" s="20">
        <v>211</v>
      </c>
      <c r="D56" s="20">
        <v>198</v>
      </c>
      <c r="E56" s="20">
        <v>6</v>
      </c>
      <c r="F56" s="115">
        <v>1</v>
      </c>
      <c r="G56" s="1530"/>
      <c r="H56" s="1530"/>
      <c r="I56" s="343"/>
      <c r="J56" s="343" t="str">
        <f t="shared" si="0"/>
        <v/>
      </c>
      <c r="K56" s="344"/>
      <c r="L56" s="200"/>
    </row>
    <row r="57" spans="1:12">
      <c r="A57" s="655" t="s">
        <v>292</v>
      </c>
      <c r="B57" s="944" t="s">
        <v>33</v>
      </c>
      <c r="C57" s="20">
        <v>9</v>
      </c>
      <c r="D57" s="20">
        <v>5</v>
      </c>
      <c r="E57" s="20">
        <v>0</v>
      </c>
      <c r="F57" s="115">
        <v>0</v>
      </c>
      <c r="G57" s="1530"/>
      <c r="H57" s="1530"/>
      <c r="I57" s="343"/>
      <c r="J57" s="343" t="str">
        <f t="shared" si="0"/>
        <v/>
      </c>
      <c r="K57" s="344"/>
      <c r="L57" s="200"/>
    </row>
    <row r="58" spans="1:12">
      <c r="A58" s="941" t="s">
        <v>293</v>
      </c>
      <c r="B58" s="653" t="s">
        <v>34</v>
      </c>
      <c r="C58" s="406">
        <f>SUM(C55:C57)</f>
        <v>267</v>
      </c>
      <c r="D58" s="406">
        <f>SUM(D55:D57)</f>
        <v>245</v>
      </c>
      <c r="E58" s="406">
        <f>SUM(E55:E57)</f>
        <v>10</v>
      </c>
      <c r="F58" s="408">
        <f>SUM(F55:F57)</f>
        <v>1</v>
      </c>
      <c r="G58" s="85"/>
      <c r="H58" s="85"/>
      <c r="I58" s="343"/>
      <c r="J58" s="343"/>
      <c r="K58" s="345"/>
      <c r="L58" s="200"/>
    </row>
    <row r="59" spans="1:12" ht="18.75">
      <c r="A59" s="639" t="s">
        <v>294</v>
      </c>
      <c r="B59" s="654" t="s">
        <v>211</v>
      </c>
      <c r="C59" s="20">
        <v>133</v>
      </c>
      <c r="D59" s="20">
        <v>109</v>
      </c>
      <c r="E59" s="20">
        <v>14</v>
      </c>
      <c r="F59" s="115">
        <v>0</v>
      </c>
      <c r="G59" s="1530"/>
      <c r="H59" s="1530"/>
      <c r="I59" s="343"/>
      <c r="J59" s="343" t="str">
        <f t="shared" si="0"/>
        <v/>
      </c>
      <c r="K59" s="344"/>
      <c r="L59" s="200"/>
    </row>
    <row r="60" spans="1:12">
      <c r="A60" s="655" t="s">
        <v>295</v>
      </c>
      <c r="B60" s="624" t="s">
        <v>35</v>
      </c>
      <c r="C60" s="20">
        <v>23</v>
      </c>
      <c r="D60" s="20">
        <v>18</v>
      </c>
      <c r="E60" s="20">
        <v>3</v>
      </c>
      <c r="F60" s="115">
        <v>0</v>
      </c>
      <c r="G60" s="1530"/>
      <c r="H60" s="1530"/>
      <c r="I60" s="343"/>
      <c r="J60" s="343" t="str">
        <f t="shared" si="0"/>
        <v/>
      </c>
      <c r="K60" s="344"/>
      <c r="L60" s="200"/>
    </row>
    <row r="61" spans="1:12">
      <c r="A61" s="655" t="s">
        <v>296</v>
      </c>
      <c r="B61" s="624" t="s">
        <v>36</v>
      </c>
      <c r="C61" s="20">
        <v>5467</v>
      </c>
      <c r="D61" s="20">
        <v>4620</v>
      </c>
      <c r="E61" s="20">
        <v>149</v>
      </c>
      <c r="F61" s="115">
        <v>78</v>
      </c>
      <c r="G61" s="1530"/>
      <c r="H61" s="1530"/>
      <c r="I61" s="343"/>
      <c r="J61" s="343" t="str">
        <f t="shared" si="0"/>
        <v/>
      </c>
      <c r="K61" s="344"/>
      <c r="L61" s="200"/>
    </row>
    <row r="62" spans="1:12">
      <c r="A62" s="655" t="s">
        <v>297</v>
      </c>
      <c r="B62" s="624" t="s">
        <v>37</v>
      </c>
      <c r="C62" s="20">
        <v>370</v>
      </c>
      <c r="D62" s="20">
        <v>219</v>
      </c>
      <c r="E62" s="20">
        <v>122</v>
      </c>
      <c r="F62" s="115">
        <v>5</v>
      </c>
      <c r="G62" s="1530"/>
      <c r="H62" s="1530"/>
      <c r="I62" s="343"/>
      <c r="J62" s="343" t="str">
        <f t="shared" si="0"/>
        <v/>
      </c>
      <c r="K62" s="344"/>
      <c r="L62" s="200"/>
    </row>
    <row r="63" spans="1:12">
      <c r="A63" s="941" t="s">
        <v>298</v>
      </c>
      <c r="B63" s="653" t="s">
        <v>212</v>
      </c>
      <c r="C63" s="406">
        <f>SUM(C59:C62)</f>
        <v>5993</v>
      </c>
      <c r="D63" s="406">
        <f>SUM(D59:D62)</f>
        <v>4966</v>
      </c>
      <c r="E63" s="406">
        <f>SUM(E59:E62)</f>
        <v>288</v>
      </c>
      <c r="F63" s="408">
        <f>SUM(F59:F62)</f>
        <v>83</v>
      </c>
      <c r="G63" s="85"/>
      <c r="H63" s="85"/>
      <c r="I63" s="343"/>
      <c r="J63" s="343"/>
      <c r="K63" s="345"/>
      <c r="L63" s="200"/>
    </row>
    <row r="64" spans="1:12">
      <c r="A64" s="1786" t="s">
        <v>299</v>
      </c>
      <c r="B64" s="651" t="s">
        <v>38</v>
      </c>
      <c r="C64" s="406">
        <f>SUM(C54,C58,C63)</f>
        <v>11680</v>
      </c>
      <c r="D64" s="406">
        <f>SUM(D54,D58,D63)</f>
        <v>9602</v>
      </c>
      <c r="E64" s="406">
        <f>SUM(E54,E58,E63)</f>
        <v>350</v>
      </c>
      <c r="F64" s="410">
        <f>SUM(F54,F58,F63)</f>
        <v>807</v>
      </c>
      <c r="G64" s="85"/>
      <c r="H64" s="85"/>
      <c r="I64" s="343"/>
      <c r="J64" s="343"/>
      <c r="K64" s="344"/>
      <c r="L64" s="200"/>
    </row>
    <row r="65" spans="1:13" ht="13.5" thickBot="1">
      <c r="A65" s="945" t="s">
        <v>302</v>
      </c>
      <c r="B65" s="946" t="s">
        <v>40</v>
      </c>
      <c r="C65" s="281">
        <v>6501</v>
      </c>
      <c r="D65" s="281">
        <v>4272</v>
      </c>
      <c r="E65" s="281">
        <v>1343</v>
      </c>
      <c r="F65" s="282">
        <v>320</v>
      </c>
      <c r="G65" s="1530"/>
      <c r="H65" s="1530"/>
      <c r="I65" s="343"/>
      <c r="J65" s="343" t="str">
        <f t="shared" si="0"/>
        <v/>
      </c>
      <c r="K65" s="344"/>
      <c r="L65" s="200"/>
    </row>
    <row r="66" spans="1:13" ht="27" customHeight="1" thickBot="1">
      <c r="A66" s="947" t="s">
        <v>303</v>
      </c>
      <c r="B66" s="735" t="s">
        <v>41</v>
      </c>
      <c r="C66" s="411">
        <f>SUM(C49,C64,C65:C65)</f>
        <v>52926</v>
      </c>
      <c r="D66" s="411">
        <f>SUM(D49,D64,D65:D65)</f>
        <v>41720</v>
      </c>
      <c r="E66" s="411">
        <f>SUM(E49,E64,E65:E65)</f>
        <v>4811</v>
      </c>
      <c r="F66" s="412">
        <f>SUM(F49,F64,F65:F65)</f>
        <v>2462</v>
      </c>
      <c r="G66" s="85"/>
      <c r="H66" s="85"/>
      <c r="I66" s="1389"/>
      <c r="J66" s="1658" t="str">
        <f>IF(G66=0,"",IF(SUM(G66-H66)&gt;4999,(ROUND(G66-H66,0))&amp; " tkr övr. invest.inkomster. Ange motparter och belopps-storlek för respektive post",""))</f>
        <v/>
      </c>
      <c r="K66" s="1400"/>
      <c r="L66" s="200"/>
    </row>
    <row r="67" spans="1:13" ht="5.25" customHeight="1">
      <c r="A67" s="1661"/>
      <c r="B67" s="1662"/>
      <c r="C67" s="85"/>
      <c r="D67" s="85"/>
      <c r="E67" s="85"/>
      <c r="F67" s="1663"/>
      <c r="G67" s="85"/>
      <c r="H67" s="85"/>
      <c r="I67" s="1389"/>
      <c r="J67" s="1658"/>
      <c r="K67" s="1664"/>
      <c r="L67" s="339"/>
    </row>
    <row r="68" spans="1:13" ht="10.5" customHeight="1">
      <c r="A68" s="1531"/>
      <c r="B68" s="164"/>
      <c r="C68" s="1525"/>
      <c r="D68" s="1659"/>
      <c r="E68" s="8"/>
      <c r="F68" s="243"/>
      <c r="G68" s="1660"/>
      <c r="H68" s="73"/>
      <c r="I68" s="1390"/>
      <c r="J68" s="74"/>
      <c r="K68" s="75"/>
      <c r="L68" s="4"/>
    </row>
    <row r="69" spans="1:13" ht="3" customHeight="1">
      <c r="A69" s="76"/>
      <c r="B69" s="77"/>
      <c r="C69" s="5"/>
      <c r="D69" s="43"/>
      <c r="E69" s="79"/>
      <c r="F69" s="79"/>
      <c r="G69" s="81"/>
      <c r="H69" s="270"/>
      <c r="I69" s="488"/>
      <c r="J69" s="80"/>
      <c r="K69" s="47"/>
      <c r="L69" s="4"/>
    </row>
    <row r="70" spans="1:13" ht="38.25" customHeight="1">
      <c r="A70" s="2365" t="s">
        <v>1219</v>
      </c>
      <c r="B70" s="2366"/>
      <c r="C70" s="2373"/>
      <c r="D70" s="2373"/>
      <c r="E70" s="2373"/>
      <c r="F70" s="2373"/>
      <c r="G70" s="81"/>
      <c r="H70" s="270"/>
      <c r="I70" s="1703"/>
      <c r="J70" s="1708"/>
      <c r="K70" s="8"/>
      <c r="L70" s="192"/>
    </row>
    <row r="71" spans="1:13">
      <c r="A71" s="2067" t="s">
        <v>1220</v>
      </c>
      <c r="B71" s="2055"/>
      <c r="C71" s="1964"/>
      <c r="D71" s="2047"/>
      <c r="E71" s="2043"/>
      <c r="F71" s="2048"/>
      <c r="G71" s="1411"/>
      <c r="H71" s="1411"/>
      <c r="I71" s="2336"/>
      <c r="J71" s="2368"/>
      <c r="K71" s="2368"/>
      <c r="L71" s="2368"/>
      <c r="M71" s="1412"/>
    </row>
    <row r="72" spans="1:13" ht="13.5" thickBot="1">
      <c r="A72" s="2061" t="s">
        <v>1221</v>
      </c>
      <c r="B72" s="2044"/>
      <c r="C72" s="2054"/>
      <c r="D72" s="2046"/>
      <c r="E72" s="2052"/>
      <c r="F72" s="2053"/>
      <c r="G72" s="1411"/>
      <c r="H72" s="1411"/>
      <c r="I72" s="2368"/>
      <c r="J72" s="2368"/>
      <c r="K72" s="2368"/>
      <c r="L72" s="2368"/>
      <c r="M72" s="1412"/>
    </row>
    <row r="73" spans="1:13" ht="27.75">
      <c r="A73" s="2063" t="s">
        <v>1222</v>
      </c>
      <c r="B73" s="2064" t="s">
        <v>1223</v>
      </c>
      <c r="C73" s="2068"/>
      <c r="D73" s="2045"/>
      <c r="E73" s="2053"/>
      <c r="F73" s="2053"/>
      <c r="G73" s="1411"/>
      <c r="H73" s="1411"/>
      <c r="I73" s="2368"/>
      <c r="J73" s="2368"/>
      <c r="K73" s="2368"/>
      <c r="L73" s="2368"/>
      <c r="M73" s="1412"/>
    </row>
    <row r="74" spans="1:13">
      <c r="A74" s="2081" t="s">
        <v>454</v>
      </c>
      <c r="B74" s="2020" t="s">
        <v>1224</v>
      </c>
      <c r="C74" s="2059">
        <v>1255</v>
      </c>
      <c r="D74" s="2070"/>
      <c r="E74" s="2053"/>
      <c r="F74" s="2053"/>
      <c r="G74" s="1411"/>
      <c r="H74" s="1411"/>
      <c r="I74" s="2368"/>
      <c r="J74" s="2368"/>
      <c r="K74" s="2368"/>
      <c r="L74" s="2368"/>
      <c r="M74" s="1412"/>
    </row>
    <row r="75" spans="1:13" ht="18" customHeight="1" thickBot="1">
      <c r="A75" s="2019">
        <v>705</v>
      </c>
      <c r="B75" s="2018" t="s">
        <v>1225</v>
      </c>
      <c r="C75" s="2060">
        <v>9101</v>
      </c>
      <c r="D75" s="2070"/>
      <c r="E75" s="2053"/>
      <c r="F75" s="2053"/>
      <c r="G75" s="4"/>
      <c r="H75" s="4"/>
      <c r="I75" s="1412"/>
      <c r="J75" s="1412"/>
      <c r="K75" s="1412"/>
      <c r="L75" s="1412"/>
      <c r="M75" s="1412"/>
    </row>
    <row r="76" spans="1:13" ht="14.25" customHeight="1" thickBot="1">
      <c r="A76" s="2057"/>
      <c r="B76" s="2056"/>
      <c r="C76" s="2049"/>
      <c r="D76" s="1492"/>
      <c r="E76" s="2053"/>
      <c r="F76" s="2053"/>
      <c r="G76" s="190"/>
      <c r="H76" s="190"/>
      <c r="J76" s="190"/>
      <c r="K76" s="190"/>
    </row>
    <row r="77" spans="1:13" ht="22.5" customHeight="1">
      <c r="A77" s="2065" t="s">
        <v>519</v>
      </c>
      <c r="B77" s="2066" t="s">
        <v>1226</v>
      </c>
      <c r="C77" s="2069"/>
      <c r="D77" s="1492"/>
      <c r="E77" s="2053"/>
      <c r="F77" s="2053"/>
      <c r="G77" s="163"/>
      <c r="H77" s="163"/>
      <c r="I77" s="163"/>
      <c r="J77" s="163"/>
      <c r="K77" s="164"/>
    </row>
    <row r="78" spans="1:13" ht="15" customHeight="1">
      <c r="A78" s="2028">
        <v>710</v>
      </c>
      <c r="B78" s="2087" t="s">
        <v>1227</v>
      </c>
      <c r="C78" s="2050">
        <v>3614</v>
      </c>
      <c r="D78" s="2070"/>
      <c r="E78" s="2053"/>
      <c r="F78" s="2053"/>
      <c r="G78" s="163"/>
      <c r="H78" s="163"/>
      <c r="J78" s="162"/>
      <c r="K78" s="164"/>
    </row>
    <row r="79" spans="1:13" ht="14.25" customHeight="1">
      <c r="A79" s="2082" t="s">
        <v>1228</v>
      </c>
      <c r="B79" s="2086" t="s">
        <v>1229</v>
      </c>
      <c r="C79" s="2050">
        <v>965</v>
      </c>
      <c r="D79" s="2070"/>
      <c r="E79" s="2053"/>
      <c r="F79" s="2053"/>
      <c r="G79" s="163"/>
      <c r="H79" s="163"/>
      <c r="I79" s="163"/>
      <c r="J79" s="163"/>
      <c r="K79" s="164"/>
    </row>
    <row r="80" spans="1:13" ht="13.5" customHeight="1">
      <c r="A80" s="2082" t="s">
        <v>1230</v>
      </c>
      <c r="B80" s="2086" t="s">
        <v>1231</v>
      </c>
      <c r="C80" s="2062">
        <v>12</v>
      </c>
      <c r="D80" s="2070"/>
      <c r="E80" s="2053"/>
      <c r="F80" s="2053"/>
      <c r="G80" s="163"/>
      <c r="H80" s="163"/>
      <c r="I80" s="163"/>
      <c r="J80" s="163"/>
      <c r="K80" s="164"/>
    </row>
    <row r="81" spans="1:11" ht="13.5" customHeight="1">
      <c r="A81" s="2082" t="s">
        <v>1232</v>
      </c>
      <c r="B81" s="2086" t="s">
        <v>1233</v>
      </c>
      <c r="C81" s="2062">
        <v>1909</v>
      </c>
      <c r="D81" s="2070"/>
      <c r="E81" s="2053"/>
      <c r="F81" s="2053"/>
      <c r="G81" s="163"/>
      <c r="H81" s="163"/>
      <c r="I81" s="163"/>
      <c r="J81" s="163"/>
      <c r="K81" s="164"/>
    </row>
    <row r="82" spans="1:11" ht="12" customHeight="1" thickBot="1">
      <c r="A82" s="2083" t="s">
        <v>1234</v>
      </c>
      <c r="B82" s="2088" t="s">
        <v>1235</v>
      </c>
      <c r="C82" s="2051">
        <f>C78-C79-C80-C81</f>
        <v>728</v>
      </c>
      <c r="D82" s="2058"/>
      <c r="E82" s="2053"/>
      <c r="F82" s="2053"/>
      <c r="G82" s="162"/>
      <c r="H82" s="162"/>
      <c r="J82" s="162"/>
      <c r="K82" s="164"/>
    </row>
    <row r="83" spans="1:11" ht="17.25" customHeight="1">
      <c r="A83" s="190"/>
      <c r="B83" s="190"/>
      <c r="C83" s="190"/>
      <c r="D83" s="190"/>
      <c r="E83" s="190"/>
      <c r="F83" s="190"/>
      <c r="G83" s="190"/>
      <c r="H83" s="190"/>
      <c r="J83" s="190"/>
      <c r="K83" s="190"/>
    </row>
    <row r="84" spans="1:11" ht="19.5" customHeight="1">
      <c r="A84" s="2365" t="s">
        <v>1236</v>
      </c>
      <c r="B84" s="2366"/>
      <c r="C84" s="2367"/>
      <c r="D84" s="2367"/>
      <c r="E84" s="2367"/>
      <c r="F84" s="2367"/>
      <c r="G84" s="2367"/>
      <c r="H84" s="2367"/>
      <c r="I84" s="2367"/>
      <c r="J84" s="2367"/>
      <c r="K84" s="2367"/>
    </row>
    <row r="85" spans="1:11" ht="13.5" customHeight="1">
      <c r="A85" s="2367"/>
      <c r="B85" s="2367"/>
      <c r="C85" s="2367"/>
      <c r="D85" s="2367"/>
      <c r="E85" s="2367"/>
      <c r="F85" s="2367"/>
      <c r="G85" s="2367"/>
      <c r="H85" s="2367"/>
      <c r="I85" s="2367"/>
      <c r="J85" s="2367"/>
      <c r="K85" s="2367"/>
    </row>
    <row r="86" spans="1:11">
      <c r="A86" s="2073" t="s">
        <v>1237</v>
      </c>
      <c r="B86" s="2074"/>
      <c r="C86" s="2075"/>
      <c r="D86" s="2076"/>
      <c r="E86" s="2076"/>
      <c r="F86" s="2072"/>
      <c r="G86" s="2077"/>
      <c r="H86" s="2078"/>
      <c r="I86" s="2079"/>
      <c r="J86" s="1947"/>
      <c r="K86" s="1947"/>
    </row>
    <row r="87" spans="1:11">
      <c r="A87" s="2080" t="s">
        <v>1238</v>
      </c>
      <c r="B87" s="2074"/>
      <c r="C87" s="2075"/>
      <c r="D87" s="2076"/>
      <c r="E87" s="2076"/>
      <c r="F87" s="2072"/>
      <c r="G87" s="2077"/>
      <c r="H87" s="2078"/>
      <c r="I87" s="2079"/>
      <c r="J87" s="1947"/>
      <c r="K87" s="1947"/>
    </row>
    <row r="88" spans="1:11" ht="13.5" thickBot="1">
      <c r="A88" s="2080" t="s">
        <v>1239</v>
      </c>
      <c r="B88" s="2074"/>
      <c r="C88" s="2075"/>
      <c r="D88" s="2076"/>
      <c r="E88" s="2076"/>
      <c r="F88" s="2072"/>
      <c r="G88" s="2077"/>
      <c r="H88" s="2078"/>
      <c r="I88" s="2079"/>
      <c r="J88" s="1947"/>
      <c r="K88" s="1947"/>
    </row>
    <row r="89" spans="1:11" ht="27">
      <c r="A89" s="2090" t="s">
        <v>519</v>
      </c>
      <c r="B89" s="2094" t="s">
        <v>1240</v>
      </c>
      <c r="C89" s="2017" t="s">
        <v>1241</v>
      </c>
      <c r="D89" s="2021" t="s">
        <v>1241</v>
      </c>
    </row>
    <row r="90" spans="1:11">
      <c r="A90" s="2089"/>
      <c r="B90" s="2085"/>
      <c r="C90" s="2022" t="s">
        <v>1159</v>
      </c>
      <c r="D90" s="2016" t="s">
        <v>1159</v>
      </c>
    </row>
    <row r="91" spans="1:11">
      <c r="A91" s="2089"/>
      <c r="B91" s="2091"/>
      <c r="C91" s="2008" t="s">
        <v>1160</v>
      </c>
      <c r="D91" s="2035" t="s">
        <v>985</v>
      </c>
    </row>
    <row r="92" spans="1:11" ht="18">
      <c r="A92" s="2089"/>
      <c r="B92" s="2085"/>
      <c r="C92" s="2015" t="s">
        <v>1242</v>
      </c>
      <c r="D92" s="2071" t="s">
        <v>1243</v>
      </c>
    </row>
    <row r="93" spans="1:11">
      <c r="A93" s="2089"/>
      <c r="B93" s="2092"/>
      <c r="C93" s="2014"/>
      <c r="D93" s="2013"/>
    </row>
    <row r="94" spans="1:11">
      <c r="A94" s="2028" t="s">
        <v>1244</v>
      </c>
      <c r="B94" s="2086" t="s">
        <v>1245</v>
      </c>
      <c r="C94" s="2095">
        <v>32371</v>
      </c>
      <c r="D94" s="2062">
        <v>456</v>
      </c>
    </row>
    <row r="95" spans="1:11">
      <c r="A95" s="2028" t="s">
        <v>1246</v>
      </c>
      <c r="B95" s="2086" t="s">
        <v>1247</v>
      </c>
      <c r="C95" s="2095">
        <v>11621</v>
      </c>
      <c r="D95" s="2062">
        <v>169</v>
      </c>
    </row>
    <row r="96" spans="1:11">
      <c r="A96" s="2028" t="s">
        <v>1248</v>
      </c>
      <c r="B96" s="2086" t="s">
        <v>1249</v>
      </c>
      <c r="C96" s="2095">
        <v>932</v>
      </c>
      <c r="D96" s="2062">
        <v>17</v>
      </c>
    </row>
    <row r="97" spans="1:4" ht="13.5" thickBot="1">
      <c r="A97" s="2012" t="s">
        <v>1250</v>
      </c>
      <c r="B97" s="2085" t="s">
        <v>1251</v>
      </c>
      <c r="C97" s="2096">
        <v>3913</v>
      </c>
      <c r="D97" s="2097">
        <v>185</v>
      </c>
    </row>
    <row r="98" spans="1:4" ht="13.5" thickBot="1">
      <c r="A98" s="2011" t="s">
        <v>1252</v>
      </c>
      <c r="B98" s="2084" t="s">
        <v>1253</v>
      </c>
      <c r="C98" s="2093">
        <f>SUM(C94:C97)</f>
        <v>48837</v>
      </c>
      <c r="D98" s="2274">
        <f>SUM(D94:D97)</f>
        <v>827</v>
      </c>
    </row>
  </sheetData>
  <customSheetViews>
    <customSheetView guid="{27C9E95B-0E2B-454F-B637-1CECC9579A10}" showGridLines="0" fitToPage="1" hiddenRows="1" hiddenColumns="1" showRuler="0" topLeftCell="A46">
      <selection activeCell="C16" sqref="C16"/>
      <pageMargins left="0.70866141732283472" right="0.70866141732283472" top="0.74803149606299213" bottom="0.35433070866141736" header="0.31496062992125984" footer="0.31496062992125984"/>
      <pageSetup paperSize="9" scale="73" orientation="portrait" r:id="rId1"/>
      <headerFooter alignWithMargins="0">
        <oddHeader>&amp;L&amp;8Statistiska Centralbyrå
Offentlig ekonomi&amp;R&amp;P</oddHeader>
      </headerFooter>
    </customSheetView>
    <customSheetView guid="{99FBDEB7-DD08-4F57-81F4-3C180403E153}" showGridLines="0" fitToPage="1" hiddenRows="1" hiddenColumns="1" topLeftCell="A22">
      <selection activeCell="B37" sqref="B37"/>
      <pageMargins left="0.70866141732283472" right="0.70866141732283472" top="0.74803149606299213" bottom="0.35433070866141736" header="0.31496062992125984" footer="0.31496062992125984"/>
      <pageSetup paperSize="9" scale="73" orientation="portrait" r:id="rId2"/>
      <headerFooter>
        <oddHeader>&amp;L&amp;8Statistiska Centralbyrå
Offentlig ekonomi&amp;R&amp;P</oddHeader>
      </headerFooter>
    </customSheetView>
    <customSheetView guid="{97D6DB71-3F4C-4C5F-8C5B-51E3EBF78932}" showPageBreaks="1" showGridLines="0" fitToPage="1" hiddenRows="1" hiddenColumns="1" topLeftCell="A34">
      <selection activeCell="B37" sqref="B37"/>
      <pageMargins left="0.70866141732283472" right="0.70866141732283472" top="0.74803149606299213" bottom="0.35433070866141736" header="0.31496062992125984" footer="0.31496062992125984"/>
      <pageSetup paperSize="9" scale="70" orientation="portrait" r:id="rId3"/>
      <headerFooter>
        <oddHeader>&amp;L&amp;8Statistiska Centralbyrå
Offentlig ekonomi&amp;R&amp;P</oddHeader>
      </headerFooter>
    </customSheetView>
  </customSheetViews>
  <mergeCells count="7">
    <mergeCell ref="A84:K85"/>
    <mergeCell ref="I71:L74"/>
    <mergeCell ref="E4:E5"/>
    <mergeCell ref="D4:D5"/>
    <mergeCell ref="C4:C5"/>
    <mergeCell ref="I13:L15"/>
    <mergeCell ref="A70:F70"/>
  </mergeCells>
  <phoneticPr fontId="90" type="noConversion"/>
  <conditionalFormatting sqref="D68 C73:C74 C25:H32 C34:H35 C37:H39 C42:H46 C48:H48 C50:H53 C55:H57 C59:H62 C65:H65">
    <cfRule type="cellIs" dxfId="61" priority="8" stopIfTrue="1" operator="lessThan">
      <formula>-500</formula>
    </cfRule>
  </conditionalFormatting>
  <conditionalFormatting sqref="C8:F8 C10:F11">
    <cfRule type="cellIs" dxfId="60" priority="10" stopIfTrue="1" operator="greaterThan">
      <formula>1</formula>
    </cfRule>
  </conditionalFormatting>
  <conditionalFormatting sqref="C7:F7 C9:F9">
    <cfRule type="cellIs" dxfId="59" priority="11" stopIfTrue="1" operator="lessThan">
      <formula>-1</formula>
    </cfRule>
  </conditionalFormatting>
  <conditionalFormatting sqref="C36:H36">
    <cfRule type="cellIs" dxfId="58" priority="5" stopIfTrue="1" operator="lessThan">
      <formula>-500</formula>
    </cfRule>
  </conditionalFormatting>
  <conditionalFormatting sqref="H7">
    <cfRule type="cellIs" dxfId="57" priority="4" stopIfTrue="1" operator="lessThan">
      <formula>-1</formula>
    </cfRule>
  </conditionalFormatting>
  <conditionalFormatting sqref="H8 H10:H13">
    <cfRule type="cellIs" dxfId="56" priority="3" stopIfTrue="1" operator="greaterThan">
      <formula>1</formula>
    </cfRule>
  </conditionalFormatting>
  <conditionalFormatting sqref="H9">
    <cfRule type="cellIs" dxfId="55" priority="1" stopIfTrue="1" operator="lessThan">
      <formula>-500</formula>
    </cfRule>
  </conditionalFormatting>
  <dataValidations count="2">
    <dataValidation type="decimal" operator="lessThan" allowBlank="1" showInputMessage="1" showErrorMessage="1" error="Beloppet ska vara i 1000 tal kronor" sqref="C25:H32 C34:H35 C37:H39 C42:H46 C48:H48 C50:H53 C55:H57 C59:H62 C73:C74 D68 C6:F7 C9:F9 C12:F14 J7:J8 C65:H65 H9">
      <formula1>99999999</formula1>
    </dataValidation>
    <dataValidation type="decimal" operator="lessThanOrEqual" allowBlank="1" showInputMessage="1" showErrorMessage="1" error="Minustecken måste anges" sqref="C8:F8 C10:F11">
      <formula1>0</formula1>
    </dataValidation>
  </dataValidations>
  <pageMargins left="0.70866141732283472" right="0.70866141732283472" top="0.74803149606299213" bottom="0.35433070866141736" header="0.31496062992125984" footer="0.31496062992125984"/>
  <pageSetup paperSize="9" scale="64" orientation="portrait" r:id="rId4"/>
  <headerFooter>
    <oddHeader>&amp;L&amp;8Statistiska Centralbyrå
Offentlig ekonomi&amp;R&amp;P</oddHeader>
  </headerFooter>
  <ignoredErrors>
    <ignoredError sqref="A6:A15 A25:A66 A79:A82 A74 A94:A98" numberStoredAsText="1"/>
    <ignoredError sqref="C33:F33" formulaRange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01"/>
  <sheetViews>
    <sheetView showGridLines="0" zoomScaleNormal="100" workbookViewId="0">
      <pane xSplit="2" ySplit="10" topLeftCell="C11" activePane="bottomRight" state="frozen"/>
      <selection activeCell="F32" sqref="F32"/>
      <selection pane="topRight" activeCell="F32" sqref="F32"/>
      <selection pane="bottomLeft" activeCell="F32" sqref="F32"/>
      <selection pane="bottomRight" activeCell="A2" sqref="A2"/>
    </sheetView>
  </sheetViews>
  <sheetFormatPr defaultColWidth="0" defaultRowHeight="12.75" zeroHeight="1"/>
  <cols>
    <col min="1" max="1" width="3.85546875" style="229" customWidth="1"/>
    <col min="2" max="2" width="28.85546875" style="229" customWidth="1"/>
    <col min="3" max="5" width="8.7109375" style="229" customWidth="1"/>
    <col min="6" max="6" width="9.7109375" style="229" customWidth="1"/>
    <col min="7" max="7" width="11.140625" style="229" customWidth="1"/>
    <col min="8" max="8" width="9.7109375" style="229" customWidth="1"/>
    <col min="9" max="10" width="8.7109375" style="229" customWidth="1"/>
    <col min="11" max="11" width="1.28515625" style="229" customWidth="1"/>
    <col min="12" max="14" width="8.7109375" style="229" customWidth="1"/>
    <col min="15" max="15" width="10.42578125" style="229" customWidth="1"/>
    <col min="16" max="16" width="10" style="229" customWidth="1"/>
    <col min="17" max="17" width="3.7109375" style="229" customWidth="1"/>
    <col min="18" max="19" width="8.7109375" style="229" customWidth="1"/>
    <col min="20" max="20" width="10.85546875" style="229" customWidth="1"/>
    <col min="21" max="21" width="2.28515625" style="229" customWidth="1"/>
    <col min="22" max="22" width="8.7109375" style="229" customWidth="1"/>
    <col min="23" max="23" width="10.5703125" style="229" customWidth="1"/>
    <col min="24" max="24" width="2.28515625" style="229" customWidth="1"/>
    <col min="25" max="25" width="9.85546875" style="229" customWidth="1"/>
    <col min="26" max="27" width="8.7109375" style="229" customWidth="1"/>
    <col min="28" max="28" width="8.7109375" style="161" customWidth="1"/>
    <col min="29" max="29" width="9.7109375" style="161" customWidth="1"/>
    <col min="30" max="30" width="1.85546875" style="190" customWidth="1"/>
    <col min="31" max="31" width="0.28515625" style="458" hidden="1" customWidth="1"/>
    <col min="32" max="32" width="9.85546875" style="190" customWidth="1"/>
    <col min="33" max="33" width="10.140625" style="190" customWidth="1"/>
    <col min="34" max="35" width="9.140625" style="190" customWidth="1"/>
    <col min="36" max="16384" width="9.140625" style="190" hidden="1"/>
  </cols>
  <sheetData>
    <row r="1" spans="1:33" ht="21.75" customHeight="1">
      <c r="A1" s="189"/>
      <c r="B1" s="91"/>
      <c r="C1" s="90" t="str">
        <f>"Driftredovisning "&amp;År&amp;",miljoner kronor"</f>
        <v>Driftredovisning 2016,miljoner kronor</v>
      </c>
      <c r="D1" s="91"/>
      <c r="E1" s="91"/>
      <c r="F1" s="189"/>
      <c r="G1" s="189"/>
      <c r="H1" s="189"/>
      <c r="I1" s="560" t="s">
        <v>494</v>
      </c>
      <c r="J1" s="561"/>
      <c r="K1" s="217"/>
      <c r="L1" s="189"/>
      <c r="M1" s="189"/>
      <c r="N1" s="189"/>
      <c r="O1" s="189"/>
      <c r="P1" s="189"/>
      <c r="Q1" s="189"/>
      <c r="R1" s="90" t="str">
        <f>"Driftredovisning "&amp;År&amp;", miljoner kronor"</f>
        <v>Driftredovisning 2016, miljoner kronor</v>
      </c>
      <c r="S1" s="189"/>
      <c r="T1" s="189"/>
      <c r="U1" s="189"/>
      <c r="V1" s="189"/>
      <c r="W1" s="189"/>
      <c r="X1" s="189"/>
      <c r="Y1" s="560"/>
      <c r="Z1" s="561"/>
      <c r="AA1" s="189"/>
      <c r="AB1" s="455"/>
      <c r="AC1" s="455"/>
      <c r="AD1" s="189"/>
      <c r="AE1" s="455"/>
      <c r="AF1" s="189"/>
      <c r="AG1" s="189"/>
    </row>
    <row r="2" spans="1:33" ht="12.75" customHeight="1">
      <c r="A2" s="1385"/>
      <c r="C2" s="1490"/>
      <c r="D2" s="164"/>
      <c r="G2" s="1534"/>
      <c r="H2" s="164"/>
      <c r="I2" s="190"/>
      <c r="J2" s="190"/>
      <c r="N2" s="164"/>
      <c r="O2" s="4"/>
      <c r="P2" s="4"/>
      <c r="Q2" s="218" t="s">
        <v>118</v>
      </c>
      <c r="R2" s="4"/>
      <c r="S2" s="219"/>
      <c r="T2" s="4"/>
      <c r="U2" s="4"/>
      <c r="V2" s="4"/>
      <c r="W2" s="4"/>
      <c r="X2" s="192"/>
      <c r="Y2" s="4"/>
      <c r="Z2" s="227"/>
      <c r="AA2" s="227"/>
      <c r="AB2" s="1499"/>
      <c r="AC2" s="1415"/>
      <c r="AD2" s="1423"/>
      <c r="AE2" s="1434"/>
      <c r="AF2" s="227"/>
    </row>
    <row r="3" spans="1:33" s="225" customFormat="1" ht="12.75" customHeight="1" thickBot="1">
      <c r="C3" s="1490"/>
      <c r="D3" s="164"/>
      <c r="G3" s="1717"/>
      <c r="H3" s="164"/>
      <c r="I3" s="1718"/>
      <c r="N3" s="164"/>
      <c r="O3" s="221"/>
      <c r="P3" s="221"/>
      <c r="Q3" s="222"/>
      <c r="R3" s="220"/>
      <c r="S3" s="221"/>
      <c r="T3" s="221"/>
      <c r="U3" s="223"/>
      <c r="V3" s="220"/>
      <c r="W3" s="221"/>
      <c r="X3" s="223"/>
      <c r="Y3" s="220" t="s">
        <v>155</v>
      </c>
      <c r="Z3" s="1435"/>
      <c r="AA3" s="1435"/>
      <c r="AB3" s="1500"/>
      <c r="AC3" s="1501"/>
      <c r="AD3" s="1502"/>
      <c r="AE3" s="1436"/>
      <c r="AF3" s="1437"/>
    </row>
    <row r="4" spans="1:33" s="203" customFormat="1" ht="30" customHeight="1">
      <c r="A4" s="948" t="s">
        <v>224</v>
      </c>
      <c r="B4" s="949" t="s">
        <v>21</v>
      </c>
      <c r="C4" s="2378" t="s">
        <v>42</v>
      </c>
      <c r="D4" s="2379"/>
      <c r="E4" s="2380" t="s">
        <v>43</v>
      </c>
      <c r="F4" s="2381"/>
      <c r="G4" s="2381"/>
      <c r="H4" s="2382"/>
      <c r="I4" s="2386" t="s">
        <v>44</v>
      </c>
      <c r="J4" s="2387"/>
      <c r="K4" s="1740"/>
      <c r="L4" s="2383" t="s">
        <v>157</v>
      </c>
      <c r="M4" s="2384"/>
      <c r="N4" s="2384"/>
      <c r="O4" s="2385"/>
      <c r="P4" s="1028"/>
      <c r="Q4" s="86"/>
      <c r="R4" s="2393" t="s">
        <v>45</v>
      </c>
      <c r="S4" s="2394"/>
      <c r="T4" s="2395"/>
      <c r="U4" s="125"/>
      <c r="V4" s="918" t="s">
        <v>159</v>
      </c>
      <c r="W4" s="1049"/>
      <c r="X4" s="39"/>
      <c r="Y4" s="1080" t="s">
        <v>46</v>
      </c>
      <c r="Z4" s="2396" t="s">
        <v>508</v>
      </c>
      <c r="AA4" s="2397"/>
      <c r="AB4" s="2398"/>
      <c r="AC4" s="1911" t="s">
        <v>1266</v>
      </c>
      <c r="AD4" s="1885"/>
      <c r="AE4" s="2391" t="s">
        <v>862</v>
      </c>
      <c r="AF4" s="1915" t="s">
        <v>1188</v>
      </c>
      <c r="AG4" s="2282" t="s">
        <v>1189</v>
      </c>
    </row>
    <row r="5" spans="1:33" ht="35.25" customHeight="1">
      <c r="A5" s="1481"/>
      <c r="B5" s="1482"/>
      <c r="C5" s="1464" t="s">
        <v>217</v>
      </c>
      <c r="D5" s="984" t="s">
        <v>553</v>
      </c>
      <c r="E5" s="1580" t="s">
        <v>1003</v>
      </c>
      <c r="F5" s="984" t="s">
        <v>899</v>
      </c>
      <c r="G5" s="985" t="s">
        <v>223</v>
      </c>
      <c r="H5" s="986" t="s">
        <v>884</v>
      </c>
      <c r="I5" s="987" t="s">
        <v>502</v>
      </c>
      <c r="J5" s="988" t="s">
        <v>554</v>
      </c>
      <c r="K5" s="39"/>
      <c r="L5" s="1029" t="s">
        <v>602</v>
      </c>
      <c r="M5" s="1030" t="s">
        <v>503</v>
      </c>
      <c r="N5" s="1031" t="s">
        <v>504</v>
      </c>
      <c r="O5" s="950"/>
      <c r="P5" s="1032" t="s">
        <v>517</v>
      </c>
      <c r="Q5" s="51"/>
      <c r="R5" s="1047" t="s">
        <v>783</v>
      </c>
      <c r="S5" s="986" t="s">
        <v>505</v>
      </c>
      <c r="T5" s="1048" t="s">
        <v>506</v>
      </c>
      <c r="U5" s="33"/>
      <c r="V5" s="1033"/>
      <c r="W5" s="1050" t="s">
        <v>518</v>
      </c>
      <c r="X5" s="39"/>
      <c r="Y5" s="2408" t="s">
        <v>507</v>
      </c>
      <c r="Z5" s="990" t="s">
        <v>1259</v>
      </c>
      <c r="AA5" s="990" t="s">
        <v>1260</v>
      </c>
      <c r="AB5" s="990" t="s">
        <v>1187</v>
      </c>
      <c r="AC5" s="1457"/>
      <c r="AD5" s="1884"/>
      <c r="AE5" s="2392"/>
      <c r="AF5" s="2376" t="s">
        <v>1190</v>
      </c>
      <c r="AG5" s="2374" t="s">
        <v>1191</v>
      </c>
    </row>
    <row r="6" spans="1:33" ht="51" customHeight="1" thickBot="1">
      <c r="A6" s="951"/>
      <c r="B6" s="2325" t="s">
        <v>863</v>
      </c>
      <c r="C6" s="1640" t="s">
        <v>942</v>
      </c>
      <c r="D6" s="1566"/>
      <c r="E6" s="1567" t="s">
        <v>971</v>
      </c>
      <c r="F6" s="1567" t="s">
        <v>937</v>
      </c>
      <c r="G6" s="1641" t="s">
        <v>943</v>
      </c>
      <c r="H6" s="1567" t="s">
        <v>50</v>
      </c>
      <c r="I6" s="1568" t="s">
        <v>51</v>
      </c>
      <c r="J6" s="1569"/>
      <c r="K6" s="39"/>
      <c r="L6" s="1483"/>
      <c r="M6" s="1484"/>
      <c r="N6" s="1465" t="s">
        <v>1005</v>
      </c>
      <c r="O6" s="1466" t="s">
        <v>1006</v>
      </c>
      <c r="P6" s="1034"/>
      <c r="Q6" s="51"/>
      <c r="R6" s="1577" t="s">
        <v>998</v>
      </c>
      <c r="S6" s="1570" t="s">
        <v>52</v>
      </c>
      <c r="T6" s="1571" t="s">
        <v>900</v>
      </c>
      <c r="U6" s="33"/>
      <c r="V6" s="951"/>
      <c r="W6" s="1034"/>
      <c r="X6" s="39"/>
      <c r="Y6" s="2377"/>
      <c r="Z6" s="1065"/>
      <c r="AA6" s="1065"/>
      <c r="AB6" s="1066"/>
      <c r="AC6" s="1457"/>
      <c r="AD6" s="1883"/>
      <c r="AE6" s="2392"/>
      <c r="AF6" s="2377"/>
      <c r="AG6" s="2375"/>
    </row>
    <row r="7" spans="1:33" ht="1.5" hidden="1" customHeight="1">
      <c r="A7" s="951"/>
      <c r="B7" s="1791"/>
      <c r="C7" s="1792"/>
      <c r="D7" s="1793"/>
      <c r="E7" s="1794"/>
      <c r="F7" s="1795"/>
      <c r="G7" s="1796"/>
      <c r="H7" s="1797"/>
      <c r="I7" s="1798"/>
      <c r="J7" s="1799"/>
      <c r="K7" s="1868"/>
      <c r="L7" s="1469"/>
      <c r="M7" s="1470"/>
      <c r="N7" s="1467"/>
      <c r="O7" s="952"/>
      <c r="P7" s="1035"/>
      <c r="Q7" s="1868"/>
      <c r="R7" s="1800"/>
      <c r="S7" s="1701"/>
      <c r="T7" s="1801"/>
      <c r="U7" s="1868"/>
      <c r="V7" s="1033"/>
      <c r="W7" s="1035"/>
      <c r="X7" s="1868"/>
      <c r="Y7" s="1458"/>
      <c r="Z7" s="1065"/>
      <c r="AA7" s="1067"/>
      <c r="AB7" s="1066"/>
      <c r="AC7" s="1457"/>
      <c r="AD7" s="1883"/>
      <c r="AE7" s="2392"/>
      <c r="AF7" s="1914"/>
      <c r="AG7" s="2283"/>
    </row>
    <row r="8" spans="1:33" ht="8.25" hidden="1" customHeight="1">
      <c r="A8" s="953"/>
      <c r="B8" s="1802"/>
      <c r="C8" s="1803"/>
      <c r="D8" s="1804"/>
      <c r="E8" s="987"/>
      <c r="F8" s="990"/>
      <c r="G8" s="1805"/>
      <c r="H8" s="1806"/>
      <c r="I8" s="1807"/>
      <c r="J8" s="1808"/>
      <c r="K8" s="1868"/>
      <c r="L8" s="1033"/>
      <c r="M8" s="992"/>
      <c r="N8" s="1467"/>
      <c r="O8" s="952"/>
      <c r="P8" s="1035"/>
      <c r="Q8" s="1868"/>
      <c r="R8" s="1800"/>
      <c r="S8" s="1701"/>
      <c r="T8" s="1801"/>
      <c r="U8" s="1868"/>
      <c r="V8" s="1036"/>
      <c r="W8" s="1035"/>
      <c r="X8" s="1868"/>
      <c r="Y8" s="1458"/>
      <c r="Z8" s="1068"/>
      <c r="AA8" s="1069"/>
      <c r="AB8" s="991"/>
      <c r="AC8" s="1457"/>
      <c r="AD8" s="1851"/>
      <c r="AE8" s="1081"/>
      <c r="AF8" s="1914"/>
      <c r="AG8" s="2283"/>
    </row>
    <row r="9" spans="1:33" ht="0.75" hidden="1" customHeight="1">
      <c r="A9" s="951"/>
      <c r="B9" s="1809"/>
      <c r="C9" s="1810"/>
      <c r="D9" s="1811"/>
      <c r="E9" s="1812"/>
      <c r="F9" s="1813"/>
      <c r="G9" s="1805"/>
      <c r="H9" s="1806"/>
      <c r="I9" s="1814"/>
      <c r="J9" s="1815"/>
      <c r="K9" s="1851"/>
      <c r="L9" s="1036"/>
      <c r="M9" s="992"/>
      <c r="N9" s="1329"/>
      <c r="O9" s="1351"/>
      <c r="P9" s="1035"/>
      <c r="Q9" s="1868"/>
      <c r="R9" s="1036"/>
      <c r="S9" s="1816"/>
      <c r="T9" s="1815"/>
      <c r="U9" s="1851"/>
      <c r="V9" s="1036"/>
      <c r="W9" s="1051"/>
      <c r="X9" s="1851"/>
      <c r="Y9" s="1458"/>
      <c r="Z9" s="1068"/>
      <c r="AA9" s="1068"/>
      <c r="AB9" s="991"/>
      <c r="AC9" s="1457"/>
      <c r="AD9" s="1851"/>
      <c r="AE9" s="1082"/>
      <c r="AF9" s="1914"/>
      <c r="AG9" s="2283"/>
    </row>
    <row r="10" spans="1:33" ht="4.5" hidden="1" customHeight="1">
      <c r="A10" s="954"/>
      <c r="B10" s="1817"/>
      <c r="C10" s="993"/>
      <c r="D10" s="1818"/>
      <c r="E10" s="1819"/>
      <c r="F10" s="1818"/>
      <c r="G10" s="985"/>
      <c r="H10" s="1820"/>
      <c r="I10" s="993"/>
      <c r="J10" s="1821"/>
      <c r="K10" s="1851"/>
      <c r="L10" s="1037"/>
      <c r="M10" s="993"/>
      <c r="N10" s="1183"/>
      <c r="O10" s="1468"/>
      <c r="P10" s="1038"/>
      <c r="Q10" s="1852"/>
      <c r="R10" s="1037"/>
      <c r="S10" s="1818"/>
      <c r="T10" s="1821"/>
      <c r="U10" s="1851"/>
      <c r="V10" s="1037"/>
      <c r="W10" s="1052"/>
      <c r="X10" s="1851"/>
      <c r="Y10" s="1083"/>
      <c r="Z10" s="1070"/>
      <c r="AA10" s="1071"/>
      <c r="AB10" s="1072"/>
      <c r="AC10" s="1073"/>
      <c r="AD10" s="1925"/>
      <c r="AE10" s="1084"/>
      <c r="AF10" s="1914"/>
      <c r="AG10" s="2283"/>
    </row>
    <row r="11" spans="1:33" ht="20.25" customHeight="1">
      <c r="A11" s="955"/>
      <c r="B11" s="956" t="s">
        <v>22</v>
      </c>
      <c r="C11" s="994"/>
      <c r="D11" s="995"/>
      <c r="E11" s="994"/>
      <c r="F11" s="996"/>
      <c r="G11" s="997"/>
      <c r="H11" s="998"/>
      <c r="I11" s="994"/>
      <c r="J11" s="999"/>
      <c r="K11" s="228"/>
      <c r="L11" s="1039"/>
      <c r="M11" s="996"/>
      <c r="N11" s="995"/>
      <c r="O11" s="1040"/>
      <c r="P11" s="999"/>
      <c r="Q11" s="228"/>
      <c r="R11" s="1039"/>
      <c r="S11" s="996"/>
      <c r="T11" s="999"/>
      <c r="U11" s="228"/>
      <c r="V11" s="1053"/>
      <c r="W11" s="1054"/>
      <c r="X11" s="37"/>
      <c r="Y11" s="1085"/>
      <c r="Z11" s="1074"/>
      <c r="AA11" s="1074"/>
      <c r="AB11" s="1075"/>
      <c r="AC11" s="1076"/>
      <c r="AD11" s="339"/>
      <c r="AE11" s="1087"/>
      <c r="AF11" s="1887"/>
      <c r="AG11" s="2283"/>
    </row>
    <row r="12" spans="1:33" ht="11.25" customHeight="1">
      <c r="A12" s="957"/>
      <c r="B12" s="958" t="s">
        <v>53</v>
      </c>
      <c r="C12" s="1000"/>
      <c r="D12" s="1001"/>
      <c r="E12" s="1000"/>
      <c r="F12" s="1002"/>
      <c r="G12" s="1003"/>
      <c r="H12" s="1004"/>
      <c r="I12" s="1000"/>
      <c r="J12" s="1005"/>
      <c r="K12" s="228"/>
      <c r="L12" s="1041"/>
      <c r="M12" s="1002"/>
      <c r="N12" s="1001"/>
      <c r="O12" s="1042"/>
      <c r="P12" s="1005"/>
      <c r="Q12" s="228"/>
      <c r="R12" s="1041"/>
      <c r="S12" s="1002"/>
      <c r="T12" s="1005"/>
      <c r="U12" s="228"/>
      <c r="V12" s="1055"/>
      <c r="W12" s="1056"/>
      <c r="X12" s="30"/>
      <c r="Y12" s="1088"/>
      <c r="Z12" s="1074"/>
      <c r="AA12" s="1074"/>
      <c r="AB12" s="1075"/>
      <c r="AC12" s="1076"/>
      <c r="AD12" s="339"/>
      <c r="AE12" s="1087"/>
      <c r="AF12" s="1886"/>
      <c r="AG12" s="2283"/>
    </row>
    <row r="13" spans="1:33">
      <c r="A13" s="641" t="s">
        <v>235</v>
      </c>
      <c r="B13" s="959" t="s">
        <v>54</v>
      </c>
      <c r="C13" s="20">
        <v>1864</v>
      </c>
      <c r="D13" s="21">
        <v>611</v>
      </c>
      <c r="E13" s="22">
        <v>53</v>
      </c>
      <c r="F13" s="20">
        <v>12</v>
      </c>
      <c r="G13" s="20">
        <v>319</v>
      </c>
      <c r="H13" s="21">
        <v>48</v>
      </c>
      <c r="I13" s="20">
        <v>19</v>
      </c>
      <c r="J13" s="115">
        <v>16</v>
      </c>
      <c r="K13" s="31"/>
      <c r="L13" s="118">
        <v>61</v>
      </c>
      <c r="M13" s="20">
        <v>194</v>
      </c>
      <c r="N13" s="21">
        <v>17</v>
      </c>
      <c r="O13" s="489">
        <v>109</v>
      </c>
      <c r="P13" s="413">
        <f>SUM(C13:O13)</f>
        <v>3323</v>
      </c>
      <c r="Q13" s="52"/>
      <c r="R13" s="118">
        <v>4</v>
      </c>
      <c r="S13" s="20">
        <v>1</v>
      </c>
      <c r="T13" s="115">
        <v>70</v>
      </c>
      <c r="U13" s="53"/>
      <c r="V13" s="127">
        <v>61</v>
      </c>
      <c r="W13" s="448">
        <f>SUM(R13:V13)</f>
        <v>136</v>
      </c>
      <c r="X13" s="60"/>
      <c r="Y13" s="1890">
        <v>3247</v>
      </c>
      <c r="Z13" s="1077"/>
      <c r="AA13" s="1078"/>
      <c r="AB13" s="1079"/>
      <c r="AC13" s="1892"/>
      <c r="AD13" s="1882"/>
      <c r="AE13" s="1087"/>
      <c r="AF13" s="1891">
        <v>3188</v>
      </c>
      <c r="AG13" s="2284">
        <v>3203</v>
      </c>
    </row>
    <row r="14" spans="1:33">
      <c r="A14" s="641" t="s">
        <v>236</v>
      </c>
      <c r="B14" s="960" t="s">
        <v>55</v>
      </c>
      <c r="C14" s="23">
        <v>6</v>
      </c>
      <c r="D14" s="21">
        <v>2</v>
      </c>
      <c r="E14" s="25">
        <v>0</v>
      </c>
      <c r="F14" s="23">
        <v>0</v>
      </c>
      <c r="G14" s="23">
        <v>1</v>
      </c>
      <c r="H14" s="24">
        <v>450</v>
      </c>
      <c r="I14" s="23">
        <v>0</v>
      </c>
      <c r="J14" s="116">
        <v>0</v>
      </c>
      <c r="K14" s="31"/>
      <c r="L14" s="119">
        <v>1</v>
      </c>
      <c r="M14" s="23">
        <v>2</v>
      </c>
      <c r="N14" s="21">
        <v>0</v>
      </c>
      <c r="O14" s="414">
        <v>0</v>
      </c>
      <c r="P14" s="413">
        <f>SUM(C14:O14)</f>
        <v>462</v>
      </c>
      <c r="Q14" s="52"/>
      <c r="R14" s="119">
        <v>0</v>
      </c>
      <c r="S14" s="23">
        <v>0</v>
      </c>
      <c r="T14" s="116">
        <v>1</v>
      </c>
      <c r="U14" s="53"/>
      <c r="V14" s="128">
        <v>2</v>
      </c>
      <c r="W14" s="448">
        <f>SUM(R14:V14)</f>
        <v>3</v>
      </c>
      <c r="X14" s="60"/>
      <c r="Y14" s="1891">
        <v>463</v>
      </c>
      <c r="Z14" s="1075"/>
      <c r="AA14" s="1075"/>
      <c r="AB14" s="1075"/>
      <c r="AC14" s="1743"/>
      <c r="AD14" s="1882"/>
      <c r="AE14" s="1087"/>
      <c r="AF14" s="1891">
        <v>462</v>
      </c>
      <c r="AG14" s="2284">
        <v>13</v>
      </c>
    </row>
    <row r="15" spans="1:33">
      <c r="A15" s="641" t="s">
        <v>237</v>
      </c>
      <c r="B15" s="960" t="s">
        <v>56</v>
      </c>
      <c r="C15" s="23">
        <v>118</v>
      </c>
      <c r="D15" s="21">
        <v>37</v>
      </c>
      <c r="E15" s="25">
        <v>3</v>
      </c>
      <c r="F15" s="23">
        <v>7</v>
      </c>
      <c r="G15" s="23">
        <v>227</v>
      </c>
      <c r="H15" s="24">
        <v>0</v>
      </c>
      <c r="I15" s="23">
        <v>3</v>
      </c>
      <c r="J15" s="116">
        <v>0</v>
      </c>
      <c r="K15" s="31"/>
      <c r="L15" s="119">
        <v>3</v>
      </c>
      <c r="M15" s="23">
        <v>7</v>
      </c>
      <c r="N15" s="21">
        <v>2</v>
      </c>
      <c r="O15" s="414">
        <v>13</v>
      </c>
      <c r="P15" s="413">
        <f>SUM(C15:O15)</f>
        <v>420</v>
      </c>
      <c r="Q15" s="52"/>
      <c r="R15" s="119">
        <v>6</v>
      </c>
      <c r="S15" s="23">
        <v>0</v>
      </c>
      <c r="T15" s="116">
        <v>9</v>
      </c>
      <c r="U15" s="53"/>
      <c r="V15" s="128">
        <v>3</v>
      </c>
      <c r="W15" s="448">
        <f>SUM(R15:V15)</f>
        <v>18</v>
      </c>
      <c r="X15" s="60"/>
      <c r="Y15" s="1890">
        <v>418</v>
      </c>
      <c r="Z15" s="1075"/>
      <c r="AA15" s="1075"/>
      <c r="AB15" s="1075"/>
      <c r="AC15" s="1743"/>
      <c r="AD15" s="1882"/>
      <c r="AE15" s="1087"/>
      <c r="AF15" s="1891">
        <v>403</v>
      </c>
      <c r="AG15" s="2284">
        <v>411</v>
      </c>
    </row>
    <row r="16" spans="1:33">
      <c r="A16" s="641" t="s">
        <v>238</v>
      </c>
      <c r="B16" s="960" t="s">
        <v>57</v>
      </c>
      <c r="C16" s="23">
        <v>1292</v>
      </c>
      <c r="D16" s="21">
        <v>428</v>
      </c>
      <c r="E16" s="25">
        <v>22</v>
      </c>
      <c r="F16" s="23">
        <v>136</v>
      </c>
      <c r="G16" s="23">
        <v>596</v>
      </c>
      <c r="H16" s="24">
        <v>89</v>
      </c>
      <c r="I16" s="23">
        <v>15</v>
      </c>
      <c r="J16" s="116">
        <v>10</v>
      </c>
      <c r="K16" s="31"/>
      <c r="L16" s="119">
        <v>30</v>
      </c>
      <c r="M16" s="23">
        <v>157</v>
      </c>
      <c r="N16" s="21">
        <v>24</v>
      </c>
      <c r="O16" s="414">
        <v>77</v>
      </c>
      <c r="P16" s="413">
        <f>SUM(C16:O16)</f>
        <v>2876</v>
      </c>
      <c r="Q16" s="52"/>
      <c r="R16" s="119">
        <v>33</v>
      </c>
      <c r="S16" s="23">
        <v>0</v>
      </c>
      <c r="T16" s="116">
        <v>619</v>
      </c>
      <c r="U16" s="53"/>
      <c r="V16" s="128">
        <v>115</v>
      </c>
      <c r="W16" s="448">
        <f>SUM(R16:V16)</f>
        <v>767</v>
      </c>
      <c r="X16" s="60"/>
      <c r="Y16" s="1890">
        <v>2648</v>
      </c>
      <c r="Z16" s="1075"/>
      <c r="AA16" s="1075"/>
      <c r="AB16" s="1075"/>
      <c r="AC16" s="1743"/>
      <c r="AD16" s="1882"/>
      <c r="AE16" s="1087"/>
      <c r="AF16" s="1891">
        <v>2109</v>
      </c>
      <c r="AG16" s="2284">
        <v>2536</v>
      </c>
    </row>
    <row r="17" spans="1:33" ht="12.75" customHeight="1" thickBot="1">
      <c r="A17" s="643" t="s">
        <v>239</v>
      </c>
      <c r="B17" s="960" t="s">
        <v>58</v>
      </c>
      <c r="C17" s="404">
        <f>SUM(C13:C16)</f>
        <v>3280</v>
      </c>
      <c r="D17" s="26">
        <f t="shared" ref="D17:O17" si="0">SUM(D13:D16)</f>
        <v>1078</v>
      </c>
      <c r="E17" s="416">
        <f t="shared" si="0"/>
        <v>78</v>
      </c>
      <c r="F17" s="404">
        <f t="shared" si="0"/>
        <v>155</v>
      </c>
      <c r="G17" s="404">
        <f t="shared" si="0"/>
        <v>1143</v>
      </c>
      <c r="H17" s="26">
        <f t="shared" si="0"/>
        <v>587</v>
      </c>
      <c r="I17" s="404">
        <f t="shared" si="0"/>
        <v>37</v>
      </c>
      <c r="J17" s="120">
        <f t="shared" si="0"/>
        <v>26</v>
      </c>
      <c r="K17" s="165"/>
      <c r="L17" s="415">
        <f>SUM(L13:L16)</f>
        <v>95</v>
      </c>
      <c r="M17" s="404">
        <f t="shared" si="0"/>
        <v>360</v>
      </c>
      <c r="N17" s="26">
        <f t="shared" si="0"/>
        <v>43</v>
      </c>
      <c r="O17" s="26">
        <f t="shared" si="0"/>
        <v>199</v>
      </c>
      <c r="P17" s="120">
        <f>SUM(P6:P16)</f>
        <v>7081</v>
      </c>
      <c r="Q17" s="52"/>
      <c r="R17" s="415">
        <f>SUM(R13:R16)</f>
        <v>43</v>
      </c>
      <c r="S17" s="404">
        <f>SUM(S13:S16)</f>
        <v>1</v>
      </c>
      <c r="T17" s="120">
        <f>SUM(T13:T16)</f>
        <v>699</v>
      </c>
      <c r="U17" s="52"/>
      <c r="V17" s="131">
        <f>SUM(V13:V16)</f>
        <v>181</v>
      </c>
      <c r="W17" s="132">
        <f>SUM(W13:W16)</f>
        <v>924</v>
      </c>
      <c r="X17" s="60"/>
      <c r="Y17" s="1891">
        <v>6775</v>
      </c>
      <c r="Z17" s="1089">
        <f>(P17-W17)*1000000/invanare</f>
        <v>615.9985745090645</v>
      </c>
      <c r="AA17" s="1089">
        <f>Y17*1000000/invanare</f>
        <v>677.82854349503202</v>
      </c>
      <c r="AB17" s="1089">
        <v>665.10899331510643</v>
      </c>
      <c r="AC17" s="1893">
        <f>IF(ISERROR((AA17-AB17)/AB17)," ",((AA17-AB17)/AB17))</f>
        <v>1.9124008707997568E-2</v>
      </c>
      <c r="AD17" s="1926"/>
      <c r="AE17" s="1090"/>
      <c r="AF17" s="1900">
        <v>6162</v>
      </c>
      <c r="AG17" s="2285">
        <v>6161</v>
      </c>
    </row>
    <row r="18" spans="1:33" ht="11.25" customHeight="1">
      <c r="A18" s="961"/>
      <c r="B18" s="962" t="s">
        <v>59</v>
      </c>
      <c r="C18" s="1006"/>
      <c r="D18" s="1007"/>
      <c r="E18" s="1006"/>
      <c r="F18" s="1008"/>
      <c r="G18" s="1008"/>
      <c r="H18" s="1007"/>
      <c r="I18" s="1008"/>
      <c r="J18" s="1009"/>
      <c r="K18" s="31"/>
      <c r="L18" s="1043"/>
      <c r="M18" s="1008"/>
      <c r="N18" s="1007"/>
      <c r="O18" s="1007"/>
      <c r="P18" s="1009"/>
      <c r="Q18" s="53"/>
      <c r="R18" s="1043"/>
      <c r="S18" s="1008"/>
      <c r="T18" s="1009"/>
      <c r="U18" s="53"/>
      <c r="V18" s="1057"/>
      <c r="W18" s="1058"/>
      <c r="X18" s="31"/>
      <c r="Y18" s="1889"/>
      <c r="Z18" s="1091"/>
      <c r="AA18" s="1078"/>
      <c r="AB18" s="1079"/>
      <c r="AC18" s="1892"/>
      <c r="AD18" s="339"/>
      <c r="AE18" s="1092"/>
      <c r="AF18" s="1888"/>
      <c r="AG18" s="2286"/>
    </row>
    <row r="19" spans="1:33">
      <c r="A19" s="641" t="s">
        <v>240</v>
      </c>
      <c r="B19" s="963" t="s">
        <v>60</v>
      </c>
      <c r="C19" s="20">
        <v>3238</v>
      </c>
      <c r="D19" s="21">
        <v>1232</v>
      </c>
      <c r="E19" s="20">
        <v>677</v>
      </c>
      <c r="F19" s="20">
        <v>128</v>
      </c>
      <c r="G19" s="20">
        <v>1816</v>
      </c>
      <c r="H19" s="21">
        <v>78</v>
      </c>
      <c r="I19" s="20">
        <v>636</v>
      </c>
      <c r="J19" s="115">
        <v>828</v>
      </c>
      <c r="K19" s="31"/>
      <c r="L19" s="118">
        <v>293</v>
      </c>
      <c r="M19" s="20">
        <v>1328</v>
      </c>
      <c r="N19" s="21">
        <v>49</v>
      </c>
      <c r="O19" s="414">
        <v>254</v>
      </c>
      <c r="P19" s="413">
        <f>SUM(C19:O19)</f>
        <v>10557</v>
      </c>
      <c r="Q19" s="52"/>
      <c r="R19" s="118">
        <v>2470</v>
      </c>
      <c r="S19" s="20">
        <v>273</v>
      </c>
      <c r="T19" s="115">
        <v>1170</v>
      </c>
      <c r="U19" s="53"/>
      <c r="V19" s="127">
        <v>2591</v>
      </c>
      <c r="W19" s="448">
        <f t="shared" ref="W19:W29" si="1">SUM(R19:V19)</f>
        <v>6504</v>
      </c>
      <c r="X19" s="60"/>
      <c r="Y19" s="1890">
        <v>7907</v>
      </c>
      <c r="Z19" s="1093"/>
      <c r="AA19" s="1078"/>
      <c r="AB19" s="1079"/>
      <c r="AC19" s="1892"/>
      <c r="AD19" s="372"/>
      <c r="AE19" s="1092"/>
      <c r="AF19" s="1891">
        <v>4051</v>
      </c>
      <c r="AG19" s="2284">
        <v>7759</v>
      </c>
    </row>
    <row r="20" spans="1:33">
      <c r="A20" s="641" t="s">
        <v>241</v>
      </c>
      <c r="B20" s="960" t="s">
        <v>61</v>
      </c>
      <c r="C20" s="20">
        <v>436</v>
      </c>
      <c r="D20" s="21">
        <v>168</v>
      </c>
      <c r="E20" s="20">
        <v>40</v>
      </c>
      <c r="F20" s="20">
        <v>77</v>
      </c>
      <c r="G20" s="20">
        <v>598</v>
      </c>
      <c r="H20" s="21">
        <v>862</v>
      </c>
      <c r="I20" s="20">
        <v>32</v>
      </c>
      <c r="J20" s="115">
        <v>46</v>
      </c>
      <c r="K20" s="31"/>
      <c r="L20" s="119">
        <v>31</v>
      </c>
      <c r="M20" s="23">
        <v>87</v>
      </c>
      <c r="N20" s="21">
        <v>15</v>
      </c>
      <c r="O20" s="414">
        <v>42</v>
      </c>
      <c r="P20" s="413">
        <f t="shared" ref="P20:P29" si="2">SUM(C20:O20)</f>
        <v>2434</v>
      </c>
      <c r="Q20" s="52"/>
      <c r="R20" s="119">
        <v>30</v>
      </c>
      <c r="S20" s="23">
        <v>23</v>
      </c>
      <c r="T20" s="116">
        <v>239</v>
      </c>
      <c r="U20" s="53"/>
      <c r="V20" s="128">
        <v>58</v>
      </c>
      <c r="W20" s="448">
        <f t="shared" si="1"/>
        <v>350</v>
      </c>
      <c r="X20" s="60"/>
      <c r="Y20" s="1890">
        <v>2365</v>
      </c>
      <c r="Z20" s="1093"/>
      <c r="AA20" s="1078"/>
      <c r="AB20" s="1079"/>
      <c r="AC20" s="1892"/>
      <c r="AD20" s="339"/>
      <c r="AE20" s="1092"/>
      <c r="AF20" s="1891">
        <v>2082</v>
      </c>
      <c r="AG20" s="2284">
        <v>1436</v>
      </c>
    </row>
    <row r="21" spans="1:33">
      <c r="A21" s="641" t="s">
        <v>747</v>
      </c>
      <c r="B21" s="960" t="s">
        <v>62</v>
      </c>
      <c r="C21" s="20">
        <v>106</v>
      </c>
      <c r="D21" s="21">
        <v>40</v>
      </c>
      <c r="E21" s="20">
        <v>6</v>
      </c>
      <c r="F21" s="20">
        <v>16</v>
      </c>
      <c r="G21" s="20">
        <v>32</v>
      </c>
      <c r="H21" s="21">
        <v>2</v>
      </c>
      <c r="I21" s="20">
        <v>7</v>
      </c>
      <c r="J21" s="115">
        <v>0</v>
      </c>
      <c r="K21" s="31"/>
      <c r="L21" s="119">
        <v>5</v>
      </c>
      <c r="M21" s="23">
        <v>13</v>
      </c>
      <c r="N21" s="21">
        <v>1</v>
      </c>
      <c r="O21" s="414">
        <v>6</v>
      </c>
      <c r="P21" s="413">
        <f t="shared" si="2"/>
        <v>234</v>
      </c>
      <c r="Q21" s="52"/>
      <c r="R21" s="119">
        <v>1</v>
      </c>
      <c r="S21" s="23">
        <v>0</v>
      </c>
      <c r="T21" s="116">
        <v>81</v>
      </c>
      <c r="U21" s="53"/>
      <c r="V21" s="128">
        <v>11</v>
      </c>
      <c r="W21" s="448">
        <f t="shared" si="1"/>
        <v>93</v>
      </c>
      <c r="X21" s="60"/>
      <c r="Y21" s="1890">
        <v>217</v>
      </c>
      <c r="Z21" s="1093"/>
      <c r="AA21" s="1078"/>
      <c r="AB21" s="1079"/>
      <c r="AC21" s="1892"/>
      <c r="AD21" s="339"/>
      <c r="AE21" s="1092"/>
      <c r="AF21" s="1891">
        <v>141</v>
      </c>
      <c r="AG21" s="2284">
        <v>205</v>
      </c>
    </row>
    <row r="22" spans="1:33">
      <c r="A22" s="641" t="s">
        <v>242</v>
      </c>
      <c r="B22" s="960" t="s">
        <v>63</v>
      </c>
      <c r="C22" s="20">
        <v>158</v>
      </c>
      <c r="D22" s="21">
        <v>60</v>
      </c>
      <c r="E22" s="20">
        <v>57</v>
      </c>
      <c r="F22" s="20">
        <v>100</v>
      </c>
      <c r="G22" s="20">
        <v>182</v>
      </c>
      <c r="H22" s="21">
        <v>274</v>
      </c>
      <c r="I22" s="20">
        <v>14</v>
      </c>
      <c r="J22" s="115">
        <v>43</v>
      </c>
      <c r="K22" s="31"/>
      <c r="L22" s="119">
        <v>23</v>
      </c>
      <c r="M22" s="23">
        <v>29</v>
      </c>
      <c r="N22" s="21">
        <v>6</v>
      </c>
      <c r="O22" s="414">
        <v>19</v>
      </c>
      <c r="P22" s="413">
        <f t="shared" si="2"/>
        <v>965</v>
      </c>
      <c r="Q22" s="52"/>
      <c r="R22" s="119">
        <v>49</v>
      </c>
      <c r="S22" s="23">
        <v>26</v>
      </c>
      <c r="T22" s="116">
        <v>105</v>
      </c>
      <c r="U22" s="53"/>
      <c r="V22" s="128">
        <v>14</v>
      </c>
      <c r="W22" s="448">
        <f t="shared" si="1"/>
        <v>194</v>
      </c>
      <c r="X22" s="60"/>
      <c r="Y22" s="1890">
        <v>943</v>
      </c>
      <c r="Z22" s="1078"/>
      <c r="AA22" s="1078"/>
      <c r="AB22" s="1079"/>
      <c r="AC22" s="1892"/>
      <c r="AD22" s="1882"/>
      <c r="AE22" s="1092"/>
      <c r="AF22" s="1891">
        <v>770</v>
      </c>
      <c r="AG22" s="2284">
        <v>576</v>
      </c>
    </row>
    <row r="23" spans="1:33">
      <c r="A23" s="641" t="s">
        <v>243</v>
      </c>
      <c r="B23" s="971" t="s">
        <v>1000</v>
      </c>
      <c r="C23" s="20">
        <v>1738</v>
      </c>
      <c r="D23" s="21">
        <v>674</v>
      </c>
      <c r="E23" s="20">
        <v>4141</v>
      </c>
      <c r="F23" s="20">
        <v>2566</v>
      </c>
      <c r="G23" s="20">
        <v>1515</v>
      </c>
      <c r="H23" s="21">
        <v>699</v>
      </c>
      <c r="I23" s="20">
        <v>91</v>
      </c>
      <c r="J23" s="115">
        <v>4301</v>
      </c>
      <c r="K23" s="31"/>
      <c r="L23" s="119">
        <v>214</v>
      </c>
      <c r="M23" s="23">
        <v>2762</v>
      </c>
      <c r="N23" s="21">
        <v>58</v>
      </c>
      <c r="O23" s="414">
        <v>406</v>
      </c>
      <c r="P23" s="413">
        <f t="shared" si="2"/>
        <v>19165</v>
      </c>
      <c r="Q23" s="52"/>
      <c r="R23" s="119">
        <v>2705</v>
      </c>
      <c r="S23" s="23">
        <v>16</v>
      </c>
      <c r="T23" s="116">
        <v>2072</v>
      </c>
      <c r="U23" s="53"/>
      <c r="V23" s="128">
        <v>3330</v>
      </c>
      <c r="W23" s="448">
        <f t="shared" si="1"/>
        <v>8123</v>
      </c>
      <c r="X23" s="60"/>
      <c r="Y23" s="1890">
        <v>15762</v>
      </c>
      <c r="Z23" s="1078"/>
      <c r="AA23" s="1078"/>
      <c r="AB23" s="1079"/>
      <c r="AC23" s="1892"/>
      <c r="AD23" s="1882"/>
      <c r="AE23" s="1092"/>
      <c r="AF23" s="1891">
        <v>11043</v>
      </c>
      <c r="AG23" s="2284">
        <v>12570</v>
      </c>
    </row>
    <row r="24" spans="1:33">
      <c r="A24" s="641" t="s">
        <v>244</v>
      </c>
      <c r="B24" s="960" t="s">
        <v>24</v>
      </c>
      <c r="C24" s="20">
        <v>871</v>
      </c>
      <c r="D24" s="21">
        <v>334</v>
      </c>
      <c r="E24" s="20">
        <v>629</v>
      </c>
      <c r="F24" s="20">
        <v>834</v>
      </c>
      <c r="G24" s="20">
        <v>394</v>
      </c>
      <c r="H24" s="21">
        <v>20</v>
      </c>
      <c r="I24" s="20">
        <v>28</v>
      </c>
      <c r="J24" s="115">
        <v>784</v>
      </c>
      <c r="K24" s="31"/>
      <c r="L24" s="119">
        <v>79</v>
      </c>
      <c r="M24" s="23">
        <v>1430</v>
      </c>
      <c r="N24" s="21">
        <v>17</v>
      </c>
      <c r="O24" s="414">
        <v>109</v>
      </c>
      <c r="P24" s="413">
        <f t="shared" si="2"/>
        <v>5529</v>
      </c>
      <c r="Q24" s="52"/>
      <c r="R24" s="119">
        <v>14</v>
      </c>
      <c r="S24" s="23">
        <v>5</v>
      </c>
      <c r="T24" s="116">
        <v>557</v>
      </c>
      <c r="U24" s="53"/>
      <c r="V24" s="128">
        <v>1061</v>
      </c>
      <c r="W24" s="448">
        <f t="shared" si="1"/>
        <v>1637</v>
      </c>
      <c r="X24" s="60"/>
      <c r="Y24" s="1890">
        <v>4451</v>
      </c>
      <c r="Z24" s="1078"/>
      <c r="AA24" s="1078"/>
      <c r="AB24" s="1079"/>
      <c r="AC24" s="1892"/>
      <c r="AD24" s="1882"/>
      <c r="AE24" s="1092"/>
      <c r="AF24" s="1891">
        <v>3892</v>
      </c>
      <c r="AG24" s="2284">
        <v>3613</v>
      </c>
    </row>
    <row r="25" spans="1:33">
      <c r="A25" s="641" t="s">
        <v>245</v>
      </c>
      <c r="B25" s="960" t="s">
        <v>65</v>
      </c>
      <c r="C25" s="20">
        <v>1124</v>
      </c>
      <c r="D25" s="21">
        <v>433</v>
      </c>
      <c r="E25" s="20">
        <v>141</v>
      </c>
      <c r="F25" s="20">
        <v>98</v>
      </c>
      <c r="G25" s="20">
        <v>242</v>
      </c>
      <c r="H25" s="21">
        <v>10</v>
      </c>
      <c r="I25" s="20">
        <v>30</v>
      </c>
      <c r="J25" s="115">
        <v>10</v>
      </c>
      <c r="K25" s="31"/>
      <c r="L25" s="119">
        <v>55</v>
      </c>
      <c r="M25" s="23">
        <v>148</v>
      </c>
      <c r="N25" s="21">
        <v>10</v>
      </c>
      <c r="O25" s="414">
        <v>67</v>
      </c>
      <c r="P25" s="413">
        <f t="shared" si="2"/>
        <v>2368</v>
      </c>
      <c r="Q25" s="52"/>
      <c r="R25" s="119">
        <v>792</v>
      </c>
      <c r="S25" s="23">
        <v>0</v>
      </c>
      <c r="T25" s="116">
        <v>255</v>
      </c>
      <c r="U25" s="53"/>
      <c r="V25" s="128">
        <v>238</v>
      </c>
      <c r="W25" s="448">
        <f t="shared" si="1"/>
        <v>1285</v>
      </c>
      <c r="X25" s="60"/>
      <c r="Y25" s="1891">
        <v>2114</v>
      </c>
      <c r="Z25" s="1077"/>
      <c r="AA25" s="1078"/>
      <c r="AB25" s="1079"/>
      <c r="AC25" s="1892"/>
      <c r="AD25" s="372"/>
      <c r="AE25" s="1092"/>
      <c r="AF25" s="1891">
        <v>1084</v>
      </c>
      <c r="AG25" s="2284">
        <v>2022</v>
      </c>
    </row>
    <row r="26" spans="1:33">
      <c r="A26" s="641" t="s">
        <v>246</v>
      </c>
      <c r="B26" s="960" t="s">
        <v>66</v>
      </c>
      <c r="C26" s="20">
        <v>404</v>
      </c>
      <c r="D26" s="21">
        <v>155</v>
      </c>
      <c r="E26" s="20">
        <v>122</v>
      </c>
      <c r="F26" s="20">
        <v>39</v>
      </c>
      <c r="G26" s="20">
        <v>360</v>
      </c>
      <c r="H26" s="21">
        <v>43</v>
      </c>
      <c r="I26" s="20">
        <v>14</v>
      </c>
      <c r="J26" s="115">
        <v>39</v>
      </c>
      <c r="K26" s="31"/>
      <c r="L26" s="119">
        <v>25</v>
      </c>
      <c r="M26" s="23">
        <v>114</v>
      </c>
      <c r="N26" s="21">
        <v>6</v>
      </c>
      <c r="O26" s="414">
        <v>43</v>
      </c>
      <c r="P26" s="413">
        <f t="shared" si="2"/>
        <v>1364</v>
      </c>
      <c r="Q26" s="52"/>
      <c r="R26" s="119">
        <v>49</v>
      </c>
      <c r="S26" s="23">
        <v>2</v>
      </c>
      <c r="T26" s="116">
        <v>309</v>
      </c>
      <c r="U26" s="53"/>
      <c r="V26" s="128">
        <v>90</v>
      </c>
      <c r="W26" s="448">
        <f t="shared" si="1"/>
        <v>450</v>
      </c>
      <c r="X26" s="60"/>
      <c r="Y26" s="1891">
        <v>1261</v>
      </c>
      <c r="Z26" s="1079"/>
      <c r="AA26" s="1079"/>
      <c r="AB26" s="1079"/>
      <c r="AC26" s="1892"/>
      <c r="AD26" s="1882"/>
      <c r="AE26" s="1092"/>
      <c r="AF26" s="1891">
        <v>912</v>
      </c>
      <c r="AG26" s="2284">
        <v>1191</v>
      </c>
    </row>
    <row r="27" spans="1:33">
      <c r="A27" s="641" t="s">
        <v>247</v>
      </c>
      <c r="B27" s="960" t="s">
        <v>67</v>
      </c>
      <c r="C27" s="20">
        <v>98</v>
      </c>
      <c r="D27" s="21">
        <v>37</v>
      </c>
      <c r="E27" s="20">
        <v>3</v>
      </c>
      <c r="F27" s="20">
        <v>12</v>
      </c>
      <c r="G27" s="20">
        <v>28</v>
      </c>
      <c r="H27" s="21">
        <v>0</v>
      </c>
      <c r="I27" s="20">
        <v>1</v>
      </c>
      <c r="J27" s="115">
        <v>0</v>
      </c>
      <c r="K27" s="31"/>
      <c r="L27" s="119">
        <v>4</v>
      </c>
      <c r="M27" s="23">
        <v>17</v>
      </c>
      <c r="N27" s="21">
        <v>1</v>
      </c>
      <c r="O27" s="414">
        <v>6</v>
      </c>
      <c r="P27" s="413">
        <f t="shared" si="2"/>
        <v>207</v>
      </c>
      <c r="Q27" s="52"/>
      <c r="R27" s="119">
        <v>157</v>
      </c>
      <c r="S27" s="23">
        <v>0</v>
      </c>
      <c r="T27" s="116">
        <v>15</v>
      </c>
      <c r="U27" s="53"/>
      <c r="V27" s="128">
        <v>7</v>
      </c>
      <c r="W27" s="448">
        <f t="shared" si="1"/>
        <v>179</v>
      </c>
      <c r="X27" s="60"/>
      <c r="Y27" s="1890">
        <v>198</v>
      </c>
      <c r="Z27" s="1079"/>
      <c r="AA27" s="1079"/>
      <c r="AB27" s="1079"/>
      <c r="AC27" s="1892"/>
      <c r="AD27" s="1882"/>
      <c r="AE27" s="1092"/>
      <c r="AF27" s="1891">
        <v>29</v>
      </c>
      <c r="AG27" s="2284">
        <v>189</v>
      </c>
    </row>
    <row r="28" spans="1:33">
      <c r="A28" s="641" t="s">
        <v>248</v>
      </c>
      <c r="B28" s="960" t="s">
        <v>25</v>
      </c>
      <c r="C28" s="20">
        <v>1446</v>
      </c>
      <c r="D28" s="21">
        <v>554</v>
      </c>
      <c r="E28" s="20">
        <v>181</v>
      </c>
      <c r="F28" s="20">
        <v>3923</v>
      </c>
      <c r="G28" s="20">
        <v>304</v>
      </c>
      <c r="H28" s="21">
        <v>631</v>
      </c>
      <c r="I28" s="20">
        <v>112</v>
      </c>
      <c r="J28" s="115">
        <v>201</v>
      </c>
      <c r="K28" s="31"/>
      <c r="L28" s="119">
        <v>202</v>
      </c>
      <c r="M28" s="23">
        <v>112</v>
      </c>
      <c r="N28" s="21">
        <v>17</v>
      </c>
      <c r="O28" s="414">
        <v>92</v>
      </c>
      <c r="P28" s="413">
        <f t="shared" si="2"/>
        <v>7775</v>
      </c>
      <c r="Q28" s="52"/>
      <c r="R28" s="119">
        <v>148</v>
      </c>
      <c r="S28" s="23">
        <v>42</v>
      </c>
      <c r="T28" s="116">
        <v>360</v>
      </c>
      <c r="U28" s="53"/>
      <c r="V28" s="128">
        <v>141</v>
      </c>
      <c r="W28" s="448">
        <f t="shared" si="1"/>
        <v>691</v>
      </c>
      <c r="X28" s="60"/>
      <c r="Y28" s="1890">
        <v>7556</v>
      </c>
      <c r="Z28" s="1079"/>
      <c r="AA28" s="1079"/>
      <c r="AB28" s="1079"/>
      <c r="AC28" s="1892"/>
      <c r="AD28" s="1882"/>
      <c r="AE28" s="1092"/>
      <c r="AF28" s="1891">
        <v>7086</v>
      </c>
      <c r="AG28" s="2284">
        <v>3082</v>
      </c>
    </row>
    <row r="29" spans="1:33">
      <c r="A29" s="641" t="s">
        <v>249</v>
      </c>
      <c r="B29" s="960" t="s">
        <v>68</v>
      </c>
      <c r="C29" s="20">
        <v>115</v>
      </c>
      <c r="D29" s="21">
        <v>44</v>
      </c>
      <c r="E29" s="20">
        <v>11</v>
      </c>
      <c r="F29" s="20">
        <v>19</v>
      </c>
      <c r="G29" s="20">
        <v>125</v>
      </c>
      <c r="H29" s="21">
        <v>6</v>
      </c>
      <c r="I29" s="20">
        <v>3</v>
      </c>
      <c r="J29" s="115">
        <v>17</v>
      </c>
      <c r="K29" s="31"/>
      <c r="L29" s="119">
        <v>8</v>
      </c>
      <c r="M29" s="23">
        <v>34</v>
      </c>
      <c r="N29" s="21">
        <v>2</v>
      </c>
      <c r="O29" s="414">
        <v>11</v>
      </c>
      <c r="P29" s="413">
        <f t="shared" si="2"/>
        <v>395</v>
      </c>
      <c r="Q29" s="52"/>
      <c r="R29" s="119">
        <v>9</v>
      </c>
      <c r="S29" s="23">
        <v>2</v>
      </c>
      <c r="T29" s="116">
        <v>234</v>
      </c>
      <c r="U29" s="53"/>
      <c r="V29" s="128">
        <v>28</v>
      </c>
      <c r="W29" s="448">
        <f t="shared" si="1"/>
        <v>273</v>
      </c>
      <c r="X29" s="60"/>
      <c r="Y29" s="1890">
        <v>351</v>
      </c>
      <c r="Z29" s="1079"/>
      <c r="AA29" s="1079"/>
      <c r="AB29" s="1079"/>
      <c r="AC29" s="1892"/>
      <c r="AD29" s="1879"/>
      <c r="AE29" s="1092"/>
      <c r="AF29" s="1891">
        <v>121</v>
      </c>
      <c r="AG29" s="2284">
        <v>341</v>
      </c>
    </row>
    <row r="30" spans="1:33" ht="12.75" customHeight="1" thickBot="1">
      <c r="A30" s="643" t="s">
        <v>250</v>
      </c>
      <c r="B30" s="960" t="s">
        <v>69</v>
      </c>
      <c r="C30" s="404">
        <f t="shared" ref="C30:M30" si="3">SUM(C19:C29)</f>
        <v>9734</v>
      </c>
      <c r="D30" s="26">
        <f t="shared" si="3"/>
        <v>3731</v>
      </c>
      <c r="E30" s="26">
        <f t="shared" si="3"/>
        <v>6008</v>
      </c>
      <c r="F30" s="417">
        <f t="shared" si="3"/>
        <v>7812</v>
      </c>
      <c r="G30" s="418">
        <f t="shared" si="3"/>
        <v>5596</v>
      </c>
      <c r="H30" s="419">
        <f t="shared" si="3"/>
        <v>2625</v>
      </c>
      <c r="I30" s="404">
        <f t="shared" si="3"/>
        <v>968</v>
      </c>
      <c r="J30" s="120">
        <f t="shared" si="3"/>
        <v>6269</v>
      </c>
      <c r="K30" s="165"/>
      <c r="L30" s="415">
        <f>SUM(L19:L29)</f>
        <v>939</v>
      </c>
      <c r="M30" s="404">
        <f t="shared" si="3"/>
        <v>6074</v>
      </c>
      <c r="N30" s="26">
        <f t="shared" ref="N30:W30" si="4">SUM(N19:N29)</f>
        <v>182</v>
      </c>
      <c r="O30" s="26">
        <f t="shared" si="4"/>
        <v>1055</v>
      </c>
      <c r="P30" s="120">
        <f t="shared" si="4"/>
        <v>50993</v>
      </c>
      <c r="Q30" s="52"/>
      <c r="R30" s="415">
        <f t="shared" si="4"/>
        <v>6424</v>
      </c>
      <c r="S30" s="404">
        <f t="shared" si="4"/>
        <v>389</v>
      </c>
      <c r="T30" s="120">
        <f t="shared" si="4"/>
        <v>5397</v>
      </c>
      <c r="U30" s="52"/>
      <c r="V30" s="131">
        <f t="shared" si="4"/>
        <v>7569</v>
      </c>
      <c r="W30" s="132">
        <f t="shared" si="4"/>
        <v>19779</v>
      </c>
      <c r="X30" s="60"/>
      <c r="Y30" s="1891">
        <v>43126</v>
      </c>
      <c r="Z30" s="1089">
        <f>(P30-W30)*1000000/invanare</f>
        <v>3122.9136762588828</v>
      </c>
      <c r="AA30" s="1089">
        <f>Y30*1000000/invanare</f>
        <v>4314.6913308880812</v>
      </c>
      <c r="AB30" s="1089">
        <v>4175.5079703953406</v>
      </c>
      <c r="AC30" s="1893">
        <f>IF(ISERROR((AA30-AB30)/AB30)," ",((AA30-AB30)/AB30))</f>
        <v>3.3333276209639849E-2</v>
      </c>
      <c r="AD30" s="1926"/>
      <c r="AE30" s="1094">
        <f>IF(ISERROR(F30/(AA30/1000*invanare)),"",(F30/(AA30/100000*invanare)))</f>
        <v>1.8114362565505727E-2</v>
      </c>
      <c r="AF30" s="1891">
        <v>31211</v>
      </c>
      <c r="AG30" s="2285">
        <v>32986</v>
      </c>
    </row>
    <row r="31" spans="1:33" ht="11.25" customHeight="1">
      <c r="A31" s="728"/>
      <c r="B31" s="964" t="s">
        <v>70</v>
      </c>
      <c r="C31" s="1010"/>
      <c r="D31" s="1011"/>
      <c r="E31" s="1012"/>
      <c r="F31" s="1013"/>
      <c r="G31" s="1014"/>
      <c r="H31" s="1015"/>
      <c r="I31" s="1014"/>
      <c r="J31" s="1016"/>
      <c r="K31" s="31"/>
      <c r="L31" s="1044"/>
      <c r="M31" s="1014"/>
      <c r="N31" s="1011"/>
      <c r="O31" s="1011"/>
      <c r="P31" s="1016"/>
      <c r="Q31" s="53"/>
      <c r="R31" s="1044"/>
      <c r="S31" s="1014"/>
      <c r="T31" s="1016"/>
      <c r="U31" s="53"/>
      <c r="V31" s="1059"/>
      <c r="W31" s="1060"/>
      <c r="X31" s="31"/>
      <c r="Y31" s="1889"/>
      <c r="Z31" s="1091"/>
      <c r="AA31" s="1078"/>
      <c r="AB31" s="1079"/>
      <c r="AC31" s="1892"/>
      <c r="AD31" s="339"/>
      <c r="AE31" s="1092">
        <f>IF(ISERROR(F30/(AA30/1000*invanare)),"",(SUM(Motpart!D10,Motpart!F10)/(AA30/100000*invanare)))</f>
        <v>6.6688308676900246E-3</v>
      </c>
      <c r="AF31" s="1889"/>
      <c r="AG31" s="2287"/>
    </row>
    <row r="32" spans="1:33" ht="9" customHeight="1">
      <c r="A32" s="965"/>
      <c r="B32" s="966" t="s">
        <v>71</v>
      </c>
      <c r="C32" s="1017"/>
      <c r="D32" s="1018"/>
      <c r="E32" s="1019"/>
      <c r="F32" s="1020"/>
      <c r="G32" s="1021"/>
      <c r="H32" s="1022"/>
      <c r="I32" s="1021"/>
      <c r="J32" s="1023"/>
      <c r="K32" s="31"/>
      <c r="L32" s="1045"/>
      <c r="M32" s="1021"/>
      <c r="N32" s="1018"/>
      <c r="O32" s="1018"/>
      <c r="P32" s="1023"/>
      <c r="Q32" s="53"/>
      <c r="R32" s="1045"/>
      <c r="S32" s="1021"/>
      <c r="T32" s="1023"/>
      <c r="U32" s="53"/>
      <c r="V32" s="1061"/>
      <c r="W32" s="1062"/>
      <c r="X32" s="31"/>
      <c r="Y32" s="1912"/>
      <c r="Z32" s="1077"/>
      <c r="AA32" s="1078"/>
      <c r="AB32" s="1079"/>
      <c r="AC32" s="1892"/>
      <c r="AD32" s="339"/>
      <c r="AE32" s="1092"/>
      <c r="AF32" s="1912"/>
      <c r="AG32" s="2288"/>
    </row>
    <row r="33" spans="1:33" ht="12" customHeight="1">
      <c r="A33" s="641" t="s">
        <v>251</v>
      </c>
      <c r="B33" s="963" t="s">
        <v>72</v>
      </c>
      <c r="C33" s="20">
        <v>5</v>
      </c>
      <c r="D33" s="21">
        <v>2</v>
      </c>
      <c r="E33" s="497">
        <v>1</v>
      </c>
      <c r="F33" s="498">
        <v>2</v>
      </c>
      <c r="G33" s="20">
        <v>8</v>
      </c>
      <c r="H33" s="499">
        <v>461</v>
      </c>
      <c r="I33" s="20">
        <v>8</v>
      </c>
      <c r="J33" s="115">
        <v>0</v>
      </c>
      <c r="K33" s="31"/>
      <c r="L33" s="118">
        <v>3</v>
      </c>
      <c r="M33" s="20">
        <v>3</v>
      </c>
      <c r="N33" s="21">
        <v>0</v>
      </c>
      <c r="O33" s="414">
        <v>1</v>
      </c>
      <c r="P33" s="413">
        <f>SUM(C33:O33)</f>
        <v>494</v>
      </c>
      <c r="Q33" s="52"/>
      <c r="R33" s="118">
        <v>3</v>
      </c>
      <c r="S33" s="20">
        <v>0</v>
      </c>
      <c r="T33" s="115">
        <v>4</v>
      </c>
      <c r="U33" s="53"/>
      <c r="V33" s="127">
        <v>1</v>
      </c>
      <c r="W33" s="448">
        <f>SUM(R33:V33)</f>
        <v>8</v>
      </c>
      <c r="X33" s="60"/>
      <c r="Y33" s="1890">
        <v>493</v>
      </c>
      <c r="Z33" s="1077"/>
      <c r="AA33" s="1077"/>
      <c r="AB33" s="1077"/>
      <c r="AC33" s="1929"/>
      <c r="AD33" s="1882"/>
      <c r="AE33" s="1092"/>
      <c r="AF33" s="1891">
        <v>485</v>
      </c>
      <c r="AG33" s="2284">
        <v>29</v>
      </c>
    </row>
    <row r="34" spans="1:33">
      <c r="A34" s="641" t="s">
        <v>252</v>
      </c>
      <c r="B34" s="960" t="s">
        <v>73</v>
      </c>
      <c r="C34" s="20">
        <v>1069</v>
      </c>
      <c r="D34" s="21">
        <v>407</v>
      </c>
      <c r="E34" s="20">
        <v>217</v>
      </c>
      <c r="F34" s="20">
        <v>139</v>
      </c>
      <c r="G34" s="20">
        <v>860</v>
      </c>
      <c r="H34" s="24">
        <v>1092</v>
      </c>
      <c r="I34" s="23">
        <v>276</v>
      </c>
      <c r="J34" s="116">
        <v>98</v>
      </c>
      <c r="K34" s="31"/>
      <c r="L34" s="119">
        <v>580</v>
      </c>
      <c r="M34" s="23">
        <v>297</v>
      </c>
      <c r="N34" s="21">
        <v>14</v>
      </c>
      <c r="O34" s="414">
        <v>112</v>
      </c>
      <c r="P34" s="413">
        <f>SUM(C34:O34)</f>
        <v>5161</v>
      </c>
      <c r="Q34" s="52"/>
      <c r="R34" s="119">
        <v>149</v>
      </c>
      <c r="S34" s="23">
        <v>54</v>
      </c>
      <c r="T34" s="116">
        <v>712</v>
      </c>
      <c r="U34" s="53"/>
      <c r="V34" s="128">
        <v>319</v>
      </c>
      <c r="W34" s="448">
        <f>SUM(R34:V34)</f>
        <v>1234</v>
      </c>
      <c r="X34" s="60"/>
      <c r="Y34" s="1890">
        <v>4835</v>
      </c>
      <c r="Z34" s="1077"/>
      <c r="AA34" s="1077"/>
      <c r="AB34" s="1077"/>
      <c r="AC34" s="1929"/>
      <c r="AD34" s="1879"/>
      <c r="AE34" s="1092"/>
      <c r="AF34" s="1891">
        <v>3927</v>
      </c>
      <c r="AG34" s="2284">
        <v>3611</v>
      </c>
    </row>
    <row r="35" spans="1:33">
      <c r="A35" s="641" t="s">
        <v>253</v>
      </c>
      <c r="B35" s="960" t="s">
        <v>74</v>
      </c>
      <c r="C35" s="20">
        <v>1735</v>
      </c>
      <c r="D35" s="21">
        <v>662</v>
      </c>
      <c r="E35" s="23">
        <v>581</v>
      </c>
      <c r="F35" s="23">
        <v>27</v>
      </c>
      <c r="G35" s="23">
        <v>430</v>
      </c>
      <c r="H35" s="24">
        <v>7</v>
      </c>
      <c r="I35" s="23">
        <v>328</v>
      </c>
      <c r="J35" s="116">
        <v>109</v>
      </c>
      <c r="K35" s="31"/>
      <c r="L35" s="119">
        <v>568</v>
      </c>
      <c r="M35" s="23">
        <v>349</v>
      </c>
      <c r="N35" s="21">
        <v>24</v>
      </c>
      <c r="O35" s="414">
        <v>152</v>
      </c>
      <c r="P35" s="413">
        <f>SUM(C35:O35)</f>
        <v>4972</v>
      </c>
      <c r="Q35" s="52"/>
      <c r="R35" s="119">
        <v>57</v>
      </c>
      <c r="S35" s="23">
        <v>8</v>
      </c>
      <c r="T35" s="116">
        <v>202</v>
      </c>
      <c r="U35" s="53"/>
      <c r="V35" s="128">
        <v>283</v>
      </c>
      <c r="W35" s="448">
        <f>SUM(R35:V35)</f>
        <v>550</v>
      </c>
      <c r="X35" s="60"/>
      <c r="Y35" s="1890">
        <v>4685</v>
      </c>
      <c r="Z35" s="1077"/>
      <c r="AA35" s="1077"/>
      <c r="AB35" s="1077"/>
      <c r="AC35" s="1929"/>
      <c r="AD35" s="1882"/>
      <c r="AE35" s="1092"/>
      <c r="AF35" s="1891">
        <v>4422</v>
      </c>
      <c r="AG35" s="2284">
        <v>4654</v>
      </c>
    </row>
    <row r="36" spans="1:33">
      <c r="A36" s="641" t="s">
        <v>254</v>
      </c>
      <c r="B36" s="960" t="s">
        <v>75</v>
      </c>
      <c r="C36" s="20">
        <v>1519</v>
      </c>
      <c r="D36" s="21">
        <v>581</v>
      </c>
      <c r="E36" s="23">
        <v>77</v>
      </c>
      <c r="F36" s="23">
        <v>64</v>
      </c>
      <c r="G36" s="23">
        <v>169</v>
      </c>
      <c r="H36" s="24">
        <v>7</v>
      </c>
      <c r="I36" s="23">
        <v>89</v>
      </c>
      <c r="J36" s="116">
        <v>22</v>
      </c>
      <c r="K36" s="31"/>
      <c r="L36" s="119">
        <v>180</v>
      </c>
      <c r="M36" s="23">
        <v>228</v>
      </c>
      <c r="N36" s="21">
        <v>14</v>
      </c>
      <c r="O36" s="414">
        <v>89</v>
      </c>
      <c r="P36" s="413">
        <f>SUM(C36:O36)</f>
        <v>3039</v>
      </c>
      <c r="Q36" s="52"/>
      <c r="R36" s="119">
        <v>252</v>
      </c>
      <c r="S36" s="23">
        <v>2</v>
      </c>
      <c r="T36" s="116">
        <v>93</v>
      </c>
      <c r="U36" s="53"/>
      <c r="V36" s="128">
        <v>249</v>
      </c>
      <c r="W36" s="448">
        <f>SUM(R36:V36)</f>
        <v>596</v>
      </c>
      <c r="X36" s="60"/>
      <c r="Y36" s="1891">
        <v>2787</v>
      </c>
      <c r="Z36" s="1095">
        <f>(P36-W36)*1000000/invanare</f>
        <v>244.41846963223074</v>
      </c>
      <c r="AA36" s="1095">
        <f>Y36*1000000/inv7_15</f>
        <v>2717.6032825761358</v>
      </c>
      <c r="AB36" s="1095">
        <v>2716.3571415626807</v>
      </c>
      <c r="AC36" s="1894">
        <f>IF(ISERROR((AA36-AB36)/AB36)," ",((AA36-AB36)/AB36))</f>
        <v>4.5875448201861168E-4</v>
      </c>
      <c r="AD36" s="1926"/>
      <c r="AE36" s="1092"/>
      <c r="AF36" s="1891">
        <v>2441</v>
      </c>
      <c r="AG36" s="2284">
        <v>2719</v>
      </c>
    </row>
    <row r="37" spans="1:33">
      <c r="A37" s="641" t="s">
        <v>255</v>
      </c>
      <c r="B37" s="960" t="s">
        <v>76</v>
      </c>
      <c r="C37" s="404">
        <f t="shared" ref="C37:M37" si="5">SUM(C33:C36)</f>
        <v>4328</v>
      </c>
      <c r="D37" s="26">
        <f t="shared" si="5"/>
        <v>1652</v>
      </c>
      <c r="E37" s="404">
        <f t="shared" si="5"/>
        <v>876</v>
      </c>
      <c r="F37" s="404">
        <f t="shared" si="5"/>
        <v>232</v>
      </c>
      <c r="G37" s="404">
        <f t="shared" si="5"/>
        <v>1467</v>
      </c>
      <c r="H37" s="26">
        <f t="shared" si="5"/>
        <v>1567</v>
      </c>
      <c r="I37" s="404">
        <f t="shared" si="5"/>
        <v>701</v>
      </c>
      <c r="J37" s="120">
        <f t="shared" si="5"/>
        <v>229</v>
      </c>
      <c r="K37" s="165"/>
      <c r="L37" s="415">
        <f>SUM(L33:L36)</f>
        <v>1331</v>
      </c>
      <c r="M37" s="404">
        <f t="shared" si="5"/>
        <v>877</v>
      </c>
      <c r="N37" s="26">
        <f t="shared" ref="N37:W37" si="6">SUM(N33:N36)</f>
        <v>52</v>
      </c>
      <c r="O37" s="26">
        <f t="shared" si="6"/>
        <v>354</v>
      </c>
      <c r="P37" s="120">
        <f t="shared" si="6"/>
        <v>13666</v>
      </c>
      <c r="Q37" s="52"/>
      <c r="R37" s="415">
        <f t="shared" si="6"/>
        <v>461</v>
      </c>
      <c r="S37" s="404">
        <f t="shared" si="6"/>
        <v>64</v>
      </c>
      <c r="T37" s="120">
        <f t="shared" si="6"/>
        <v>1011</v>
      </c>
      <c r="U37" s="52"/>
      <c r="V37" s="131">
        <f t="shared" si="6"/>
        <v>852</v>
      </c>
      <c r="W37" s="132">
        <f t="shared" si="6"/>
        <v>2388</v>
      </c>
      <c r="X37" s="60"/>
      <c r="Y37" s="1891">
        <v>12800</v>
      </c>
      <c r="Z37" s="1096">
        <f>(P37-W37)*1000000/invanare</f>
        <v>1128.3469097471545</v>
      </c>
      <c r="AA37" s="1097">
        <f>Y37*1000000/invanare</f>
        <v>1280.6207168614628</v>
      </c>
      <c r="AB37" s="1097">
        <v>1246.1657512112708</v>
      </c>
      <c r="AC37" s="1895">
        <f>IF(ISERROR((AA37-AB37)/AB37)," ",((AA37-AB37)/AB37))</f>
        <v>2.7648782368398277E-2</v>
      </c>
      <c r="AD37" s="1926"/>
      <c r="AE37" s="1092"/>
      <c r="AF37" s="1891">
        <v>11276</v>
      </c>
      <c r="AG37" s="2284">
        <v>11013</v>
      </c>
    </row>
    <row r="38" spans="1:33" ht="9" customHeight="1">
      <c r="A38" s="965"/>
      <c r="B38" s="966" t="s">
        <v>77</v>
      </c>
      <c r="C38" s="1024"/>
      <c r="D38" s="1025"/>
      <c r="E38" s="1026"/>
      <c r="F38" s="1026"/>
      <c r="G38" s="1026"/>
      <c r="H38" s="1025"/>
      <c r="I38" s="1026"/>
      <c r="J38" s="1027"/>
      <c r="K38" s="31"/>
      <c r="L38" s="1046"/>
      <c r="M38" s="1026"/>
      <c r="N38" s="1025"/>
      <c r="O38" s="1025"/>
      <c r="P38" s="1027"/>
      <c r="Q38" s="53"/>
      <c r="R38" s="1046"/>
      <c r="S38" s="1026"/>
      <c r="T38" s="1027"/>
      <c r="U38" s="53"/>
      <c r="V38" s="1063"/>
      <c r="W38" s="1064"/>
      <c r="X38" s="31"/>
      <c r="Y38" s="1913"/>
      <c r="Z38" s="1077"/>
      <c r="AA38" s="1078"/>
      <c r="AB38" s="1079"/>
      <c r="AC38" s="1741"/>
      <c r="AD38" s="339"/>
      <c r="AE38" s="1092"/>
      <c r="AF38" s="1891"/>
      <c r="AG38" s="2284"/>
    </row>
    <row r="39" spans="1:33" ht="11.25" customHeight="1">
      <c r="A39" s="641" t="s">
        <v>256</v>
      </c>
      <c r="B39" s="963" t="s">
        <v>78</v>
      </c>
      <c r="C39" s="20">
        <v>307</v>
      </c>
      <c r="D39" s="21">
        <v>118</v>
      </c>
      <c r="E39" s="20">
        <v>71</v>
      </c>
      <c r="F39" s="20">
        <v>67</v>
      </c>
      <c r="G39" s="20">
        <v>136</v>
      </c>
      <c r="H39" s="21">
        <v>1586</v>
      </c>
      <c r="I39" s="20">
        <v>50</v>
      </c>
      <c r="J39" s="115">
        <v>39</v>
      </c>
      <c r="K39" s="31"/>
      <c r="L39" s="118">
        <v>173</v>
      </c>
      <c r="M39" s="20">
        <v>99</v>
      </c>
      <c r="N39" s="21">
        <v>8</v>
      </c>
      <c r="O39" s="414">
        <v>28</v>
      </c>
      <c r="P39" s="413">
        <f>SUM(C39:O39)</f>
        <v>2682</v>
      </c>
      <c r="Q39" s="52"/>
      <c r="R39" s="118">
        <v>15</v>
      </c>
      <c r="S39" s="20">
        <v>30</v>
      </c>
      <c r="T39" s="115">
        <v>133</v>
      </c>
      <c r="U39" s="53"/>
      <c r="V39" s="127">
        <v>92</v>
      </c>
      <c r="W39" s="448">
        <f>SUM(R39:V39)</f>
        <v>270</v>
      </c>
      <c r="X39" s="60"/>
      <c r="Y39" s="1890">
        <v>2590</v>
      </c>
      <c r="Z39" s="1077"/>
      <c r="AA39" s="1077"/>
      <c r="AB39" s="1077"/>
      <c r="AC39" s="1742"/>
      <c r="AD39" s="1879"/>
      <c r="AE39" s="1092"/>
      <c r="AF39" s="1891">
        <v>2414</v>
      </c>
      <c r="AG39" s="2284">
        <v>939</v>
      </c>
    </row>
    <row r="40" spans="1:33">
      <c r="A40" s="641" t="s">
        <v>257</v>
      </c>
      <c r="B40" s="960" t="s">
        <v>79</v>
      </c>
      <c r="C40" s="20">
        <v>1803</v>
      </c>
      <c r="D40" s="21">
        <v>686</v>
      </c>
      <c r="E40" s="23">
        <v>1259</v>
      </c>
      <c r="F40" s="23">
        <v>530</v>
      </c>
      <c r="G40" s="23">
        <v>789</v>
      </c>
      <c r="H40" s="24">
        <v>317</v>
      </c>
      <c r="I40" s="23">
        <v>1204</v>
      </c>
      <c r="J40" s="116">
        <v>1037</v>
      </c>
      <c r="K40" s="31"/>
      <c r="L40" s="119">
        <v>3893</v>
      </c>
      <c r="M40" s="23">
        <v>905</v>
      </c>
      <c r="N40" s="21">
        <v>52</v>
      </c>
      <c r="O40" s="414">
        <v>335</v>
      </c>
      <c r="P40" s="413">
        <f>SUM(C40:O40)</f>
        <v>12810</v>
      </c>
      <c r="Q40" s="52"/>
      <c r="R40" s="119">
        <v>835</v>
      </c>
      <c r="S40" s="23">
        <v>349</v>
      </c>
      <c r="T40" s="116">
        <v>983</v>
      </c>
      <c r="U40" s="53"/>
      <c r="V40" s="128">
        <v>1219</v>
      </c>
      <c r="W40" s="448">
        <f>SUM(R40:V40)</f>
        <v>3386</v>
      </c>
      <c r="X40" s="60"/>
      <c r="Y40" s="1890">
        <v>11574</v>
      </c>
      <c r="Z40" s="1077"/>
      <c r="AA40" s="1077"/>
      <c r="AB40" s="1077"/>
      <c r="AC40" s="1742"/>
      <c r="AD40" s="1882"/>
      <c r="AE40" s="1092"/>
      <c r="AF40" s="1891">
        <v>9424</v>
      </c>
      <c r="AG40" s="2284">
        <v>10745</v>
      </c>
    </row>
    <row r="41" spans="1:33">
      <c r="A41" s="641" t="s">
        <v>258</v>
      </c>
      <c r="B41" s="960" t="s">
        <v>80</v>
      </c>
      <c r="C41" s="20">
        <v>1119</v>
      </c>
      <c r="D41" s="21">
        <v>430</v>
      </c>
      <c r="E41" s="23">
        <v>145</v>
      </c>
      <c r="F41" s="23">
        <v>172</v>
      </c>
      <c r="G41" s="23">
        <v>201</v>
      </c>
      <c r="H41" s="24">
        <v>100</v>
      </c>
      <c r="I41" s="23">
        <v>112</v>
      </c>
      <c r="J41" s="116">
        <v>17</v>
      </c>
      <c r="K41" s="31"/>
      <c r="L41" s="119">
        <v>271</v>
      </c>
      <c r="M41" s="23">
        <v>254</v>
      </c>
      <c r="N41" s="21">
        <v>11</v>
      </c>
      <c r="O41" s="414">
        <v>74</v>
      </c>
      <c r="P41" s="413">
        <f>SUM(C41:O41)</f>
        <v>2906</v>
      </c>
      <c r="Q41" s="52"/>
      <c r="R41" s="119">
        <v>34</v>
      </c>
      <c r="S41" s="23">
        <v>9</v>
      </c>
      <c r="T41" s="116">
        <v>155</v>
      </c>
      <c r="U41" s="53"/>
      <c r="V41" s="128">
        <v>291</v>
      </c>
      <c r="W41" s="448">
        <f>SUM(R41:V41)</f>
        <v>489</v>
      </c>
      <c r="X41" s="60"/>
      <c r="Y41" s="1890">
        <v>2613</v>
      </c>
      <c r="Z41" s="1077"/>
      <c r="AA41" s="1077"/>
      <c r="AB41" s="1077"/>
      <c r="AC41" s="1742"/>
      <c r="AD41" s="1879"/>
      <c r="AE41" s="1092"/>
      <c r="AF41" s="1891">
        <v>2416</v>
      </c>
      <c r="AG41" s="2284">
        <v>2341</v>
      </c>
    </row>
    <row r="42" spans="1:33">
      <c r="A42" s="641" t="s">
        <v>259</v>
      </c>
      <c r="B42" s="960" t="s">
        <v>81</v>
      </c>
      <c r="C42" s="404">
        <f t="shared" ref="C42:W42" si="7">SUM(C39:C41)</f>
        <v>3229</v>
      </c>
      <c r="D42" s="26">
        <f t="shared" si="7"/>
        <v>1234</v>
      </c>
      <c r="E42" s="404">
        <f t="shared" si="7"/>
        <v>1475</v>
      </c>
      <c r="F42" s="404">
        <f t="shared" si="7"/>
        <v>769</v>
      </c>
      <c r="G42" s="404">
        <f t="shared" si="7"/>
        <v>1126</v>
      </c>
      <c r="H42" s="26">
        <f t="shared" si="7"/>
        <v>2003</v>
      </c>
      <c r="I42" s="404">
        <f t="shared" si="7"/>
        <v>1366</v>
      </c>
      <c r="J42" s="120">
        <f t="shared" si="7"/>
        <v>1093</v>
      </c>
      <c r="K42" s="165"/>
      <c r="L42" s="415">
        <f>SUM(L39:L41)</f>
        <v>4337</v>
      </c>
      <c r="M42" s="404">
        <f t="shared" si="7"/>
        <v>1258</v>
      </c>
      <c r="N42" s="26">
        <f t="shared" si="7"/>
        <v>71</v>
      </c>
      <c r="O42" s="26">
        <f t="shared" si="7"/>
        <v>437</v>
      </c>
      <c r="P42" s="413">
        <f>SUM(C42:O42)</f>
        <v>18398</v>
      </c>
      <c r="Q42" s="52"/>
      <c r="R42" s="415">
        <f t="shared" si="7"/>
        <v>884</v>
      </c>
      <c r="S42" s="404">
        <f t="shared" si="7"/>
        <v>388</v>
      </c>
      <c r="T42" s="120">
        <f t="shared" si="7"/>
        <v>1271</v>
      </c>
      <c r="U42" s="52"/>
      <c r="V42" s="131">
        <f t="shared" si="7"/>
        <v>1602</v>
      </c>
      <c r="W42" s="132">
        <f t="shared" si="7"/>
        <v>4145</v>
      </c>
      <c r="X42" s="60"/>
      <c r="Y42" s="1891">
        <v>16778</v>
      </c>
      <c r="Z42" s="1096">
        <f>(P42-W42)*1000000/invanare</f>
        <v>1425.9911779239396</v>
      </c>
      <c r="AA42" s="1097">
        <f>Y42*1000000/invanare</f>
        <v>1678.6136240235642</v>
      </c>
      <c r="AB42" s="1097">
        <v>1633.232386057196</v>
      </c>
      <c r="AC42" s="1895">
        <f>IF(ISERROR((AA42-AB42)/AB42)," ",((AA42-AB42)/AB42))</f>
        <v>2.778614871575228E-2</v>
      </c>
      <c r="AD42" s="1926"/>
      <c r="AE42" s="1092"/>
      <c r="AF42" s="1891">
        <v>14254</v>
      </c>
      <c r="AG42" s="2284">
        <v>14025</v>
      </c>
    </row>
    <row r="43" spans="1:33" ht="12.75" customHeight="1" thickBot="1">
      <c r="A43" s="645" t="s">
        <v>260</v>
      </c>
      <c r="B43" s="967" t="s">
        <v>82</v>
      </c>
      <c r="C43" s="420">
        <f>SUM(C37,C42)</f>
        <v>7557</v>
      </c>
      <c r="D43" s="421">
        <f t="shared" ref="D43:P43" si="8">SUM(D37,D42)</f>
        <v>2886</v>
      </c>
      <c r="E43" s="420">
        <f t="shared" si="8"/>
        <v>2351</v>
      </c>
      <c r="F43" s="420">
        <f t="shared" si="8"/>
        <v>1001</v>
      </c>
      <c r="G43" s="420">
        <f t="shared" si="8"/>
        <v>2593</v>
      </c>
      <c r="H43" s="421">
        <f t="shared" si="8"/>
        <v>3570</v>
      </c>
      <c r="I43" s="420">
        <f t="shared" si="8"/>
        <v>2067</v>
      </c>
      <c r="J43" s="422">
        <f t="shared" si="8"/>
        <v>1322</v>
      </c>
      <c r="K43" s="165"/>
      <c r="L43" s="423">
        <f>SUM(L37,L42)</f>
        <v>5668</v>
      </c>
      <c r="M43" s="420">
        <f t="shared" si="8"/>
        <v>2135</v>
      </c>
      <c r="N43" s="421">
        <f t="shared" si="8"/>
        <v>123</v>
      </c>
      <c r="O43" s="421">
        <f t="shared" si="8"/>
        <v>791</v>
      </c>
      <c r="P43" s="422">
        <f t="shared" si="8"/>
        <v>32064</v>
      </c>
      <c r="Q43" s="52"/>
      <c r="R43" s="423">
        <f>SUM(R37,R42)</f>
        <v>1345</v>
      </c>
      <c r="S43" s="420">
        <f>SUM(S37,S42)</f>
        <v>452</v>
      </c>
      <c r="T43" s="422">
        <f>SUM(T37,T42)</f>
        <v>2282</v>
      </c>
      <c r="U43" s="52"/>
      <c r="V43" s="450">
        <f>SUM(V37,V42)</f>
        <v>2454</v>
      </c>
      <c r="W43" s="449">
        <f>SUM(W37,W42)</f>
        <v>6533</v>
      </c>
      <c r="X43" s="60"/>
      <c r="Y43" s="1900">
        <v>29578</v>
      </c>
      <c r="Z43" s="1098"/>
      <c r="AA43" s="1099"/>
      <c r="AB43" s="1100"/>
      <c r="AC43" s="1896"/>
      <c r="AD43" s="339"/>
      <c r="AE43" s="1092"/>
      <c r="AF43" s="1900">
        <v>25530</v>
      </c>
      <c r="AG43" s="2285">
        <v>25038</v>
      </c>
    </row>
    <row r="44" spans="1:33" ht="11.25" customHeight="1">
      <c r="A44" s="965"/>
      <c r="B44" s="968" t="s">
        <v>83</v>
      </c>
      <c r="C44" s="1102"/>
      <c r="D44" s="1103"/>
      <c r="E44" s="1104"/>
      <c r="F44" s="1104"/>
      <c r="G44" s="1104"/>
      <c r="H44" s="1103"/>
      <c r="I44" s="1104"/>
      <c r="J44" s="1105"/>
      <c r="K44" s="32"/>
      <c r="L44" s="527"/>
      <c r="M44" s="528"/>
      <c r="N44" s="521"/>
      <c r="O44" s="521"/>
      <c r="P44" s="523"/>
      <c r="Q44" s="230"/>
      <c r="R44" s="527"/>
      <c r="S44" s="522"/>
      <c r="T44" s="523"/>
      <c r="U44" s="230"/>
      <c r="V44" s="531"/>
      <c r="W44" s="532"/>
      <c r="X44" s="32"/>
      <c r="Y44" s="2275"/>
      <c r="Z44" s="1078"/>
      <c r="AA44" s="1078"/>
      <c r="AB44" s="1079"/>
      <c r="AC44" s="1892"/>
      <c r="AD44" s="339"/>
      <c r="AE44" s="1092"/>
      <c r="AF44" s="1916"/>
      <c r="AG44" s="2287"/>
    </row>
    <row r="45" spans="1:33" ht="18" customHeight="1">
      <c r="A45" s="965"/>
      <c r="B45" s="969" t="s">
        <v>608</v>
      </c>
      <c r="C45" s="1106"/>
      <c r="D45" s="1107"/>
      <c r="E45" s="1108"/>
      <c r="F45" s="1108"/>
      <c r="G45" s="1108"/>
      <c r="H45" s="1107"/>
      <c r="I45" s="1108"/>
      <c r="J45" s="1109"/>
      <c r="K45" s="32"/>
      <c r="L45" s="529"/>
      <c r="M45" s="530"/>
      <c r="N45" s="524"/>
      <c r="O45" s="524"/>
      <c r="P45" s="526"/>
      <c r="Q45" s="230"/>
      <c r="R45" s="529"/>
      <c r="S45" s="525"/>
      <c r="T45" s="526"/>
      <c r="U45" s="230"/>
      <c r="V45" s="533"/>
      <c r="W45" s="534"/>
      <c r="X45" s="32"/>
      <c r="Y45" s="2275"/>
      <c r="Z45" s="1078"/>
      <c r="AA45" s="1078"/>
      <c r="AB45" s="1079"/>
      <c r="AC45" s="1892"/>
      <c r="AD45" s="339"/>
      <c r="AE45" s="1092"/>
      <c r="AF45" s="1890"/>
      <c r="AG45" s="2288"/>
    </row>
    <row r="46" spans="1:33">
      <c r="A46" s="641" t="s">
        <v>261</v>
      </c>
      <c r="B46" s="963" t="s">
        <v>84</v>
      </c>
      <c r="C46" s="20">
        <v>195</v>
      </c>
      <c r="D46" s="21">
        <v>75</v>
      </c>
      <c r="E46" s="20">
        <v>11</v>
      </c>
      <c r="F46" s="20">
        <v>16</v>
      </c>
      <c r="G46" s="20">
        <v>18</v>
      </c>
      <c r="H46" s="21">
        <v>0</v>
      </c>
      <c r="I46" s="20">
        <v>31</v>
      </c>
      <c r="J46" s="115">
        <v>2</v>
      </c>
      <c r="K46" s="31"/>
      <c r="L46" s="118">
        <v>44</v>
      </c>
      <c r="M46" s="20">
        <v>78</v>
      </c>
      <c r="N46" s="21">
        <v>2</v>
      </c>
      <c r="O46" s="414">
        <v>12</v>
      </c>
      <c r="P46" s="413">
        <f>SUM(C46:O46)</f>
        <v>484</v>
      </c>
      <c r="Q46" s="52"/>
      <c r="R46" s="118">
        <v>1</v>
      </c>
      <c r="S46" s="20">
        <v>3</v>
      </c>
      <c r="T46" s="115">
        <v>22</v>
      </c>
      <c r="U46" s="53"/>
      <c r="V46" s="127">
        <v>88</v>
      </c>
      <c r="W46" s="448">
        <f t="shared" ref="W46:W51" si="9">SUM(R46:V46)</f>
        <v>114</v>
      </c>
      <c r="X46" s="60"/>
      <c r="Y46" s="1890">
        <v>395</v>
      </c>
      <c r="Z46" s="1744"/>
      <c r="AA46" s="1078"/>
      <c r="AB46" s="1079"/>
      <c r="AC46" s="1892"/>
      <c r="AD46" s="339"/>
      <c r="AE46" s="1092"/>
      <c r="AF46" s="1891">
        <v>370</v>
      </c>
      <c r="AG46" s="2284">
        <v>380</v>
      </c>
    </row>
    <row r="47" spans="1:33">
      <c r="A47" s="641" t="s">
        <v>262</v>
      </c>
      <c r="B47" s="960" t="s">
        <v>85</v>
      </c>
      <c r="C47" s="20">
        <v>30354</v>
      </c>
      <c r="D47" s="21">
        <v>11624</v>
      </c>
      <c r="E47" s="23">
        <v>2118</v>
      </c>
      <c r="F47" s="23">
        <v>14189</v>
      </c>
      <c r="G47" s="23">
        <v>1873</v>
      </c>
      <c r="H47" s="24">
        <v>12</v>
      </c>
      <c r="I47" s="23">
        <v>2108</v>
      </c>
      <c r="J47" s="116">
        <v>358</v>
      </c>
      <c r="K47" s="31"/>
      <c r="L47" s="119">
        <v>4219</v>
      </c>
      <c r="M47" s="23">
        <v>10783</v>
      </c>
      <c r="N47" s="21">
        <v>315</v>
      </c>
      <c r="O47" s="414">
        <v>1843</v>
      </c>
      <c r="P47" s="413">
        <f>SUM(C47:O47)</f>
        <v>79796</v>
      </c>
      <c r="Q47" s="52"/>
      <c r="R47" s="119">
        <v>4259</v>
      </c>
      <c r="S47" s="23">
        <v>51</v>
      </c>
      <c r="T47" s="116">
        <v>5494</v>
      </c>
      <c r="U47" s="53"/>
      <c r="V47" s="128">
        <v>7757</v>
      </c>
      <c r="W47" s="448">
        <f t="shared" si="9"/>
        <v>17561</v>
      </c>
      <c r="X47" s="60"/>
      <c r="Y47" s="2276">
        <v>71720</v>
      </c>
      <c r="Z47" s="1745"/>
      <c r="AA47" s="1065"/>
      <c r="AB47" s="1066"/>
      <c r="AC47" s="1746"/>
      <c r="AD47" s="1879"/>
      <c r="AE47" s="1092"/>
      <c r="AF47" s="1891">
        <v>62234</v>
      </c>
      <c r="AG47" s="2284">
        <v>57838</v>
      </c>
    </row>
    <row r="48" spans="1:33">
      <c r="A48" s="641" t="s">
        <v>263</v>
      </c>
      <c r="B48" s="960" t="s">
        <v>86</v>
      </c>
      <c r="C48" s="23">
        <v>552</v>
      </c>
      <c r="D48" s="21">
        <v>208</v>
      </c>
      <c r="E48" s="23">
        <v>11</v>
      </c>
      <c r="F48" s="23">
        <v>597</v>
      </c>
      <c r="G48" s="23">
        <v>67</v>
      </c>
      <c r="H48" s="24">
        <v>72</v>
      </c>
      <c r="I48" s="27">
        <v>6</v>
      </c>
      <c r="J48" s="116">
        <v>1</v>
      </c>
      <c r="K48" s="31"/>
      <c r="L48" s="119">
        <v>16</v>
      </c>
      <c r="M48" s="23">
        <v>130</v>
      </c>
      <c r="N48" s="21">
        <v>3</v>
      </c>
      <c r="O48" s="414">
        <v>28</v>
      </c>
      <c r="P48" s="413">
        <f>SUM(C48:O48)</f>
        <v>1691</v>
      </c>
      <c r="Q48" s="52"/>
      <c r="R48" s="119">
        <v>95</v>
      </c>
      <c r="S48" s="23">
        <v>0</v>
      </c>
      <c r="T48" s="116">
        <v>73</v>
      </c>
      <c r="U48" s="53"/>
      <c r="V48" s="128">
        <v>124</v>
      </c>
      <c r="W48" s="448">
        <f t="shared" si="9"/>
        <v>292</v>
      </c>
      <c r="X48" s="60"/>
      <c r="Y48" s="2277">
        <v>1561</v>
      </c>
      <c r="Z48" s="1745"/>
      <c r="AA48" s="1065"/>
      <c r="AB48" s="1066"/>
      <c r="AC48" s="1746"/>
      <c r="AD48" s="1879"/>
      <c r="AE48" s="1110">
        <f>(SUM(I51:L51))*1000/invanare</f>
        <v>0.86832087512817457</v>
      </c>
      <c r="AF48" s="1891">
        <v>1399</v>
      </c>
      <c r="AG48" s="2284">
        <v>898</v>
      </c>
    </row>
    <row r="49" spans="1:33">
      <c r="A49" s="641" t="s">
        <v>264</v>
      </c>
      <c r="B49" s="963" t="s">
        <v>87</v>
      </c>
      <c r="C49" s="20">
        <v>125</v>
      </c>
      <c r="D49" s="21">
        <v>49</v>
      </c>
      <c r="E49" s="20">
        <v>11</v>
      </c>
      <c r="F49" s="20">
        <v>58</v>
      </c>
      <c r="G49" s="20">
        <v>9</v>
      </c>
      <c r="H49" s="21">
        <v>1</v>
      </c>
      <c r="I49" s="20">
        <v>2</v>
      </c>
      <c r="J49" s="115">
        <v>0</v>
      </c>
      <c r="K49" s="31"/>
      <c r="L49" s="118">
        <v>9</v>
      </c>
      <c r="M49" s="20">
        <v>83</v>
      </c>
      <c r="N49" s="21">
        <v>1</v>
      </c>
      <c r="O49" s="414">
        <v>8</v>
      </c>
      <c r="P49" s="413">
        <f>SUM(C49:O49)</f>
        <v>356</v>
      </c>
      <c r="Q49" s="52"/>
      <c r="R49" s="118">
        <v>30</v>
      </c>
      <c r="S49" s="20">
        <v>0</v>
      </c>
      <c r="T49" s="115">
        <v>22</v>
      </c>
      <c r="U49" s="53"/>
      <c r="V49" s="127">
        <v>63</v>
      </c>
      <c r="W49" s="448">
        <f t="shared" si="9"/>
        <v>115</v>
      </c>
      <c r="X49" s="60"/>
      <c r="Y49" s="2277">
        <v>292</v>
      </c>
      <c r="Z49" s="1745"/>
      <c r="AA49" s="1065"/>
      <c r="AB49" s="1066"/>
      <c r="AC49" s="1746"/>
      <c r="AD49" s="1879"/>
      <c r="AE49" s="1110">
        <f>(R51)*1000/invanare</f>
        <v>0.70664250962441499</v>
      </c>
      <c r="AF49" s="1891">
        <v>240</v>
      </c>
      <c r="AG49" s="2284">
        <v>234</v>
      </c>
    </row>
    <row r="50" spans="1:33">
      <c r="A50" s="641" t="s">
        <v>265</v>
      </c>
      <c r="B50" s="960" t="s">
        <v>88</v>
      </c>
      <c r="C50" s="20">
        <v>7938</v>
      </c>
      <c r="D50" s="21">
        <v>3036</v>
      </c>
      <c r="E50" s="23">
        <v>374</v>
      </c>
      <c r="F50" s="23">
        <v>2153</v>
      </c>
      <c r="G50" s="23">
        <v>422</v>
      </c>
      <c r="H50" s="24">
        <v>1</v>
      </c>
      <c r="I50" s="27">
        <v>565</v>
      </c>
      <c r="J50" s="116">
        <v>63</v>
      </c>
      <c r="K50" s="31"/>
      <c r="L50" s="119">
        <v>1255</v>
      </c>
      <c r="M50" s="23">
        <v>3423</v>
      </c>
      <c r="N50" s="21">
        <v>73</v>
      </c>
      <c r="O50" s="414">
        <v>504</v>
      </c>
      <c r="P50" s="413">
        <f>SUM(C50:O50)</f>
        <v>19807</v>
      </c>
      <c r="Q50" s="52"/>
      <c r="R50" s="119">
        <v>2678</v>
      </c>
      <c r="S50" s="23">
        <v>2</v>
      </c>
      <c r="T50" s="116">
        <v>1193</v>
      </c>
      <c r="U50" s="53"/>
      <c r="V50" s="128">
        <v>2528</v>
      </c>
      <c r="W50" s="448">
        <f t="shared" si="9"/>
        <v>6401</v>
      </c>
      <c r="X50" s="60"/>
      <c r="Y50" s="2277">
        <v>17139</v>
      </c>
      <c r="Z50" s="1745"/>
      <c r="AA50" s="1065"/>
      <c r="AB50" s="1066"/>
      <c r="AC50" s="1746"/>
      <c r="AD50" s="1881"/>
      <c r="AE50" s="1092"/>
      <c r="AF50" s="1891">
        <v>13406</v>
      </c>
      <c r="AG50" s="2284">
        <v>15124</v>
      </c>
    </row>
    <row r="51" spans="1:33">
      <c r="A51" s="641" t="s">
        <v>266</v>
      </c>
      <c r="B51" s="971" t="s">
        <v>856</v>
      </c>
      <c r="C51" s="404">
        <f t="shared" ref="C51:M51" si="10">SUM(C46:C50)</f>
        <v>39164</v>
      </c>
      <c r="D51" s="26">
        <f t="shared" si="10"/>
        <v>14992</v>
      </c>
      <c r="E51" s="404">
        <f t="shared" si="10"/>
        <v>2525</v>
      </c>
      <c r="F51" s="404">
        <f t="shared" si="10"/>
        <v>17013</v>
      </c>
      <c r="G51" s="404">
        <f t="shared" si="10"/>
        <v>2389</v>
      </c>
      <c r="H51" s="26">
        <f t="shared" si="10"/>
        <v>86</v>
      </c>
      <c r="I51" s="404">
        <f t="shared" si="10"/>
        <v>2712</v>
      </c>
      <c r="J51" s="120">
        <f t="shared" si="10"/>
        <v>424</v>
      </c>
      <c r="K51" s="165"/>
      <c r="L51" s="415">
        <f>SUM(L46:L50)</f>
        <v>5543</v>
      </c>
      <c r="M51" s="404">
        <f t="shared" si="10"/>
        <v>14497</v>
      </c>
      <c r="N51" s="26">
        <f t="shared" ref="N51:V51" si="11">SUM(N46:N50)</f>
        <v>394</v>
      </c>
      <c r="O51" s="26">
        <f t="shared" si="11"/>
        <v>2395</v>
      </c>
      <c r="P51" s="120">
        <f t="shared" si="11"/>
        <v>102134</v>
      </c>
      <c r="Q51" s="52"/>
      <c r="R51" s="415">
        <f t="shared" si="11"/>
        <v>7063</v>
      </c>
      <c r="S51" s="404">
        <f t="shared" si="11"/>
        <v>56</v>
      </c>
      <c r="T51" s="120">
        <f>SUM(T46:T50)</f>
        <v>6804</v>
      </c>
      <c r="U51" s="52"/>
      <c r="V51" s="131">
        <f t="shared" si="11"/>
        <v>10560</v>
      </c>
      <c r="W51" s="448">
        <f t="shared" si="9"/>
        <v>24483</v>
      </c>
      <c r="X51" s="60"/>
      <c r="Y51" s="1891">
        <v>91107</v>
      </c>
      <c r="Z51" s="1096">
        <f>(P51-W51)*1000000/invanare</f>
        <v>7768.8655691413633</v>
      </c>
      <c r="AA51" s="1097">
        <f>Y51*1000000/invanare</f>
        <v>9115.1180977419754</v>
      </c>
      <c r="AB51" s="1097">
        <v>8778.5860079218219</v>
      </c>
      <c r="AC51" s="1895">
        <f>IF(ISERROR((AA51-AB51)/AB51)," ",((AA51-AB51)/AB51))</f>
        <v>3.8335569021761128E-2</v>
      </c>
      <c r="AD51" s="1926"/>
      <c r="AE51" s="1094">
        <f>IF(ISERROR(F51/(AA51/1000*invanare)),"",(F51/(AA51/100000*invanare)))</f>
        <v>1.8673647469458987E-2</v>
      </c>
      <c r="AF51" s="1891">
        <v>77649</v>
      </c>
      <c r="AG51" s="2284">
        <v>74474</v>
      </c>
    </row>
    <row r="52" spans="1:33">
      <c r="A52" s="970"/>
      <c r="B52" s="968" t="s">
        <v>89</v>
      </c>
      <c r="C52" s="520"/>
      <c r="D52" s="519"/>
      <c r="E52" s="517"/>
      <c r="F52" s="517"/>
      <c r="G52" s="517"/>
      <c r="H52" s="519"/>
      <c r="I52" s="517"/>
      <c r="J52" s="518"/>
      <c r="K52" s="31"/>
      <c r="L52" s="516"/>
      <c r="M52" s="517"/>
      <c r="N52" s="519"/>
      <c r="O52" s="535"/>
      <c r="P52" s="518"/>
      <c r="Q52" s="53"/>
      <c r="R52" s="516"/>
      <c r="S52" s="517"/>
      <c r="T52" s="518"/>
      <c r="U52" s="53"/>
      <c r="V52" s="514"/>
      <c r="W52" s="515"/>
      <c r="X52" s="31"/>
      <c r="Y52" s="1913"/>
      <c r="Z52" s="1091"/>
      <c r="AA52" s="1078"/>
      <c r="AB52" s="1079"/>
      <c r="AC52" s="1892"/>
      <c r="AD52" s="1664"/>
      <c r="AE52" s="1092">
        <f>IF(ISERROR(F51/(AA51/1000*invanare)),"",(SUM(Motpart!D13:D16,Motpart!F13:F16)/(AA51/100000*invanare)))</f>
        <v>1.8057887977872174E-2</v>
      </c>
      <c r="AF52" s="1913"/>
      <c r="AG52" s="2289"/>
    </row>
    <row r="53" spans="1:33">
      <c r="A53" s="641" t="s">
        <v>425</v>
      </c>
      <c r="B53" s="952" t="s">
        <v>521</v>
      </c>
      <c r="C53" s="20">
        <v>2803</v>
      </c>
      <c r="D53" s="21">
        <v>1072</v>
      </c>
      <c r="E53" s="20">
        <v>188</v>
      </c>
      <c r="F53" s="20">
        <v>849</v>
      </c>
      <c r="G53" s="20">
        <v>309</v>
      </c>
      <c r="H53" s="21">
        <v>2</v>
      </c>
      <c r="I53" s="20">
        <v>265</v>
      </c>
      <c r="J53" s="115">
        <v>38</v>
      </c>
      <c r="K53" s="31"/>
      <c r="L53" s="118">
        <v>653</v>
      </c>
      <c r="M53" s="20">
        <v>1293</v>
      </c>
      <c r="N53" s="21">
        <v>34</v>
      </c>
      <c r="O53" s="414">
        <v>185</v>
      </c>
      <c r="P53" s="413">
        <f>SUM(C53:O53)</f>
        <v>7691</v>
      </c>
      <c r="Q53" s="52"/>
      <c r="R53" s="118">
        <v>1</v>
      </c>
      <c r="S53" s="20">
        <v>1</v>
      </c>
      <c r="T53" s="115">
        <v>321</v>
      </c>
      <c r="U53" s="53"/>
      <c r="V53" s="127">
        <v>957</v>
      </c>
      <c r="W53" s="448">
        <f>SUM(R53:V53)</f>
        <v>1280</v>
      </c>
      <c r="X53" s="60"/>
      <c r="Y53" s="2278">
        <v>6691</v>
      </c>
      <c r="Z53" s="1078"/>
      <c r="AA53" s="1078"/>
      <c r="AB53" s="1079"/>
      <c r="AC53" s="1892"/>
      <c r="AD53" s="372"/>
      <c r="AE53" s="1092"/>
      <c r="AF53" s="1890">
        <v>6413</v>
      </c>
      <c r="AG53" s="2288">
        <v>5885</v>
      </c>
    </row>
    <row r="54" spans="1:33">
      <c r="A54" s="641" t="s">
        <v>520</v>
      </c>
      <c r="B54" s="950" t="s">
        <v>405</v>
      </c>
      <c r="C54" s="20">
        <v>43936</v>
      </c>
      <c r="D54" s="21">
        <v>16807</v>
      </c>
      <c r="E54" s="23">
        <v>4542</v>
      </c>
      <c r="F54" s="23">
        <v>15489</v>
      </c>
      <c r="G54" s="23">
        <v>7660</v>
      </c>
      <c r="H54" s="24">
        <v>44</v>
      </c>
      <c r="I54" s="23">
        <v>3284</v>
      </c>
      <c r="J54" s="116">
        <v>1023</v>
      </c>
      <c r="K54" s="31"/>
      <c r="L54" s="119">
        <v>8449</v>
      </c>
      <c r="M54" s="23">
        <v>18357</v>
      </c>
      <c r="N54" s="21">
        <v>513</v>
      </c>
      <c r="O54" s="414">
        <v>3079</v>
      </c>
      <c r="P54" s="413">
        <f>SUM(C54:O54)</f>
        <v>123183</v>
      </c>
      <c r="Q54" s="52"/>
      <c r="R54" s="119">
        <v>48</v>
      </c>
      <c r="S54" s="23">
        <v>51</v>
      </c>
      <c r="T54" s="116">
        <v>9940</v>
      </c>
      <c r="U54" s="53"/>
      <c r="V54" s="128">
        <v>14117</v>
      </c>
      <c r="W54" s="448">
        <f>SUM(R54:V54)</f>
        <v>24156</v>
      </c>
      <c r="X54" s="60"/>
      <c r="Y54" s="2278">
        <v>107831</v>
      </c>
      <c r="Z54" s="1078"/>
      <c r="AA54" s="1078"/>
      <c r="AB54" s="1079"/>
      <c r="AC54" s="1892"/>
      <c r="AD54" s="339"/>
      <c r="AE54" s="1092"/>
      <c r="AF54" s="1891">
        <v>99027</v>
      </c>
      <c r="AG54" s="2284">
        <v>93533</v>
      </c>
    </row>
    <row r="55" spans="1:33">
      <c r="A55" s="641" t="s">
        <v>267</v>
      </c>
      <c r="B55" s="971" t="s">
        <v>686</v>
      </c>
      <c r="C55" s="20">
        <v>2193</v>
      </c>
      <c r="D55" s="21">
        <v>838</v>
      </c>
      <c r="E55" s="23">
        <v>89</v>
      </c>
      <c r="F55" s="23">
        <v>548</v>
      </c>
      <c r="G55" s="23">
        <v>491</v>
      </c>
      <c r="H55" s="24">
        <v>0</v>
      </c>
      <c r="I55" s="23">
        <v>86</v>
      </c>
      <c r="J55" s="116">
        <v>15</v>
      </c>
      <c r="K55" s="31"/>
      <c r="L55" s="119">
        <v>227</v>
      </c>
      <c r="M55" s="23">
        <v>730</v>
      </c>
      <c r="N55" s="21">
        <v>24</v>
      </c>
      <c r="O55" s="414">
        <v>130</v>
      </c>
      <c r="P55" s="413">
        <f>SUM(C55:O55)</f>
        <v>5371</v>
      </c>
      <c r="Q55" s="52"/>
      <c r="R55" s="119">
        <v>6</v>
      </c>
      <c r="S55" s="23">
        <v>1</v>
      </c>
      <c r="T55" s="116">
        <v>393</v>
      </c>
      <c r="U55" s="53"/>
      <c r="V55" s="128">
        <v>585</v>
      </c>
      <c r="W55" s="448">
        <f>SUM(R55:V55)</f>
        <v>985</v>
      </c>
      <c r="X55" s="60"/>
      <c r="Y55" s="2278">
        <v>4499</v>
      </c>
      <c r="Z55" s="1077"/>
      <c r="AA55" s="1077"/>
      <c r="AB55" s="1079"/>
      <c r="AC55" s="1892"/>
      <c r="AD55" s="339"/>
      <c r="AE55" s="1092"/>
      <c r="AF55" s="1891">
        <v>4385</v>
      </c>
      <c r="AG55" s="2284">
        <v>4237</v>
      </c>
    </row>
    <row r="56" spans="1:33">
      <c r="A56" s="641" t="s">
        <v>268</v>
      </c>
      <c r="B56" s="960" t="s">
        <v>90</v>
      </c>
      <c r="C56" s="20">
        <v>12496</v>
      </c>
      <c r="D56" s="21">
        <v>4778</v>
      </c>
      <c r="E56" s="23">
        <v>1581</v>
      </c>
      <c r="F56" s="23">
        <v>18474</v>
      </c>
      <c r="G56" s="23">
        <v>3232</v>
      </c>
      <c r="H56" s="24">
        <v>271</v>
      </c>
      <c r="I56" s="23">
        <v>1100</v>
      </c>
      <c r="J56" s="116">
        <v>403</v>
      </c>
      <c r="K56" s="31"/>
      <c r="L56" s="119">
        <v>2883</v>
      </c>
      <c r="M56" s="23">
        <v>4823</v>
      </c>
      <c r="N56" s="21">
        <v>188</v>
      </c>
      <c r="O56" s="414">
        <v>857</v>
      </c>
      <c r="P56" s="413">
        <f>SUM(C56:O56)</f>
        <v>51086</v>
      </c>
      <c r="Q56" s="52"/>
      <c r="R56" s="119">
        <v>72</v>
      </c>
      <c r="S56" s="23">
        <v>42</v>
      </c>
      <c r="T56" s="116">
        <v>10802</v>
      </c>
      <c r="U56" s="53"/>
      <c r="V56" s="128">
        <v>3390</v>
      </c>
      <c r="W56" s="448">
        <f>SUM(R56:V56)</f>
        <v>14306</v>
      </c>
      <c r="X56" s="60"/>
      <c r="Y56" s="1891">
        <v>40968</v>
      </c>
      <c r="Z56" s="1077"/>
      <c r="AA56" s="1077"/>
      <c r="AB56" s="1111"/>
      <c r="AC56" s="1892"/>
      <c r="AD56" s="339"/>
      <c r="AE56" s="1092"/>
      <c r="AF56" s="1891">
        <v>36782</v>
      </c>
      <c r="AG56" s="2284">
        <v>28952</v>
      </c>
    </row>
    <row r="57" spans="1:33">
      <c r="A57" s="641" t="s">
        <v>269</v>
      </c>
      <c r="B57" s="960" t="s">
        <v>91</v>
      </c>
      <c r="C57" s="20">
        <v>1148</v>
      </c>
      <c r="D57" s="21">
        <v>439</v>
      </c>
      <c r="E57" s="23">
        <v>57</v>
      </c>
      <c r="F57" s="23">
        <v>962</v>
      </c>
      <c r="G57" s="23">
        <v>310</v>
      </c>
      <c r="H57" s="24">
        <v>2</v>
      </c>
      <c r="I57" s="23">
        <v>58</v>
      </c>
      <c r="J57" s="116">
        <v>10</v>
      </c>
      <c r="K57" s="31"/>
      <c r="L57" s="119">
        <v>186</v>
      </c>
      <c r="M57" s="23">
        <v>272</v>
      </c>
      <c r="N57" s="21">
        <v>13</v>
      </c>
      <c r="O57" s="414">
        <v>70</v>
      </c>
      <c r="P57" s="413">
        <f>SUM(C57:O57)</f>
        <v>3527</v>
      </c>
      <c r="Q57" s="52"/>
      <c r="R57" s="119">
        <v>4</v>
      </c>
      <c r="S57" s="23">
        <v>1</v>
      </c>
      <c r="T57" s="116">
        <v>618</v>
      </c>
      <c r="U57" s="53"/>
      <c r="V57" s="128">
        <v>172</v>
      </c>
      <c r="W57" s="448">
        <f>SUM(R57:V57)</f>
        <v>795</v>
      </c>
      <c r="X57" s="60"/>
      <c r="Y57" s="1890">
        <v>2842</v>
      </c>
      <c r="Z57" s="992"/>
      <c r="AA57" s="1078"/>
      <c r="AB57" s="1111"/>
      <c r="AC57" s="1892"/>
      <c r="AD57" s="339"/>
      <c r="AE57" s="1092"/>
      <c r="AF57" s="1891">
        <v>2731</v>
      </c>
      <c r="AG57" s="2284">
        <v>2391</v>
      </c>
    </row>
    <row r="58" spans="1:33">
      <c r="A58" s="641" t="s">
        <v>270</v>
      </c>
      <c r="B58" s="960" t="s">
        <v>92</v>
      </c>
      <c r="C58" s="404">
        <f t="shared" ref="C58:J58" si="12">SUM(C53:C57)</f>
        <v>62576</v>
      </c>
      <c r="D58" s="26">
        <f t="shared" si="12"/>
        <v>23934</v>
      </c>
      <c r="E58" s="404">
        <f t="shared" si="12"/>
        <v>6457</v>
      </c>
      <c r="F58" s="404">
        <f t="shared" si="12"/>
        <v>36322</v>
      </c>
      <c r="G58" s="404">
        <f t="shared" si="12"/>
        <v>12002</v>
      </c>
      <c r="H58" s="26">
        <f t="shared" si="12"/>
        <v>319</v>
      </c>
      <c r="I58" s="404">
        <f t="shared" si="12"/>
        <v>4793</v>
      </c>
      <c r="J58" s="120">
        <f t="shared" si="12"/>
        <v>1489</v>
      </c>
      <c r="K58" s="165"/>
      <c r="L58" s="415">
        <f>SUM(L53:L57)</f>
        <v>12398</v>
      </c>
      <c r="M58" s="404">
        <f>SUM(M53:M57)</f>
        <v>25475</v>
      </c>
      <c r="N58" s="26">
        <f>SUM(N53:N57)</f>
        <v>772</v>
      </c>
      <c r="O58" s="26">
        <f>SUM(O53:O57)</f>
        <v>4321</v>
      </c>
      <c r="P58" s="120">
        <f>SUM(P53:P57)</f>
        <v>190858</v>
      </c>
      <c r="Q58" s="52"/>
      <c r="R58" s="415">
        <f>SUM(R53:R57)</f>
        <v>131</v>
      </c>
      <c r="S58" s="404">
        <f>SUM(S53:S57)</f>
        <v>96</v>
      </c>
      <c r="T58" s="120">
        <f>SUM(T53:T57)</f>
        <v>22074</v>
      </c>
      <c r="U58" s="52"/>
      <c r="V58" s="131">
        <f>SUM(V53:V57)</f>
        <v>19221</v>
      </c>
      <c r="W58" s="132">
        <f>SUM(W53:W57)</f>
        <v>41522</v>
      </c>
      <c r="X58" s="60"/>
      <c r="Y58" s="2278">
        <v>162831</v>
      </c>
      <c r="Z58" s="1078"/>
      <c r="AA58" s="1078"/>
      <c r="AB58" s="1079"/>
      <c r="AC58" s="1892"/>
      <c r="AD58" s="339"/>
      <c r="AE58" s="1092"/>
      <c r="AF58" s="1891">
        <v>149338</v>
      </c>
      <c r="AG58" s="2284">
        <v>134998</v>
      </c>
    </row>
    <row r="59" spans="1:33">
      <c r="A59" s="972"/>
      <c r="B59" s="973" t="s">
        <v>93</v>
      </c>
      <c r="C59" s="537"/>
      <c r="D59" s="538"/>
      <c r="E59" s="539"/>
      <c r="F59" s="540"/>
      <c r="G59" s="539"/>
      <c r="H59" s="541"/>
      <c r="I59" s="539"/>
      <c r="J59" s="542"/>
      <c r="K59" s="32"/>
      <c r="L59" s="543"/>
      <c r="M59" s="539"/>
      <c r="N59" s="538"/>
      <c r="O59" s="538"/>
      <c r="P59" s="542"/>
      <c r="Q59" s="230"/>
      <c r="R59" s="543"/>
      <c r="S59" s="539"/>
      <c r="T59" s="542"/>
      <c r="U59" s="230"/>
      <c r="V59" s="544"/>
      <c r="W59" s="545"/>
      <c r="X59" s="32"/>
      <c r="Y59" s="2275"/>
      <c r="Z59" s="1078"/>
      <c r="AA59" s="1078"/>
      <c r="AB59" s="1079"/>
      <c r="AC59" s="1892"/>
      <c r="AD59" s="1664"/>
      <c r="AE59" s="1092"/>
      <c r="AF59" s="1891"/>
      <c r="AG59" s="2284"/>
    </row>
    <row r="60" spans="1:33">
      <c r="A60" s="650" t="s">
        <v>531</v>
      </c>
      <c r="B60" s="974" t="s">
        <v>406</v>
      </c>
      <c r="C60" s="536">
        <v>406</v>
      </c>
      <c r="D60" s="21">
        <v>152</v>
      </c>
      <c r="E60" s="20">
        <v>28</v>
      </c>
      <c r="F60" s="20">
        <v>303</v>
      </c>
      <c r="G60" s="20">
        <v>41</v>
      </c>
      <c r="H60" s="21">
        <v>1</v>
      </c>
      <c r="I60" s="20">
        <v>32</v>
      </c>
      <c r="J60" s="115">
        <v>5</v>
      </c>
      <c r="K60" s="31"/>
      <c r="L60" s="118">
        <v>55</v>
      </c>
      <c r="M60" s="20">
        <v>80</v>
      </c>
      <c r="N60" s="21">
        <v>7</v>
      </c>
      <c r="O60" s="414">
        <v>22</v>
      </c>
      <c r="P60" s="413">
        <f>SUM(C60:O60)</f>
        <v>1132</v>
      </c>
      <c r="Q60" s="52"/>
      <c r="R60" s="118">
        <v>0</v>
      </c>
      <c r="S60" s="20">
        <v>1</v>
      </c>
      <c r="T60" s="115">
        <v>114</v>
      </c>
      <c r="U60" s="53"/>
      <c r="V60" s="127">
        <v>50</v>
      </c>
      <c r="W60" s="448">
        <f t="shared" ref="W60:W66" si="13">SUM(R60:V60)</f>
        <v>165</v>
      </c>
      <c r="X60" s="60"/>
      <c r="Y60" s="1890">
        <v>1044</v>
      </c>
      <c r="Z60" s="1078"/>
      <c r="AA60" s="1078"/>
      <c r="AB60" s="1079"/>
      <c r="AC60" s="1892"/>
      <c r="AD60" s="339"/>
      <c r="AE60" s="1092"/>
      <c r="AF60" s="1891">
        <v>968</v>
      </c>
      <c r="AG60" s="2284">
        <v>779</v>
      </c>
    </row>
    <row r="61" spans="1:33">
      <c r="A61" s="643" t="s">
        <v>532</v>
      </c>
      <c r="B61" s="975" t="s">
        <v>407</v>
      </c>
      <c r="C61" s="22">
        <v>1257</v>
      </c>
      <c r="D61" s="21">
        <v>479</v>
      </c>
      <c r="E61" s="20">
        <v>105</v>
      </c>
      <c r="F61" s="20">
        <v>1498</v>
      </c>
      <c r="G61" s="20">
        <v>199</v>
      </c>
      <c r="H61" s="21">
        <v>9</v>
      </c>
      <c r="I61" s="20">
        <v>115</v>
      </c>
      <c r="J61" s="115">
        <v>17</v>
      </c>
      <c r="K61" s="546"/>
      <c r="L61" s="118">
        <v>176</v>
      </c>
      <c r="M61" s="20">
        <v>377</v>
      </c>
      <c r="N61" s="21">
        <v>16</v>
      </c>
      <c r="O61" s="414">
        <v>78</v>
      </c>
      <c r="P61" s="413">
        <f>SUM(C61:O61)</f>
        <v>4326</v>
      </c>
      <c r="Q61" s="52"/>
      <c r="R61" s="119">
        <v>19</v>
      </c>
      <c r="S61" s="23">
        <v>2</v>
      </c>
      <c r="T61" s="116">
        <v>1408</v>
      </c>
      <c r="U61" s="53"/>
      <c r="V61" s="128">
        <v>284</v>
      </c>
      <c r="W61" s="448">
        <f t="shared" si="13"/>
        <v>1713</v>
      </c>
      <c r="X61" s="60"/>
      <c r="Y61" s="1913">
        <v>3841</v>
      </c>
      <c r="Z61" s="1077"/>
      <c r="AA61" s="1078"/>
      <c r="AB61" s="1078"/>
      <c r="AC61" s="1930"/>
      <c r="AD61" s="1879"/>
      <c r="AE61" s="1092"/>
      <c r="AF61" s="1891">
        <v>2614</v>
      </c>
      <c r="AG61" s="2284">
        <v>2535</v>
      </c>
    </row>
    <row r="62" spans="1:33">
      <c r="A62" s="965"/>
      <c r="B62" s="968" t="s">
        <v>26</v>
      </c>
      <c r="C62" s="520"/>
      <c r="D62" s="519"/>
      <c r="E62" s="517"/>
      <c r="F62" s="540"/>
      <c r="G62" s="517"/>
      <c r="H62" s="541"/>
      <c r="I62" s="517"/>
      <c r="J62" s="518"/>
      <c r="K62" s="546"/>
      <c r="L62" s="516"/>
      <c r="M62" s="517"/>
      <c r="N62" s="519"/>
      <c r="O62" s="519"/>
      <c r="P62" s="518"/>
      <c r="Q62" s="53"/>
      <c r="R62" s="516"/>
      <c r="S62" s="517"/>
      <c r="T62" s="518"/>
      <c r="U62" s="53"/>
      <c r="V62" s="514"/>
      <c r="W62" s="515"/>
      <c r="X62" s="31"/>
      <c r="Y62" s="1912"/>
      <c r="Z62" s="1078"/>
      <c r="AA62" s="1078"/>
      <c r="AB62" s="1078"/>
      <c r="AC62" s="1747"/>
      <c r="AD62" s="1879"/>
      <c r="AE62" s="1092"/>
      <c r="AF62" s="1891"/>
      <c r="AG62" s="2284"/>
    </row>
    <row r="63" spans="1:33">
      <c r="A63" s="641" t="s">
        <v>271</v>
      </c>
      <c r="B63" s="980" t="s">
        <v>1077</v>
      </c>
      <c r="C63" s="20">
        <v>132</v>
      </c>
      <c r="D63" s="21">
        <v>50</v>
      </c>
      <c r="E63" s="20">
        <v>7</v>
      </c>
      <c r="F63" s="20">
        <v>34</v>
      </c>
      <c r="G63" s="20">
        <v>11</v>
      </c>
      <c r="H63" s="21">
        <v>0</v>
      </c>
      <c r="I63" s="20">
        <v>9</v>
      </c>
      <c r="J63" s="115">
        <v>1</v>
      </c>
      <c r="K63" s="31"/>
      <c r="L63" s="118">
        <v>16</v>
      </c>
      <c r="M63" s="20">
        <v>27</v>
      </c>
      <c r="N63" s="21">
        <v>1</v>
      </c>
      <c r="O63" s="414">
        <v>8</v>
      </c>
      <c r="P63" s="413">
        <f>SUM(C63:O63)</f>
        <v>296</v>
      </c>
      <c r="Q63" s="52"/>
      <c r="R63" s="118">
        <v>1</v>
      </c>
      <c r="S63" s="20">
        <v>0</v>
      </c>
      <c r="T63" s="115">
        <v>26</v>
      </c>
      <c r="U63" s="53"/>
      <c r="V63" s="127">
        <v>21</v>
      </c>
      <c r="W63" s="448">
        <f t="shared" si="13"/>
        <v>48</v>
      </c>
      <c r="X63" s="60"/>
      <c r="Y63" s="1890">
        <v>261</v>
      </c>
      <c r="Z63" s="1078"/>
      <c r="AA63" s="1078"/>
      <c r="AB63" s="1078"/>
      <c r="AC63" s="1747"/>
      <c r="AD63" s="1879"/>
      <c r="AE63" s="1092"/>
      <c r="AF63" s="1891">
        <v>248</v>
      </c>
      <c r="AG63" s="2284">
        <v>241</v>
      </c>
    </row>
    <row r="64" spans="1:33">
      <c r="A64" s="641" t="s">
        <v>272</v>
      </c>
      <c r="B64" s="960" t="s">
        <v>94</v>
      </c>
      <c r="C64" s="20">
        <v>240</v>
      </c>
      <c r="D64" s="21">
        <v>92</v>
      </c>
      <c r="E64" s="23">
        <v>39</v>
      </c>
      <c r="F64" s="23">
        <v>105</v>
      </c>
      <c r="G64" s="23">
        <v>154</v>
      </c>
      <c r="H64" s="24">
        <v>52</v>
      </c>
      <c r="I64" s="23">
        <v>62</v>
      </c>
      <c r="J64" s="116">
        <v>12</v>
      </c>
      <c r="K64" s="31"/>
      <c r="L64" s="119">
        <v>87</v>
      </c>
      <c r="M64" s="23">
        <v>43</v>
      </c>
      <c r="N64" s="21">
        <v>4</v>
      </c>
      <c r="O64" s="414">
        <v>22</v>
      </c>
      <c r="P64" s="413">
        <f>SUM(C64:O64)</f>
        <v>912</v>
      </c>
      <c r="Q64" s="52"/>
      <c r="R64" s="119">
        <v>4</v>
      </c>
      <c r="S64" s="23">
        <v>10</v>
      </c>
      <c r="T64" s="116">
        <v>474</v>
      </c>
      <c r="U64" s="53"/>
      <c r="V64" s="128">
        <v>18</v>
      </c>
      <c r="W64" s="448">
        <f t="shared" si="13"/>
        <v>506</v>
      </c>
      <c r="X64" s="60"/>
      <c r="Y64" s="1890">
        <v>867</v>
      </c>
      <c r="Z64" s="1078"/>
      <c r="AA64" s="1078"/>
      <c r="AB64" s="1078"/>
      <c r="AC64" s="1747"/>
      <c r="AD64" s="1879"/>
      <c r="AE64" s="1092"/>
      <c r="AF64" s="1891">
        <v>406</v>
      </c>
      <c r="AG64" s="2284">
        <v>738</v>
      </c>
    </row>
    <row r="65" spans="1:33">
      <c r="A65" s="641" t="s">
        <v>273</v>
      </c>
      <c r="B65" s="960" t="s">
        <v>99</v>
      </c>
      <c r="C65" s="20">
        <v>1245</v>
      </c>
      <c r="D65" s="21">
        <v>470</v>
      </c>
      <c r="E65" s="23">
        <v>97</v>
      </c>
      <c r="F65" s="23">
        <v>965</v>
      </c>
      <c r="G65" s="23">
        <v>110</v>
      </c>
      <c r="H65" s="24">
        <v>1</v>
      </c>
      <c r="I65" s="23">
        <v>86</v>
      </c>
      <c r="J65" s="116">
        <v>10</v>
      </c>
      <c r="K65" s="31"/>
      <c r="L65" s="119">
        <v>143</v>
      </c>
      <c r="M65" s="23">
        <v>194</v>
      </c>
      <c r="N65" s="21">
        <v>17</v>
      </c>
      <c r="O65" s="414">
        <v>62</v>
      </c>
      <c r="P65" s="413">
        <f>SUM(C65:O65)</f>
        <v>3400</v>
      </c>
      <c r="Q65" s="52"/>
      <c r="R65" s="119">
        <v>2</v>
      </c>
      <c r="S65" s="23">
        <v>0</v>
      </c>
      <c r="T65" s="116">
        <v>919</v>
      </c>
      <c r="U65" s="53"/>
      <c r="V65" s="128">
        <v>339</v>
      </c>
      <c r="W65" s="448">
        <f t="shared" si="13"/>
        <v>1260</v>
      </c>
      <c r="X65" s="60"/>
      <c r="Y65" s="1890">
        <v>2992</v>
      </c>
      <c r="Z65" s="1078"/>
      <c r="AA65" s="1078"/>
      <c r="AB65" s="1078"/>
      <c r="AC65" s="1747"/>
      <c r="AD65" s="1879"/>
      <c r="AE65" s="1092"/>
      <c r="AF65" s="1891">
        <v>2139</v>
      </c>
      <c r="AG65" s="2284">
        <v>2095</v>
      </c>
    </row>
    <row r="66" spans="1:33">
      <c r="A66" s="641" t="s">
        <v>274</v>
      </c>
      <c r="B66" s="960" t="s">
        <v>100</v>
      </c>
      <c r="C66" s="20">
        <v>135</v>
      </c>
      <c r="D66" s="21">
        <v>50</v>
      </c>
      <c r="E66" s="23">
        <v>27</v>
      </c>
      <c r="F66" s="23">
        <v>16</v>
      </c>
      <c r="G66" s="23">
        <v>80</v>
      </c>
      <c r="H66" s="24">
        <v>1</v>
      </c>
      <c r="I66" s="23">
        <v>6</v>
      </c>
      <c r="J66" s="116">
        <v>3</v>
      </c>
      <c r="K66" s="31"/>
      <c r="L66" s="119">
        <v>19</v>
      </c>
      <c r="M66" s="23">
        <v>21</v>
      </c>
      <c r="N66" s="21">
        <v>2</v>
      </c>
      <c r="O66" s="414">
        <v>10</v>
      </c>
      <c r="P66" s="413">
        <f>SUM(C66:O66)</f>
        <v>370</v>
      </c>
      <c r="Q66" s="52"/>
      <c r="R66" s="119">
        <v>5</v>
      </c>
      <c r="S66" s="23">
        <v>1</v>
      </c>
      <c r="T66" s="116">
        <v>265</v>
      </c>
      <c r="U66" s="53"/>
      <c r="V66" s="128">
        <v>46</v>
      </c>
      <c r="W66" s="448">
        <f t="shared" si="13"/>
        <v>317</v>
      </c>
      <c r="X66" s="60"/>
      <c r="Y66" s="1890">
        <v>308</v>
      </c>
      <c r="Z66" s="989" t="s">
        <v>101</v>
      </c>
      <c r="AA66" s="1078"/>
      <c r="AB66" s="1079"/>
      <c r="AC66" s="1892"/>
      <c r="AD66" s="339"/>
      <c r="AE66" s="1092"/>
      <c r="AF66" s="1891">
        <v>53</v>
      </c>
      <c r="AG66" s="2284">
        <v>307</v>
      </c>
    </row>
    <row r="67" spans="1:33">
      <c r="A67" s="641" t="s">
        <v>275</v>
      </c>
      <c r="B67" s="960" t="s">
        <v>27</v>
      </c>
      <c r="C67" s="404">
        <f>SUM(C58,C60:C61,C63:C66)</f>
        <v>65991</v>
      </c>
      <c r="D67" s="26">
        <f t="shared" ref="D67:J67" si="14">SUM(D58,D60:D61,D63:D66)</f>
        <v>25227</v>
      </c>
      <c r="E67" s="578">
        <f t="shared" si="14"/>
        <v>6760</v>
      </c>
      <c r="F67" s="404">
        <f t="shared" si="14"/>
        <v>39243</v>
      </c>
      <c r="G67" s="404">
        <f t="shared" si="14"/>
        <v>12597</v>
      </c>
      <c r="H67" s="404">
        <f t="shared" si="14"/>
        <v>383</v>
      </c>
      <c r="I67" s="404">
        <f t="shared" si="14"/>
        <v>5103</v>
      </c>
      <c r="J67" s="120">
        <f t="shared" si="14"/>
        <v>1537</v>
      </c>
      <c r="K67" s="165"/>
      <c r="L67" s="415">
        <f>SUM(L58,L60:L61,L63:L66)</f>
        <v>12894</v>
      </c>
      <c r="M67" s="404">
        <f>SUM(M58,M60:M61,M63:M66)</f>
        <v>26217</v>
      </c>
      <c r="N67" s="26">
        <f>SUM(N58,N60:N61,N63:N66)</f>
        <v>819</v>
      </c>
      <c r="O67" s="418">
        <f>SUM(O58,O60:O61,O63:O66)</f>
        <v>4523</v>
      </c>
      <c r="P67" s="120">
        <f>SUM(P58,P60:P61,P63:P66)</f>
        <v>201294</v>
      </c>
      <c r="Q67" s="52"/>
      <c r="R67" s="415">
        <f>SUM(R58,R60:R61,R63:R66)</f>
        <v>162</v>
      </c>
      <c r="S67" s="404">
        <f>SUM(S58,S60:S61,S63:S66)</f>
        <v>110</v>
      </c>
      <c r="T67" s="120">
        <f>SUM(T58,T60:T61,T63:T66)</f>
        <v>25280</v>
      </c>
      <c r="U67" s="52"/>
      <c r="V67" s="131">
        <f>SUM(V58,V60:V61,V63:V66)</f>
        <v>19979</v>
      </c>
      <c r="W67" s="132">
        <f>SUM(W58,W60:W61,W63:W66)</f>
        <v>45531</v>
      </c>
      <c r="X67" s="60"/>
      <c r="Y67" s="1891">
        <v>172143</v>
      </c>
      <c r="Z67" s="1096">
        <f>(P67-W67)*1000000/invanare</f>
        <v>15583.85349378844</v>
      </c>
      <c r="AA67" s="1097">
        <f>Y67*1000000/invanare</f>
        <v>17222.647817397094</v>
      </c>
      <c r="AB67" s="1097">
        <v>16222.182948217427</v>
      </c>
      <c r="AC67" s="1897">
        <f>IF(ISERROR((AA67-AB67)/AB67)," ",((AA67-AB67)/AB67))</f>
        <v>6.167264124521555E-2</v>
      </c>
      <c r="AD67" s="1926"/>
      <c r="AE67" s="1094">
        <f>IF(ISERROR(F67/(AA67/1000*invanare)),"",(F67/(AA67/100000*invanare)))</f>
        <v>2.2796744567016955E-2</v>
      </c>
      <c r="AF67" s="1891">
        <v>155765</v>
      </c>
      <c r="AG67" s="2284">
        <v>141693</v>
      </c>
    </row>
    <row r="68" spans="1:33" ht="12.75" customHeight="1" thickBot="1">
      <c r="A68" s="645" t="s">
        <v>276</v>
      </c>
      <c r="B68" s="967" t="s">
        <v>102</v>
      </c>
      <c r="C68" s="420">
        <f t="shared" ref="C68:J68" si="15">SUM(C51,C67)</f>
        <v>105155</v>
      </c>
      <c r="D68" s="421">
        <f t="shared" si="15"/>
        <v>40219</v>
      </c>
      <c r="E68" s="420">
        <f t="shared" si="15"/>
        <v>9285</v>
      </c>
      <c r="F68" s="420">
        <f t="shared" si="15"/>
        <v>56256</v>
      </c>
      <c r="G68" s="420">
        <f t="shared" si="15"/>
        <v>14986</v>
      </c>
      <c r="H68" s="421">
        <f t="shared" si="15"/>
        <v>469</v>
      </c>
      <c r="I68" s="420">
        <f t="shared" si="15"/>
        <v>7815</v>
      </c>
      <c r="J68" s="422">
        <f t="shared" si="15"/>
        <v>1961</v>
      </c>
      <c r="K68" s="165"/>
      <c r="L68" s="423">
        <f>SUM(L51,L67)</f>
        <v>18437</v>
      </c>
      <c r="M68" s="420">
        <f>SUM(M51,M67)</f>
        <v>40714</v>
      </c>
      <c r="N68" s="421">
        <f>SUM(N51,N67)</f>
        <v>1213</v>
      </c>
      <c r="O68" s="421">
        <f>SUM(O51,O67)</f>
        <v>6918</v>
      </c>
      <c r="P68" s="422">
        <f>SUM(P51,P67)</f>
        <v>303428</v>
      </c>
      <c r="Q68" s="52"/>
      <c r="R68" s="423">
        <f>SUM(R51,R67)</f>
        <v>7225</v>
      </c>
      <c r="S68" s="420">
        <f>SUM(S51,S67)</f>
        <v>166</v>
      </c>
      <c r="T68" s="422">
        <f>SUM(T51,T67)</f>
        <v>32084</v>
      </c>
      <c r="U68" s="52"/>
      <c r="V68" s="450">
        <f>SUM(V51,V67)</f>
        <v>30539</v>
      </c>
      <c r="W68" s="449">
        <f>SUM(W51,W67)</f>
        <v>70014</v>
      </c>
      <c r="X68" s="60"/>
      <c r="Y68" s="1900">
        <v>263250</v>
      </c>
      <c r="Z68" s="1098"/>
      <c r="AA68" s="1099"/>
      <c r="AB68" s="1100"/>
      <c r="AC68" s="1896"/>
      <c r="AD68" s="339"/>
      <c r="AE68" s="1092">
        <f>IF(ISERROR(F67/(AA67/1000*invanare)),"",(SUM(Motpart!D17:D25,Motpart!F17:F25)/(AA67/100000*invanare)))</f>
        <v>1.5261149160872064E-2</v>
      </c>
      <c r="AF68" s="1900">
        <v>233414</v>
      </c>
      <c r="AG68" s="2285">
        <v>216167</v>
      </c>
    </row>
    <row r="69" spans="1:33">
      <c r="A69" s="965"/>
      <c r="B69" s="968" t="s">
        <v>103</v>
      </c>
      <c r="C69" s="547"/>
      <c r="D69" s="548"/>
      <c r="E69" s="549"/>
      <c r="F69" s="549"/>
      <c r="G69" s="549"/>
      <c r="H69" s="548"/>
      <c r="I69" s="549"/>
      <c r="J69" s="550"/>
      <c r="K69" s="38"/>
      <c r="L69" s="551"/>
      <c r="M69" s="549"/>
      <c r="N69" s="548"/>
      <c r="O69" s="548"/>
      <c r="P69" s="552"/>
      <c r="Q69" s="54"/>
      <c r="R69" s="551"/>
      <c r="S69" s="549"/>
      <c r="T69" s="550"/>
      <c r="U69" s="54"/>
      <c r="V69" s="553"/>
      <c r="W69" s="554"/>
      <c r="X69" s="38"/>
      <c r="Y69" s="2279"/>
      <c r="Z69" s="1077"/>
      <c r="AA69" s="1078"/>
      <c r="AB69" s="1079"/>
      <c r="AC69" s="1892"/>
      <c r="AD69" s="1879"/>
      <c r="AE69" s="1092"/>
      <c r="AF69" s="1888"/>
      <c r="AG69" s="2286"/>
    </row>
    <row r="70" spans="1:33">
      <c r="A70" s="641" t="s">
        <v>277</v>
      </c>
      <c r="B70" s="963" t="s">
        <v>104</v>
      </c>
      <c r="C70" s="20">
        <v>80</v>
      </c>
      <c r="D70" s="21">
        <v>31</v>
      </c>
      <c r="E70" s="20">
        <v>5</v>
      </c>
      <c r="F70" s="20">
        <v>38</v>
      </c>
      <c r="G70" s="20">
        <v>32</v>
      </c>
      <c r="H70" s="21">
        <v>0</v>
      </c>
      <c r="I70" s="20">
        <v>3</v>
      </c>
      <c r="J70" s="115">
        <v>1</v>
      </c>
      <c r="K70" s="31"/>
      <c r="L70" s="118">
        <v>12</v>
      </c>
      <c r="M70" s="20">
        <v>117</v>
      </c>
      <c r="N70" s="21">
        <v>0</v>
      </c>
      <c r="O70" s="414">
        <v>7</v>
      </c>
      <c r="P70" s="413">
        <f>SUM(C70:O70)</f>
        <v>326</v>
      </c>
      <c r="Q70" s="52"/>
      <c r="R70" s="118">
        <v>14</v>
      </c>
      <c r="S70" s="20">
        <v>0</v>
      </c>
      <c r="T70" s="115">
        <v>40</v>
      </c>
      <c r="U70" s="53"/>
      <c r="V70" s="127">
        <v>116</v>
      </c>
      <c r="W70" s="448">
        <f>SUM(R70:V70)</f>
        <v>170</v>
      </c>
      <c r="X70" s="60"/>
      <c r="Y70" s="1890">
        <v>190</v>
      </c>
      <c r="Z70" s="1078"/>
      <c r="AA70" s="1078"/>
      <c r="AB70" s="1078"/>
      <c r="AC70" s="1747"/>
      <c r="AD70" s="1879"/>
      <c r="AE70" s="1092"/>
      <c r="AF70" s="1891">
        <v>157</v>
      </c>
      <c r="AG70" s="2284">
        <v>173</v>
      </c>
    </row>
    <row r="71" spans="1:33">
      <c r="A71" s="641" t="s">
        <v>278</v>
      </c>
      <c r="B71" s="963" t="s">
        <v>105</v>
      </c>
      <c r="C71" s="23">
        <v>560</v>
      </c>
      <c r="D71" s="21">
        <v>222</v>
      </c>
      <c r="E71" s="23">
        <v>266</v>
      </c>
      <c r="F71" s="23">
        <v>218</v>
      </c>
      <c r="G71" s="23">
        <v>207</v>
      </c>
      <c r="H71" s="24">
        <v>1</v>
      </c>
      <c r="I71" s="23">
        <v>6</v>
      </c>
      <c r="J71" s="116">
        <v>24</v>
      </c>
      <c r="K71" s="31"/>
      <c r="L71" s="119">
        <v>106</v>
      </c>
      <c r="M71" s="23">
        <v>174</v>
      </c>
      <c r="N71" s="21">
        <v>0</v>
      </c>
      <c r="O71" s="414">
        <v>61</v>
      </c>
      <c r="P71" s="413">
        <f>SUM(C71:O71)</f>
        <v>1845</v>
      </c>
      <c r="Q71" s="52"/>
      <c r="R71" s="119">
        <v>50</v>
      </c>
      <c r="S71" s="23">
        <v>1</v>
      </c>
      <c r="T71" s="116">
        <v>284</v>
      </c>
      <c r="U71" s="53"/>
      <c r="V71" s="128">
        <v>95</v>
      </c>
      <c r="W71" s="1101">
        <f>SUM(R71:V71)</f>
        <v>430</v>
      </c>
      <c r="X71" s="60"/>
      <c r="Y71" s="1890">
        <v>1685</v>
      </c>
      <c r="Z71" s="1078"/>
      <c r="AA71" s="1078"/>
      <c r="AB71" s="1078"/>
      <c r="AC71" s="1747"/>
      <c r="AD71" s="1879"/>
      <c r="AE71" s="1092"/>
      <c r="AF71" s="1891">
        <v>1416</v>
      </c>
      <c r="AG71" s="2284">
        <v>1532</v>
      </c>
    </row>
    <row r="72" spans="1:33" ht="18">
      <c r="A72" s="976"/>
      <c r="B72" s="977" t="s">
        <v>106</v>
      </c>
      <c r="C72" s="520"/>
      <c r="D72" s="519"/>
      <c r="E72" s="517"/>
      <c r="F72" s="517"/>
      <c r="G72" s="517"/>
      <c r="H72" s="519"/>
      <c r="I72" s="517"/>
      <c r="J72" s="518"/>
      <c r="K72" s="31"/>
      <c r="L72" s="516"/>
      <c r="M72" s="517"/>
      <c r="N72" s="519"/>
      <c r="O72" s="519"/>
      <c r="P72" s="518"/>
      <c r="Q72" s="53"/>
      <c r="R72" s="516"/>
      <c r="S72" s="517"/>
      <c r="T72" s="518"/>
      <c r="U72" s="53"/>
      <c r="V72" s="514"/>
      <c r="W72" s="515"/>
      <c r="X72" s="31"/>
      <c r="Y72" s="1891"/>
      <c r="Z72" s="1078"/>
      <c r="AA72" s="1078"/>
      <c r="AB72" s="1078"/>
      <c r="AC72" s="1747"/>
      <c r="AD72" s="1879"/>
      <c r="AE72" s="1112">
        <f>IF(ISERROR((F73+F74)/((AA73+AA74)/1000*invanare)),"",((F73+F74)/((AA73+AA74)/100000*invanare)))</f>
        <v>1.7356565047015958E-2</v>
      </c>
      <c r="AF72" s="1891"/>
      <c r="AG72" s="2284"/>
    </row>
    <row r="73" spans="1:33">
      <c r="A73" s="641" t="s">
        <v>468</v>
      </c>
      <c r="B73" s="971" t="s">
        <v>534</v>
      </c>
      <c r="C73" s="20">
        <v>52226</v>
      </c>
      <c r="D73" s="21">
        <v>19935</v>
      </c>
      <c r="E73" s="20">
        <v>3672</v>
      </c>
      <c r="F73" s="20">
        <v>19382</v>
      </c>
      <c r="G73" s="20">
        <v>4377</v>
      </c>
      <c r="H73" s="21">
        <v>1032</v>
      </c>
      <c r="I73" s="20">
        <v>4371</v>
      </c>
      <c r="J73" s="115">
        <v>572</v>
      </c>
      <c r="K73" s="31"/>
      <c r="L73" s="118">
        <v>5153</v>
      </c>
      <c r="M73" s="20">
        <v>16791</v>
      </c>
      <c r="N73" s="21">
        <v>516</v>
      </c>
      <c r="O73" s="414">
        <v>3020</v>
      </c>
      <c r="P73" s="413">
        <f>SUM(C73:O73)</f>
        <v>131047</v>
      </c>
      <c r="Q73" s="52"/>
      <c r="R73" s="118">
        <v>4548</v>
      </c>
      <c r="S73" s="20">
        <v>4241</v>
      </c>
      <c r="T73" s="115">
        <v>7169</v>
      </c>
      <c r="U73" s="53"/>
      <c r="V73" s="127">
        <v>13453</v>
      </c>
      <c r="W73" s="448">
        <f>SUM(R73:V73)</f>
        <v>29411</v>
      </c>
      <c r="X73" s="60"/>
      <c r="Y73" s="1891">
        <v>117354</v>
      </c>
      <c r="Z73" s="1096">
        <f>(P73-W73)*1000000/invanare</f>
        <v>10168.528685854033</v>
      </c>
      <c r="AA73" s="1097">
        <f>Y73*1000000/invanare</f>
        <v>11741.090906762507</v>
      </c>
      <c r="AB73" s="1113">
        <v>11532.717890954813</v>
      </c>
      <c r="AC73" s="1895">
        <f>IF(ISERROR((AA73-AB73)/AB73)," ",((AA73-AB73)/AB73))</f>
        <v>1.8067988637016995E-2</v>
      </c>
      <c r="AD73" s="1880"/>
      <c r="AE73" s="1094"/>
      <c r="AF73" s="1891">
        <v>101637</v>
      </c>
      <c r="AG73" s="2284">
        <v>97181</v>
      </c>
    </row>
    <row r="74" spans="1:33" ht="18.75">
      <c r="A74" s="641" t="s">
        <v>467</v>
      </c>
      <c r="B74" s="978" t="s">
        <v>401</v>
      </c>
      <c r="C74" s="20">
        <v>5293</v>
      </c>
      <c r="D74" s="21">
        <v>2010</v>
      </c>
      <c r="E74" s="20">
        <v>285</v>
      </c>
      <c r="F74" s="20">
        <v>3340</v>
      </c>
      <c r="G74" s="20">
        <v>568</v>
      </c>
      <c r="H74" s="21">
        <v>459</v>
      </c>
      <c r="I74" s="20">
        <v>385</v>
      </c>
      <c r="J74" s="115">
        <v>31</v>
      </c>
      <c r="K74" s="31"/>
      <c r="L74" s="118">
        <v>397</v>
      </c>
      <c r="M74" s="20">
        <v>1591</v>
      </c>
      <c r="N74" s="21">
        <v>51</v>
      </c>
      <c r="O74" s="414">
        <v>301</v>
      </c>
      <c r="P74" s="413">
        <f>SUM(C74:O74)</f>
        <v>14711</v>
      </c>
      <c r="Q74" s="52"/>
      <c r="R74" s="118">
        <v>249</v>
      </c>
      <c r="S74" s="20">
        <v>308</v>
      </c>
      <c r="T74" s="115">
        <v>787</v>
      </c>
      <c r="U74" s="53"/>
      <c r="V74" s="127">
        <v>1106</v>
      </c>
      <c r="W74" s="448">
        <f>SUM(R74:V74)</f>
        <v>2450</v>
      </c>
      <c r="X74" s="60"/>
      <c r="Y74" s="1891">
        <v>13559</v>
      </c>
      <c r="Z74" s="1096">
        <f>(P74-W74)*1000000/invanare</f>
        <v>1226.6945788623746</v>
      </c>
      <c r="AA74" s="1097">
        <f>Y74*1000000/invanare</f>
        <v>1356.5575234316073</v>
      </c>
      <c r="AB74" s="1113">
        <v>1314.0775211330972</v>
      </c>
      <c r="AC74" s="1895">
        <f>IF(ISERROR((AA74-AB74)/AB74)," ",((AA74-AB74)/AB74))</f>
        <v>3.2326861707428468E-2</v>
      </c>
      <c r="AD74" s="1880"/>
      <c r="AE74" s="1110">
        <f>(Y77-Y76)*1000/invanare</f>
        <v>18.806715615058618</v>
      </c>
      <c r="AF74" s="1891">
        <v>12261</v>
      </c>
      <c r="AG74" s="2284">
        <v>9806</v>
      </c>
    </row>
    <row r="75" spans="1:33">
      <c r="A75" s="641" t="s">
        <v>279</v>
      </c>
      <c r="B75" s="971" t="s">
        <v>402</v>
      </c>
      <c r="C75" s="20">
        <v>24164</v>
      </c>
      <c r="D75" s="21">
        <v>9191</v>
      </c>
      <c r="E75" s="23">
        <v>819</v>
      </c>
      <c r="F75" s="20">
        <v>10720</v>
      </c>
      <c r="G75" s="23">
        <v>1555</v>
      </c>
      <c r="H75" s="24">
        <v>5132</v>
      </c>
      <c r="I75" s="23">
        <v>1476</v>
      </c>
      <c r="J75" s="116">
        <v>112</v>
      </c>
      <c r="K75" s="31"/>
      <c r="L75" s="119">
        <v>1718</v>
      </c>
      <c r="M75" s="20">
        <v>5249</v>
      </c>
      <c r="N75" s="20">
        <v>238</v>
      </c>
      <c r="O75" s="414">
        <v>1241</v>
      </c>
      <c r="P75" s="413">
        <f>SUM(C75:O75)</f>
        <v>61615</v>
      </c>
      <c r="Q75" s="52"/>
      <c r="R75" s="119">
        <v>128</v>
      </c>
      <c r="S75" s="23">
        <v>1136</v>
      </c>
      <c r="T75" s="116">
        <v>8779</v>
      </c>
      <c r="U75" s="53"/>
      <c r="V75" s="128">
        <v>4272</v>
      </c>
      <c r="W75" s="448">
        <f>SUM(R75:V75)</f>
        <v>14315</v>
      </c>
      <c r="X75" s="60"/>
      <c r="Y75" s="1891">
        <v>57062</v>
      </c>
      <c r="Z75" s="1096">
        <f>(P75-W75)*1000000/invanare</f>
        <v>4732.293742777124</v>
      </c>
      <c r="AA75" s="1097">
        <f>Y75*1000000/invanare</f>
        <v>5708.9671363709995</v>
      </c>
      <c r="AB75" s="1113">
        <v>5567.953034696824</v>
      </c>
      <c r="AC75" s="1895">
        <f>IF(ISERROR((AA75-AB75)/AB75)," ",((AA75-AB75)/AB75))</f>
        <v>2.5326022111796364E-2</v>
      </c>
      <c r="AD75" s="1926"/>
      <c r="AE75" s="1092"/>
      <c r="AF75" s="1891">
        <v>47298</v>
      </c>
      <c r="AG75" s="2284">
        <v>41490</v>
      </c>
    </row>
    <row r="76" spans="1:33">
      <c r="A76" s="641" t="s">
        <v>280</v>
      </c>
      <c r="B76" s="960" t="s">
        <v>107</v>
      </c>
      <c r="C76" s="23">
        <v>107</v>
      </c>
      <c r="D76" s="21">
        <v>41</v>
      </c>
      <c r="E76" s="23">
        <v>4</v>
      </c>
      <c r="F76" s="23">
        <v>1561</v>
      </c>
      <c r="G76" s="23">
        <v>249</v>
      </c>
      <c r="H76" s="24">
        <v>37</v>
      </c>
      <c r="I76" s="23">
        <v>5</v>
      </c>
      <c r="J76" s="116">
        <v>1</v>
      </c>
      <c r="K76" s="31"/>
      <c r="L76" s="119">
        <v>3</v>
      </c>
      <c r="M76" s="23">
        <v>72</v>
      </c>
      <c r="N76" s="21">
        <v>4</v>
      </c>
      <c r="O76" s="414">
        <v>13</v>
      </c>
      <c r="P76" s="413">
        <f>SUM(C76:O76)</f>
        <v>2097</v>
      </c>
      <c r="Q76" s="52"/>
      <c r="R76" s="119">
        <v>112</v>
      </c>
      <c r="S76" s="23">
        <v>1</v>
      </c>
      <c r="T76" s="116">
        <v>78</v>
      </c>
      <c r="U76" s="53"/>
      <c r="V76" s="128">
        <v>108</v>
      </c>
      <c r="W76" s="448">
        <f>SUM(R76:V76)</f>
        <v>299</v>
      </c>
      <c r="X76" s="60"/>
      <c r="Y76" s="1890">
        <v>1956</v>
      </c>
      <c r="Z76" s="1096">
        <f>(P76-W76)*1000000/invanare</f>
        <v>179.88719132163359</v>
      </c>
      <c r="AA76" s="1097">
        <f>Y76*1000000/invanare</f>
        <v>195.69485329539228</v>
      </c>
      <c r="AB76" s="1114">
        <v>193.38104888053689</v>
      </c>
      <c r="AC76" s="1898"/>
      <c r="AD76" s="1880"/>
      <c r="AE76" s="1110"/>
      <c r="AF76" s="1891">
        <v>1797</v>
      </c>
      <c r="AG76" s="2284">
        <v>390</v>
      </c>
    </row>
    <row r="77" spans="1:33">
      <c r="A77" s="641" t="s">
        <v>555</v>
      </c>
      <c r="B77" s="960" t="s">
        <v>109</v>
      </c>
      <c r="C77" s="404">
        <f t="shared" ref="C77:J77" si="16">SUM(C73:C76)</f>
        <v>81790</v>
      </c>
      <c r="D77" s="26">
        <f t="shared" si="16"/>
        <v>31177</v>
      </c>
      <c r="E77" s="404">
        <f t="shared" si="16"/>
        <v>4780</v>
      </c>
      <c r="F77" s="404">
        <f t="shared" si="16"/>
        <v>35003</v>
      </c>
      <c r="G77" s="404">
        <f t="shared" si="16"/>
        <v>6749</v>
      </c>
      <c r="H77" s="26">
        <f t="shared" si="16"/>
        <v>6660</v>
      </c>
      <c r="I77" s="404">
        <f t="shared" si="16"/>
        <v>6237</v>
      </c>
      <c r="J77" s="120">
        <f t="shared" si="16"/>
        <v>716</v>
      </c>
      <c r="K77" s="165"/>
      <c r="L77" s="415">
        <f>SUM(L73:L76)</f>
        <v>7271</v>
      </c>
      <c r="M77" s="404">
        <f>SUM(M73:M76)</f>
        <v>23703</v>
      </c>
      <c r="N77" s="26">
        <f>SUM(N73:N76)</f>
        <v>809</v>
      </c>
      <c r="O77" s="26">
        <f>SUM(O73:O76)</f>
        <v>4575</v>
      </c>
      <c r="P77" s="120">
        <f>SUM(P73:P76)</f>
        <v>209470</v>
      </c>
      <c r="Q77" s="52"/>
      <c r="R77" s="415">
        <f>SUM(R73:R76)</f>
        <v>5037</v>
      </c>
      <c r="S77" s="404">
        <f>SUM(S73:S76)</f>
        <v>5686</v>
      </c>
      <c r="T77" s="120">
        <f>SUM(T73:T76)</f>
        <v>16813</v>
      </c>
      <c r="U77" s="52"/>
      <c r="V77" s="131">
        <f>SUM(V73:V76)</f>
        <v>18939</v>
      </c>
      <c r="W77" s="132">
        <f>SUM(W73:W76)</f>
        <v>46475</v>
      </c>
      <c r="X77" s="60"/>
      <c r="Y77" s="1890">
        <v>189932</v>
      </c>
      <c r="Z77" s="1096">
        <f>(P77-W77)*1000000/invanare</f>
        <v>16307.404198815166</v>
      </c>
      <c r="AA77" s="1097">
        <f>Y77*1000000/invanare</f>
        <v>19002.41046835401</v>
      </c>
      <c r="AB77" s="1095">
        <v>18608.129495665271</v>
      </c>
      <c r="AC77" s="1894">
        <f t="shared" ref="AC77:AC84" si="17">IF(ISERROR((AA77-AB77)/AB77)," ",((AA77-AB77)/AB77))</f>
        <v>2.1188640845421138E-2</v>
      </c>
      <c r="AD77" s="1926"/>
      <c r="AE77" s="1094">
        <f>IF(ISERROR(F77/(AA77/1000*invanare)),"",(F77/(AA77/100000*invanare)))</f>
        <v>1.8429227302402967E-2</v>
      </c>
      <c r="AF77" s="1891">
        <v>162993</v>
      </c>
      <c r="AG77" s="2284">
        <v>148867</v>
      </c>
    </row>
    <row r="78" spans="1:33">
      <c r="A78" s="976"/>
      <c r="B78" s="979" t="s">
        <v>110</v>
      </c>
      <c r="C78" s="520"/>
      <c r="D78" s="519"/>
      <c r="E78" s="517"/>
      <c r="F78" s="517"/>
      <c r="G78" s="517"/>
      <c r="H78" s="519"/>
      <c r="I78" s="517"/>
      <c r="J78" s="518"/>
      <c r="K78" s="31"/>
      <c r="L78" s="516"/>
      <c r="M78" s="517"/>
      <c r="N78" s="519"/>
      <c r="O78" s="519"/>
      <c r="P78" s="518"/>
      <c r="Q78" s="53"/>
      <c r="R78" s="516"/>
      <c r="S78" s="517"/>
      <c r="T78" s="518"/>
      <c r="U78" s="53"/>
      <c r="V78" s="514"/>
      <c r="W78" s="515"/>
      <c r="X78" s="31"/>
      <c r="Y78" s="1891"/>
      <c r="Z78" s="1115"/>
      <c r="AA78" s="1116"/>
      <c r="AB78" s="1116"/>
      <c r="AC78" s="1117" t="str">
        <f t="shared" si="17"/>
        <v xml:space="preserve"> </v>
      </c>
      <c r="AD78" s="1927"/>
      <c r="AE78" s="1092">
        <f>IF(ISERROR(F77/(AA77/1000*invanare)),"",(SUM(Motpart!D27:D30,Motpart!F27:F30)/(AA77/100000*invanare)))</f>
        <v>1.6877619358507255E-2</v>
      </c>
      <c r="AF78" s="1891"/>
      <c r="AG78" s="2284"/>
    </row>
    <row r="79" spans="1:33">
      <c r="A79" s="641" t="s">
        <v>473</v>
      </c>
      <c r="B79" s="980" t="s">
        <v>222</v>
      </c>
      <c r="C79" s="20">
        <v>2059</v>
      </c>
      <c r="D79" s="21">
        <v>784</v>
      </c>
      <c r="E79" s="20">
        <v>131</v>
      </c>
      <c r="F79" s="20">
        <v>2848</v>
      </c>
      <c r="G79" s="20">
        <v>409</v>
      </c>
      <c r="H79" s="21">
        <v>178</v>
      </c>
      <c r="I79" s="20">
        <v>473</v>
      </c>
      <c r="J79" s="115">
        <v>12</v>
      </c>
      <c r="K79" s="31"/>
      <c r="L79" s="118">
        <v>266</v>
      </c>
      <c r="M79" s="20">
        <v>523</v>
      </c>
      <c r="N79" s="21">
        <v>21</v>
      </c>
      <c r="O79" s="414">
        <v>138</v>
      </c>
      <c r="P79" s="413">
        <f>SUM(C79:O79)</f>
        <v>7842</v>
      </c>
      <c r="Q79" s="52"/>
      <c r="R79" s="118">
        <v>43</v>
      </c>
      <c r="S79" s="20">
        <v>372</v>
      </c>
      <c r="T79" s="115">
        <v>407</v>
      </c>
      <c r="U79" s="53"/>
      <c r="V79" s="127">
        <v>452</v>
      </c>
      <c r="W79" s="448">
        <f>SUM(R79:V79)</f>
        <v>1274</v>
      </c>
      <c r="X79" s="60"/>
      <c r="Y79" s="1890">
        <v>7309</v>
      </c>
      <c r="Z79" s="1096">
        <f>(P79-W79)*1000000/invanare</f>
        <v>657.11850533953805</v>
      </c>
      <c r="AA79" s="1097">
        <f>Y79*1000000/invanare</f>
        <v>731.25443902659617</v>
      </c>
      <c r="AB79" s="1118">
        <v>715.05307523070974</v>
      </c>
      <c r="AC79" s="1894">
        <f t="shared" si="17"/>
        <v>2.2657568168151874E-2</v>
      </c>
      <c r="AD79" s="1880"/>
      <c r="AE79" s="1110">
        <f>F85-F76-F71-F70</f>
        <v>43892</v>
      </c>
      <c r="AF79" s="1891">
        <v>6567</v>
      </c>
      <c r="AG79" s="2284">
        <v>4364</v>
      </c>
    </row>
    <row r="80" spans="1:33">
      <c r="A80" s="641" t="s">
        <v>472</v>
      </c>
      <c r="B80" s="980" t="s">
        <v>111</v>
      </c>
      <c r="C80" s="20">
        <v>6801</v>
      </c>
      <c r="D80" s="21">
        <v>2462</v>
      </c>
      <c r="E80" s="20">
        <v>183</v>
      </c>
      <c r="F80" s="20">
        <v>6739</v>
      </c>
      <c r="G80" s="20">
        <v>1975</v>
      </c>
      <c r="H80" s="21">
        <v>201</v>
      </c>
      <c r="I80" s="20">
        <v>284</v>
      </c>
      <c r="J80" s="115">
        <v>27</v>
      </c>
      <c r="K80" s="31"/>
      <c r="L80" s="118">
        <v>293</v>
      </c>
      <c r="M80" s="20">
        <v>870</v>
      </c>
      <c r="N80" s="21">
        <v>76</v>
      </c>
      <c r="O80" s="414">
        <v>400</v>
      </c>
      <c r="P80" s="413">
        <f>SUM(C80:O80)</f>
        <v>20311</v>
      </c>
      <c r="Q80" s="52"/>
      <c r="R80" s="118">
        <v>46</v>
      </c>
      <c r="S80" s="20">
        <v>36</v>
      </c>
      <c r="T80" s="115">
        <v>2264</v>
      </c>
      <c r="U80" s="53"/>
      <c r="V80" s="127">
        <v>692</v>
      </c>
      <c r="W80" s="448">
        <f>SUM(R80:V80)</f>
        <v>3038</v>
      </c>
      <c r="X80" s="60"/>
      <c r="Y80" s="1890">
        <v>19429</v>
      </c>
      <c r="Z80" s="1096">
        <f>(P80-W80)*1000000/invanare</f>
        <v>1728.1376283084412</v>
      </c>
      <c r="AA80" s="1097">
        <f>Y80*1000000/invanare</f>
        <v>1943.8421803047938</v>
      </c>
      <c r="AB80" s="1113">
        <v>1910.7671827182919</v>
      </c>
      <c r="AC80" s="1894">
        <f t="shared" si="17"/>
        <v>1.7309799899037848E-2</v>
      </c>
      <c r="AD80" s="1880"/>
      <c r="AE80" s="1110">
        <f>H85-H76-H71-H70</f>
        <v>17134</v>
      </c>
      <c r="AF80" s="1891">
        <v>17270</v>
      </c>
      <c r="AG80" s="2284">
        <v>12677</v>
      </c>
    </row>
    <row r="81" spans="1:33">
      <c r="A81" s="641" t="s">
        <v>475</v>
      </c>
      <c r="B81" s="980" t="s">
        <v>186</v>
      </c>
      <c r="C81" s="20">
        <v>672</v>
      </c>
      <c r="D81" s="21">
        <v>254</v>
      </c>
      <c r="E81" s="20">
        <v>40</v>
      </c>
      <c r="F81" s="20">
        <v>694</v>
      </c>
      <c r="G81" s="20">
        <v>158</v>
      </c>
      <c r="H81" s="21">
        <v>207</v>
      </c>
      <c r="I81" s="20">
        <v>230</v>
      </c>
      <c r="J81" s="115">
        <v>4</v>
      </c>
      <c r="K81" s="31"/>
      <c r="L81" s="118">
        <v>105</v>
      </c>
      <c r="M81" s="20">
        <v>244</v>
      </c>
      <c r="N81" s="21">
        <v>9</v>
      </c>
      <c r="O81" s="414">
        <v>45</v>
      </c>
      <c r="P81" s="413">
        <f>SUM(C81:O81)</f>
        <v>2662</v>
      </c>
      <c r="Q81" s="52"/>
      <c r="R81" s="118">
        <v>10</v>
      </c>
      <c r="S81" s="20">
        <v>207</v>
      </c>
      <c r="T81" s="115">
        <v>260</v>
      </c>
      <c r="U81" s="53"/>
      <c r="V81" s="127">
        <v>215</v>
      </c>
      <c r="W81" s="448">
        <f>SUM(R81:V81)</f>
        <v>692</v>
      </c>
      <c r="X81" s="60"/>
      <c r="Y81" s="1890">
        <v>2406</v>
      </c>
      <c r="Z81" s="1096">
        <f>(P81-W81)*1000000/invanare</f>
        <v>197.09553220445949</v>
      </c>
      <c r="AA81" s="1097">
        <f>Y81*1000000/invanare</f>
        <v>240.71667537255308</v>
      </c>
      <c r="AB81" s="1113">
        <v>205.76555699782062</v>
      </c>
      <c r="AC81" s="1894">
        <f t="shared" si="17"/>
        <v>0.1698589350165278</v>
      </c>
      <c r="AD81" s="1880"/>
      <c r="AE81" s="1092"/>
      <c r="AF81" s="1891">
        <v>1971</v>
      </c>
      <c r="AG81" s="2284">
        <v>1546</v>
      </c>
    </row>
    <row r="82" spans="1:33">
      <c r="A82" s="641" t="s">
        <v>474</v>
      </c>
      <c r="B82" s="980" t="s">
        <v>112</v>
      </c>
      <c r="C82" s="20">
        <v>1864</v>
      </c>
      <c r="D82" s="21">
        <v>713</v>
      </c>
      <c r="E82" s="20">
        <v>51</v>
      </c>
      <c r="F82" s="20">
        <v>60</v>
      </c>
      <c r="G82" s="20">
        <v>349</v>
      </c>
      <c r="H82" s="21">
        <v>9922</v>
      </c>
      <c r="I82" s="20">
        <v>116</v>
      </c>
      <c r="J82" s="115">
        <v>12</v>
      </c>
      <c r="K82" s="31"/>
      <c r="L82" s="118">
        <v>103</v>
      </c>
      <c r="M82" s="20">
        <v>250</v>
      </c>
      <c r="N82" s="21">
        <v>23</v>
      </c>
      <c r="O82" s="414">
        <v>109</v>
      </c>
      <c r="P82" s="413">
        <f>SUM(C82:O82)</f>
        <v>13572</v>
      </c>
      <c r="Q82" s="52"/>
      <c r="R82" s="118">
        <v>31</v>
      </c>
      <c r="S82" s="20">
        <v>26</v>
      </c>
      <c r="T82" s="115">
        <v>606</v>
      </c>
      <c r="U82" s="53"/>
      <c r="V82" s="127">
        <v>141</v>
      </c>
      <c r="W82" s="448">
        <f>SUM(R82:V82)</f>
        <v>804</v>
      </c>
      <c r="X82" s="60"/>
      <c r="Y82" s="1890">
        <v>13425</v>
      </c>
      <c r="Z82" s="1096">
        <f>(P82-W82)*1000000/invanare</f>
        <v>1277.4191650693092</v>
      </c>
      <c r="AA82" s="1097">
        <f>Y82*1000000/invanare</f>
        <v>1343.151025301964</v>
      </c>
      <c r="AB82" s="1113">
        <v>1378.6393831215598</v>
      </c>
      <c r="AC82" s="1894">
        <f t="shared" si="17"/>
        <v>-2.5741581340322651E-2</v>
      </c>
      <c r="AD82" s="1880"/>
      <c r="AE82" s="1092"/>
      <c r="AF82" s="1891">
        <v>12767</v>
      </c>
      <c r="AG82" s="2284">
        <v>3448</v>
      </c>
    </row>
    <row r="83" spans="1:33">
      <c r="A83" s="641" t="s">
        <v>377</v>
      </c>
      <c r="B83" s="960" t="s">
        <v>113</v>
      </c>
      <c r="C83" s="404">
        <f>SUM(C79:C82)</f>
        <v>11396</v>
      </c>
      <c r="D83" s="26">
        <f t="shared" ref="D83:J83" si="18">SUM(D79:D82)</f>
        <v>4213</v>
      </c>
      <c r="E83" s="416">
        <f t="shared" si="18"/>
        <v>405</v>
      </c>
      <c r="F83" s="404">
        <f t="shared" si="18"/>
        <v>10341</v>
      </c>
      <c r="G83" s="404">
        <f t="shared" si="18"/>
        <v>2891</v>
      </c>
      <c r="H83" s="26">
        <f t="shared" si="18"/>
        <v>10508</v>
      </c>
      <c r="I83" s="578">
        <f t="shared" si="18"/>
        <v>1103</v>
      </c>
      <c r="J83" s="120">
        <f t="shared" si="18"/>
        <v>55</v>
      </c>
      <c r="K83" s="165"/>
      <c r="L83" s="415">
        <f>SUM(L79:L82)</f>
        <v>767</v>
      </c>
      <c r="M83" s="404">
        <f>SUM(M79:M82)</f>
        <v>1887</v>
      </c>
      <c r="N83" s="26">
        <f>SUM(N79:N82)</f>
        <v>129</v>
      </c>
      <c r="O83" s="424">
        <f>SUM(O79:O82)</f>
        <v>692</v>
      </c>
      <c r="P83" s="413">
        <f>SUM(P79:P82)</f>
        <v>44387</v>
      </c>
      <c r="Q83" s="52"/>
      <c r="R83" s="415">
        <f>SUM(R79:R82)</f>
        <v>130</v>
      </c>
      <c r="S83" s="404">
        <f>SUM(S79:S82)</f>
        <v>641</v>
      </c>
      <c r="T83" s="120">
        <f>SUM(T79:T82)</f>
        <v>3537</v>
      </c>
      <c r="U83" s="52"/>
      <c r="V83" s="131">
        <f>SUM(V79:V82)</f>
        <v>1500</v>
      </c>
      <c r="W83" s="448">
        <f>SUM(W79:W82)</f>
        <v>5808</v>
      </c>
      <c r="X83" s="60"/>
      <c r="Y83" s="1119">
        <v>42569</v>
      </c>
      <c r="Z83" s="1096">
        <f>(P83+P84-W83-W84)*1000000/invanare</f>
        <v>3938.5089953100269</v>
      </c>
      <c r="AA83" s="1097">
        <f>SUM(Y83:Y84)*1000000/invanare</f>
        <v>4342.8049575629311</v>
      </c>
      <c r="AB83" s="1097">
        <v>4289.2018154064699</v>
      </c>
      <c r="AC83" s="1894">
        <f t="shared" si="17"/>
        <v>1.2497230128907206E-2</v>
      </c>
      <c r="AD83" s="1880"/>
      <c r="AE83" s="1094">
        <f>IF(ISERROR((F83+F84)/((F83+F84)/1000*invanare)),"",((F83+F84)/(AA83/100000*invanare)))</f>
        <v>2.4074458036722184E-2</v>
      </c>
      <c r="AF83" s="1891">
        <v>38576</v>
      </c>
      <c r="AG83" s="2284">
        <v>22036</v>
      </c>
    </row>
    <row r="84" spans="1:33">
      <c r="A84" s="641" t="s">
        <v>481</v>
      </c>
      <c r="B84" s="960" t="s">
        <v>114</v>
      </c>
      <c r="C84" s="23">
        <v>431</v>
      </c>
      <c r="D84" s="21">
        <v>162</v>
      </c>
      <c r="E84" s="23">
        <v>9</v>
      </c>
      <c r="F84" s="23">
        <v>109</v>
      </c>
      <c r="G84" s="23">
        <v>82</v>
      </c>
      <c r="H84" s="24">
        <v>3</v>
      </c>
      <c r="I84" s="23">
        <v>13</v>
      </c>
      <c r="J84" s="116">
        <v>1</v>
      </c>
      <c r="K84" s="30"/>
      <c r="L84" s="119">
        <v>23</v>
      </c>
      <c r="M84" s="23">
        <v>53</v>
      </c>
      <c r="N84" s="24">
        <v>3</v>
      </c>
      <c r="O84" s="414">
        <v>25</v>
      </c>
      <c r="P84" s="413">
        <f>SUM(C84:O84)</f>
        <v>914</v>
      </c>
      <c r="Q84" s="52"/>
      <c r="R84" s="119">
        <v>12</v>
      </c>
      <c r="S84" s="23">
        <v>1</v>
      </c>
      <c r="T84" s="116">
        <v>84</v>
      </c>
      <c r="U84" s="231"/>
      <c r="V84" s="128">
        <v>30</v>
      </c>
      <c r="W84" s="448">
        <f>SUM(R84:V84)</f>
        <v>127</v>
      </c>
      <c r="X84" s="60"/>
      <c r="Y84" s="1890">
        <v>838</v>
      </c>
      <c r="Z84" s="1096">
        <f>(P84-W84)*1000000/invanare</f>
        <v>78.738164388279003</v>
      </c>
      <c r="AA84" s="1097">
        <f>Y84*1000000/invanare</f>
        <v>83.840637557023896</v>
      </c>
      <c r="AB84" s="1113">
        <v>78.976617338088033</v>
      </c>
      <c r="AC84" s="1894">
        <f t="shared" si="17"/>
        <v>6.1588105225039734E-2</v>
      </c>
      <c r="AD84" s="1880"/>
      <c r="AE84" s="1092">
        <f>IF(ISERROR(F83+F84/(F83+F84/1000*invanare)),"",(SUM(Motpart!D31,Motpart!D33,Motpart!D35,Motpart!F31,Motpart!F33,Motpart!F35)/(AA83/100000*invanare)))</f>
        <v>1.9469210035247767E-2</v>
      </c>
      <c r="AF84" s="1891">
        <v>789</v>
      </c>
      <c r="AG84" s="2284">
        <v>774</v>
      </c>
    </row>
    <row r="85" spans="1:33" ht="13.5" thickBot="1">
      <c r="A85" s="645" t="s">
        <v>378</v>
      </c>
      <c r="B85" s="967" t="s">
        <v>115</v>
      </c>
      <c r="C85" s="420">
        <f t="shared" ref="C85:J85" si="19">SUM(C70:C71,C77,C83,C84)</f>
        <v>94257</v>
      </c>
      <c r="D85" s="421">
        <f t="shared" si="19"/>
        <v>35805</v>
      </c>
      <c r="E85" s="417">
        <f t="shared" si="19"/>
        <v>5465</v>
      </c>
      <c r="F85" s="420">
        <f t="shared" si="19"/>
        <v>45709</v>
      </c>
      <c r="G85" s="420">
        <f t="shared" si="19"/>
        <v>9961</v>
      </c>
      <c r="H85" s="421">
        <f t="shared" si="19"/>
        <v>17172</v>
      </c>
      <c r="I85" s="420">
        <f t="shared" si="19"/>
        <v>7362</v>
      </c>
      <c r="J85" s="422">
        <f t="shared" si="19"/>
        <v>797</v>
      </c>
      <c r="K85" s="165"/>
      <c r="L85" s="423">
        <f>SUM(L70:L71,L77,L83,L84)</f>
        <v>8179</v>
      </c>
      <c r="M85" s="420">
        <f>SUM(M70:M71,M77,M83,M84)</f>
        <v>25934</v>
      </c>
      <c r="N85" s="421">
        <f>SUM(N70:N71,N77,N83,N84)</f>
        <v>941</v>
      </c>
      <c r="O85" s="421">
        <f>SUM(O70:O71,O77,O83,O84)</f>
        <v>5360</v>
      </c>
      <c r="P85" s="422">
        <f>SUM(P70:P71,P77,P83,P84)</f>
        <v>256942</v>
      </c>
      <c r="Q85" s="52"/>
      <c r="R85" s="423">
        <f>SUM(R70:R71,R77,R83,R84)</f>
        <v>5243</v>
      </c>
      <c r="S85" s="420">
        <f>SUM(S70:S71,S77,S83,S84)</f>
        <v>6329</v>
      </c>
      <c r="T85" s="422">
        <f>SUM(T70:T71,T77,T83,T84)</f>
        <v>20758</v>
      </c>
      <c r="U85" s="52"/>
      <c r="V85" s="450">
        <f>SUM(V70:V71,V77,V83,V84)</f>
        <v>20680</v>
      </c>
      <c r="W85" s="449">
        <f>SUM(W70:W71,W77,W83,W84)</f>
        <v>53010</v>
      </c>
      <c r="X85" s="60"/>
      <c r="Y85" s="2280">
        <v>235215</v>
      </c>
      <c r="Z85" s="1098"/>
      <c r="AA85" s="1099"/>
      <c r="AB85" s="1100"/>
      <c r="AC85" s="1896"/>
      <c r="AD85" s="339"/>
      <c r="AE85" s="1120">
        <f>IF(ISERROR((F83)/((F83)/1000*invanare)),"",SUM(AA77,AA83)*100/AA90)</f>
        <v>38.038779050053463</v>
      </c>
      <c r="AF85" s="1900">
        <v>203931</v>
      </c>
      <c r="AG85" s="2285">
        <v>173381</v>
      </c>
    </row>
    <row r="86" spans="1:33" ht="11.25" customHeight="1">
      <c r="A86" s="976"/>
      <c r="B86" s="973" t="s">
        <v>116</v>
      </c>
      <c r="C86" s="496"/>
      <c r="D86" s="495"/>
      <c r="E86" s="493"/>
      <c r="F86" s="493"/>
      <c r="G86" s="493"/>
      <c r="H86" s="495"/>
      <c r="I86" s="493"/>
      <c r="J86" s="494"/>
      <c r="K86" s="31"/>
      <c r="L86" s="492"/>
      <c r="M86" s="493"/>
      <c r="N86" s="495"/>
      <c r="O86" s="495"/>
      <c r="P86" s="494"/>
      <c r="Q86" s="53"/>
      <c r="R86" s="492"/>
      <c r="S86" s="493"/>
      <c r="T86" s="494"/>
      <c r="U86" s="53"/>
      <c r="V86" s="490"/>
      <c r="W86" s="491"/>
      <c r="X86" s="31"/>
      <c r="Y86" s="1913"/>
      <c r="Z86" s="1121"/>
      <c r="AA86" s="1078"/>
      <c r="AB86" s="1079"/>
      <c r="AC86" s="1892"/>
      <c r="AD86" s="339"/>
      <c r="AE86" s="1120">
        <f>IF(ISERROR((F83)/((F83)/1000*invanare)),"",(F83/((AA83-AA84)/100000*invanare)))</f>
        <v>2.4292325401113486E-2</v>
      </c>
      <c r="AF86" s="1888"/>
      <c r="AG86" s="2286"/>
    </row>
    <row r="87" spans="1:33">
      <c r="A87" s="641" t="s">
        <v>281</v>
      </c>
      <c r="B87" s="963" t="s">
        <v>119</v>
      </c>
      <c r="C87" s="20">
        <v>7883</v>
      </c>
      <c r="D87" s="21">
        <v>2890</v>
      </c>
      <c r="E87" s="20">
        <v>943</v>
      </c>
      <c r="F87" s="20">
        <v>11756</v>
      </c>
      <c r="G87" s="20">
        <v>1802</v>
      </c>
      <c r="H87" s="21">
        <v>977</v>
      </c>
      <c r="I87" s="20">
        <v>890</v>
      </c>
      <c r="J87" s="115">
        <v>34</v>
      </c>
      <c r="K87" s="31"/>
      <c r="L87" s="118">
        <v>698</v>
      </c>
      <c r="M87" s="20">
        <v>2000</v>
      </c>
      <c r="N87" s="21">
        <v>81</v>
      </c>
      <c r="O87" s="414">
        <v>557</v>
      </c>
      <c r="P87" s="413">
        <f>SUM(C87:O87)</f>
        <v>30511</v>
      </c>
      <c r="Q87" s="52"/>
      <c r="R87" s="118">
        <v>18</v>
      </c>
      <c r="S87" s="20">
        <v>106</v>
      </c>
      <c r="T87" s="115">
        <v>30051</v>
      </c>
      <c r="U87" s="53"/>
      <c r="V87" s="127">
        <v>991</v>
      </c>
      <c r="W87" s="448">
        <f>SUM(R87:V87)</f>
        <v>31166</v>
      </c>
      <c r="X87" s="60"/>
      <c r="Y87" s="1890">
        <v>29409</v>
      </c>
      <c r="Z87" s="1078"/>
      <c r="AA87" s="1078"/>
      <c r="AB87" s="1078"/>
      <c r="AC87" s="1747"/>
      <c r="AD87" s="1921"/>
      <c r="AE87" s="1092"/>
      <c r="AF87" s="1891">
        <v>-657</v>
      </c>
      <c r="AG87" s="2284">
        <v>16786</v>
      </c>
    </row>
    <row r="88" spans="1:33">
      <c r="A88" s="641" t="s">
        <v>282</v>
      </c>
      <c r="B88" s="960" t="s">
        <v>120</v>
      </c>
      <c r="C88" s="23">
        <v>4692</v>
      </c>
      <c r="D88" s="21">
        <v>1785</v>
      </c>
      <c r="E88" s="23">
        <v>307</v>
      </c>
      <c r="F88" s="23">
        <v>181</v>
      </c>
      <c r="G88" s="23">
        <v>408</v>
      </c>
      <c r="H88" s="24">
        <v>165</v>
      </c>
      <c r="I88" s="23">
        <v>195</v>
      </c>
      <c r="J88" s="116">
        <v>19</v>
      </c>
      <c r="K88" s="31"/>
      <c r="L88" s="119">
        <v>189</v>
      </c>
      <c r="M88" s="23">
        <v>553</v>
      </c>
      <c r="N88" s="24">
        <v>48</v>
      </c>
      <c r="O88" s="414">
        <v>237</v>
      </c>
      <c r="P88" s="413">
        <f>SUM(C88:O88)</f>
        <v>8779</v>
      </c>
      <c r="Q88" s="52"/>
      <c r="R88" s="119">
        <v>26</v>
      </c>
      <c r="S88" s="23">
        <v>9</v>
      </c>
      <c r="T88" s="116">
        <v>3125</v>
      </c>
      <c r="U88" s="53"/>
      <c r="V88" s="128">
        <v>822</v>
      </c>
      <c r="W88" s="448">
        <f>SUM(R88:V88)</f>
        <v>3982</v>
      </c>
      <c r="X88" s="60"/>
      <c r="Y88" s="1891">
        <v>7948</v>
      </c>
      <c r="Z88" s="1096">
        <f>(P88-W88)*1000000/invanare</f>
        <v>479.9326233425341</v>
      </c>
      <c r="AA88" s="1097">
        <f>Y88*1000000/invanare</f>
        <v>795.18542637616451</v>
      </c>
      <c r="AB88" s="1125">
        <v>776.36654164742583</v>
      </c>
      <c r="AC88" s="1895">
        <f>IF(ISERROR((AA88-AB88)/AB88)," ",((AA88-AB88)/AB88))</f>
        <v>2.4239690557511132E-2</v>
      </c>
      <c r="AD88" s="1926"/>
      <c r="AE88" s="1092"/>
      <c r="AF88" s="1891">
        <v>4796</v>
      </c>
      <c r="AG88" s="2284">
        <v>7612</v>
      </c>
    </row>
    <row r="89" spans="1:33" ht="12.75" customHeight="1" thickBot="1">
      <c r="A89" s="645" t="s">
        <v>283</v>
      </c>
      <c r="B89" s="967" t="s">
        <v>121</v>
      </c>
      <c r="C89" s="426">
        <f>SUM(C87:C88)</f>
        <v>12575</v>
      </c>
      <c r="D89" s="427">
        <f t="shared" ref="D89:P89" si="20">SUM(D87:D88)</f>
        <v>4675</v>
      </c>
      <c r="E89" s="426">
        <f t="shared" si="20"/>
        <v>1250</v>
      </c>
      <c r="F89" s="426">
        <f t="shared" si="20"/>
        <v>11937</v>
      </c>
      <c r="G89" s="426">
        <f t="shared" si="20"/>
        <v>2210</v>
      </c>
      <c r="H89" s="427">
        <f t="shared" si="20"/>
        <v>1142</v>
      </c>
      <c r="I89" s="426">
        <f t="shared" si="20"/>
        <v>1085</v>
      </c>
      <c r="J89" s="428">
        <f t="shared" si="20"/>
        <v>53</v>
      </c>
      <c r="K89" s="166"/>
      <c r="L89" s="425">
        <f>SUM(L87:L88)</f>
        <v>887</v>
      </c>
      <c r="M89" s="426">
        <f t="shared" si="20"/>
        <v>2553</v>
      </c>
      <c r="N89" s="427">
        <f t="shared" si="20"/>
        <v>129</v>
      </c>
      <c r="O89" s="427">
        <f t="shared" si="20"/>
        <v>794</v>
      </c>
      <c r="P89" s="428">
        <f t="shared" si="20"/>
        <v>39290</v>
      </c>
      <c r="Q89" s="55"/>
      <c r="R89" s="425">
        <f>SUM(R87:R88)</f>
        <v>44</v>
      </c>
      <c r="S89" s="426">
        <f>SUM(S87:S88)</f>
        <v>115</v>
      </c>
      <c r="T89" s="428">
        <f>SUM(T87:T88)</f>
        <v>33176</v>
      </c>
      <c r="U89" s="55"/>
      <c r="V89" s="452">
        <f>SUM(V87:V88)</f>
        <v>1813</v>
      </c>
      <c r="W89" s="451">
        <f>SUM(W87:W88)</f>
        <v>35148</v>
      </c>
      <c r="X89" s="61"/>
      <c r="Y89" s="1900">
        <v>37356</v>
      </c>
      <c r="Z89" s="1126">
        <f>(P89-W89)*1000000/invanare</f>
        <v>414.40086009688895</v>
      </c>
      <c r="AA89" s="1127">
        <f>Y89*1000000/invanare</f>
        <v>3737.4115233653752</v>
      </c>
      <c r="AB89" s="1089">
        <v>2131.5565692354403</v>
      </c>
      <c r="AC89" s="1901">
        <f>IF(ISERROR((AA89-AB89)/AB89)," ",((AA89-AB89)/AB89))</f>
        <v>0.75337196174246157</v>
      </c>
      <c r="AD89" s="1926"/>
      <c r="AE89" s="1092"/>
      <c r="AF89" s="1913">
        <v>4140</v>
      </c>
      <c r="AG89" s="2289">
        <v>24397</v>
      </c>
    </row>
    <row r="90" spans="1:33" ht="12.75" customHeight="1" thickBot="1">
      <c r="A90" s="645" t="s">
        <v>284</v>
      </c>
      <c r="B90" s="967" t="s">
        <v>28</v>
      </c>
      <c r="C90" s="420">
        <f t="shared" ref="C90:J90" si="21">SUM(C17,C30,C43,C68,C85,C89)</f>
        <v>232558</v>
      </c>
      <c r="D90" s="421">
        <f t="shared" si="21"/>
        <v>88394</v>
      </c>
      <c r="E90" s="420">
        <f t="shared" si="21"/>
        <v>24437</v>
      </c>
      <c r="F90" s="420">
        <f t="shared" si="21"/>
        <v>122870</v>
      </c>
      <c r="G90" s="420">
        <f t="shared" si="21"/>
        <v>36489</v>
      </c>
      <c r="H90" s="421">
        <f t="shared" si="21"/>
        <v>25565</v>
      </c>
      <c r="I90" s="420">
        <f t="shared" si="21"/>
        <v>19334</v>
      </c>
      <c r="J90" s="422">
        <f t="shared" si="21"/>
        <v>10428</v>
      </c>
      <c r="K90" s="165"/>
      <c r="L90" s="423">
        <f>SUM(L17,L30,L43,L68,L85,L89)</f>
        <v>34205</v>
      </c>
      <c r="M90" s="420">
        <f>SUM(M17,M30,M43,M68,M85,M89)</f>
        <v>77770</v>
      </c>
      <c r="N90" s="421">
        <f>SUM(N17,N30,N43,N68,N85,N89)</f>
        <v>2631</v>
      </c>
      <c r="O90" s="421">
        <f>SUM(O17,O30,O43,O68,O85,O89)</f>
        <v>15117</v>
      </c>
      <c r="P90" s="422">
        <f>SUM(P17,P30,P43,P68,P85,P89)</f>
        <v>689798</v>
      </c>
      <c r="Q90" s="52"/>
      <c r="R90" s="423">
        <f>SUM(R17,R30,R43,R68,R85,R89)</f>
        <v>20324</v>
      </c>
      <c r="S90" s="420">
        <f>SUM(S17,S30,S43,S68,S85,S89)</f>
        <v>7452</v>
      </c>
      <c r="T90" s="422">
        <f>SUM(T17,T30,T43,T68,T85,T89)</f>
        <v>94396</v>
      </c>
      <c r="U90" s="52"/>
      <c r="V90" s="450">
        <f>SUM(V17,V30,V43,V68,V85,V89)</f>
        <v>63236</v>
      </c>
      <c r="W90" s="449">
        <f>SUM(W17,W30,W43,W68,W85,W89)</f>
        <v>185408</v>
      </c>
      <c r="X90" s="60"/>
      <c r="Y90" s="1900">
        <v>615300</v>
      </c>
      <c r="Z90" s="1126">
        <f>(P90-W90)*1000000/invanare</f>
        <v>50463.459638886969</v>
      </c>
      <c r="AA90" s="1127">
        <f>SUM(AA17,AA30,AA37,AA42,AA51,AA67,AA77,AA83,AA89)</f>
        <v>61372.147079689523</v>
      </c>
      <c r="AB90" s="1089">
        <v>57749.671937425352</v>
      </c>
      <c r="AC90" s="1901">
        <f>IF(ISERROR((AA90-AB90)/AB90)," ",((AA90-AB90)/AB90))</f>
        <v>6.2727198627020836E-2</v>
      </c>
      <c r="AD90" s="1926"/>
      <c r="AE90" s="1128">
        <f>IF(ISERROR(F90/(AA90/1000*invanare)),"",(F90/(AA90/100000*invanare)))</f>
        <v>2.0030191189128566E-2</v>
      </c>
      <c r="AF90" s="1917">
        <v>504388</v>
      </c>
      <c r="AG90" s="2290">
        <v>478131</v>
      </c>
    </row>
    <row r="91" spans="1:33">
      <c r="A91" s="965"/>
      <c r="B91" s="968" t="s">
        <v>122</v>
      </c>
      <c r="C91" s="500"/>
      <c r="D91" s="501"/>
      <c r="E91" s="502"/>
      <c r="F91" s="502"/>
      <c r="G91" s="502"/>
      <c r="H91" s="501"/>
      <c r="I91" s="502"/>
      <c r="J91" s="503"/>
      <c r="K91" s="31"/>
      <c r="L91" s="508"/>
      <c r="M91" s="502"/>
      <c r="N91" s="501"/>
      <c r="O91" s="501"/>
      <c r="P91" s="503"/>
      <c r="Q91" s="53"/>
      <c r="R91" s="508"/>
      <c r="S91" s="502"/>
      <c r="T91" s="503"/>
      <c r="U91" s="53"/>
      <c r="V91" s="510"/>
      <c r="W91" s="511"/>
      <c r="X91" s="31"/>
      <c r="Y91" s="1912"/>
      <c r="Z91" s="1091"/>
      <c r="AA91" s="1078"/>
      <c r="AB91" s="1079"/>
      <c r="AC91" s="1892"/>
      <c r="AD91" s="339"/>
      <c r="AE91" s="1092">
        <f>IF(ISERROR(F90/(AA90/1000*invanare)),"",((SUM(Motpart!D40,Motpart!F40)-SUM(Motpart!D38,Motpart!D39,Motpart!F38,Motpart!F39))/(AA90/100000*invanare)))</f>
        <v>1.6015349904796684E-2</v>
      </c>
      <c r="AF91" s="1889"/>
      <c r="AG91" s="2287"/>
    </row>
    <row r="92" spans="1:33">
      <c r="A92" s="965"/>
      <c r="B92" s="968" t="s">
        <v>123</v>
      </c>
      <c r="C92" s="504"/>
      <c r="D92" s="505"/>
      <c r="E92" s="506"/>
      <c r="F92" s="506"/>
      <c r="G92" s="506"/>
      <c r="H92" s="505"/>
      <c r="I92" s="506"/>
      <c r="J92" s="507"/>
      <c r="K92" s="31"/>
      <c r="L92" s="509"/>
      <c r="M92" s="506"/>
      <c r="N92" s="505"/>
      <c r="O92" s="505"/>
      <c r="P92" s="507"/>
      <c r="Q92" s="53"/>
      <c r="R92" s="509"/>
      <c r="S92" s="506"/>
      <c r="T92" s="507"/>
      <c r="U92" s="53"/>
      <c r="V92" s="512"/>
      <c r="W92" s="513"/>
      <c r="X92" s="31"/>
      <c r="Y92" s="1912"/>
      <c r="Z92" s="1078"/>
      <c r="AA92" s="1078"/>
      <c r="AB92" s="1079"/>
      <c r="AC92" s="1892"/>
      <c r="AD92" s="339"/>
      <c r="AE92" s="1110">
        <f>(C113-C109+D113-D109)*1000/invanare</f>
        <v>34.616378558687394</v>
      </c>
      <c r="AF92" s="1890"/>
      <c r="AG92" s="2288"/>
    </row>
    <row r="93" spans="1:33" s="588" customFormat="1">
      <c r="A93" s="981" t="s">
        <v>285</v>
      </c>
      <c r="B93" s="980" t="s">
        <v>124</v>
      </c>
      <c r="C93" s="72">
        <v>205</v>
      </c>
      <c r="D93" s="1583">
        <v>80</v>
      </c>
      <c r="E93" s="72">
        <v>573</v>
      </c>
      <c r="F93" s="72">
        <v>28</v>
      </c>
      <c r="G93" s="72">
        <v>436</v>
      </c>
      <c r="H93" s="1583">
        <v>13</v>
      </c>
      <c r="I93" s="72">
        <v>181</v>
      </c>
      <c r="J93" s="114">
        <v>700</v>
      </c>
      <c r="K93" s="584"/>
      <c r="L93" s="484">
        <v>89</v>
      </c>
      <c r="M93" s="72">
        <v>217</v>
      </c>
      <c r="N93" s="1583">
        <v>4</v>
      </c>
      <c r="O93" s="1584">
        <v>67</v>
      </c>
      <c r="P93" s="481">
        <f>SUM(C93:O93)</f>
        <v>2593</v>
      </c>
      <c r="Q93" s="585"/>
      <c r="R93" s="484">
        <v>79</v>
      </c>
      <c r="S93" s="72">
        <v>1162</v>
      </c>
      <c r="T93" s="114">
        <v>1616</v>
      </c>
      <c r="U93" s="586"/>
      <c r="V93" s="1585">
        <v>900</v>
      </c>
      <c r="W93" s="1586">
        <f>SUM(R93:V93)</f>
        <v>3757</v>
      </c>
      <c r="X93" s="587"/>
      <c r="Y93" s="2281">
        <v>1689</v>
      </c>
      <c r="Z93" s="1129"/>
      <c r="AA93" s="1130"/>
      <c r="AB93" s="1130"/>
      <c r="AC93" s="1902"/>
      <c r="AD93" s="1922"/>
      <c r="AE93" s="1131">
        <f>IF(ISERROR(F90/(AA90/1000*invanare)),"",AE92*invanare/10/(P125-P109+J109))</f>
        <v>55.401553823391893</v>
      </c>
      <c r="AF93" s="1891">
        <v>-1165</v>
      </c>
      <c r="AG93" s="2284">
        <v>1650</v>
      </c>
    </row>
    <row r="94" spans="1:33">
      <c r="A94" s="641" t="s">
        <v>286</v>
      </c>
      <c r="B94" s="960" t="s">
        <v>29</v>
      </c>
      <c r="C94" s="23">
        <v>30</v>
      </c>
      <c r="D94" s="21">
        <v>12</v>
      </c>
      <c r="E94" s="23">
        <v>66</v>
      </c>
      <c r="F94" s="23">
        <v>33</v>
      </c>
      <c r="G94" s="23">
        <v>42</v>
      </c>
      <c r="H94" s="24">
        <v>0</v>
      </c>
      <c r="I94" s="23">
        <v>4</v>
      </c>
      <c r="J94" s="116">
        <v>289</v>
      </c>
      <c r="K94" s="31"/>
      <c r="L94" s="119">
        <v>8</v>
      </c>
      <c r="M94" s="23">
        <v>51</v>
      </c>
      <c r="N94" s="24">
        <v>1</v>
      </c>
      <c r="O94" s="414">
        <v>15</v>
      </c>
      <c r="P94" s="413">
        <f>SUM(C94:O94)</f>
        <v>551</v>
      </c>
      <c r="Q94" s="52"/>
      <c r="R94" s="119">
        <v>126</v>
      </c>
      <c r="S94" s="23">
        <v>21</v>
      </c>
      <c r="T94" s="116">
        <v>348</v>
      </c>
      <c r="U94" s="53"/>
      <c r="V94" s="128">
        <v>32</v>
      </c>
      <c r="W94" s="448">
        <f>SUM(R94:V94)</f>
        <v>527</v>
      </c>
      <c r="X94" s="60"/>
      <c r="Y94" s="1890">
        <v>501</v>
      </c>
      <c r="Z94" s="1122"/>
      <c r="AA94" s="1123"/>
      <c r="AB94" s="1124"/>
      <c r="AC94" s="1899"/>
      <c r="AD94" s="339"/>
      <c r="AE94" s="1092"/>
      <c r="AF94" s="1891">
        <v>24</v>
      </c>
      <c r="AG94" s="2284">
        <v>486</v>
      </c>
    </row>
    <row r="95" spans="1:33">
      <c r="A95" s="641" t="s">
        <v>287</v>
      </c>
      <c r="B95" s="960" t="s">
        <v>30</v>
      </c>
      <c r="C95" s="23">
        <v>296</v>
      </c>
      <c r="D95" s="21">
        <v>111</v>
      </c>
      <c r="E95" s="23">
        <v>323</v>
      </c>
      <c r="F95" s="23">
        <v>70</v>
      </c>
      <c r="G95" s="23">
        <v>327</v>
      </c>
      <c r="H95" s="24">
        <v>22</v>
      </c>
      <c r="I95" s="23">
        <v>83</v>
      </c>
      <c r="J95" s="116">
        <v>229</v>
      </c>
      <c r="K95" s="31"/>
      <c r="L95" s="119">
        <v>21</v>
      </c>
      <c r="M95" s="23">
        <v>192</v>
      </c>
      <c r="N95" s="24">
        <v>7</v>
      </c>
      <c r="O95" s="414">
        <v>24</v>
      </c>
      <c r="P95" s="413">
        <f>SUM(C95:O95)</f>
        <v>1705</v>
      </c>
      <c r="Q95" s="52"/>
      <c r="R95" s="119">
        <v>142</v>
      </c>
      <c r="S95" s="23">
        <v>182</v>
      </c>
      <c r="T95" s="116">
        <v>1000</v>
      </c>
      <c r="U95" s="53"/>
      <c r="V95" s="128">
        <v>733</v>
      </c>
      <c r="W95" s="448">
        <f>SUM(R95:V95)</f>
        <v>2057</v>
      </c>
      <c r="X95" s="60"/>
      <c r="Y95" s="1890">
        <v>917</v>
      </c>
      <c r="Z95" s="1122"/>
      <c r="AA95" s="1123"/>
      <c r="AB95" s="1124"/>
      <c r="AC95" s="1899"/>
      <c r="AD95" s="339"/>
      <c r="AE95" s="1092"/>
      <c r="AF95" s="1891">
        <v>-352</v>
      </c>
      <c r="AG95" s="2284">
        <v>880</v>
      </c>
    </row>
    <row r="96" spans="1:33">
      <c r="A96" s="641" t="s">
        <v>288</v>
      </c>
      <c r="B96" s="960" t="s">
        <v>31</v>
      </c>
      <c r="C96" s="23">
        <v>168</v>
      </c>
      <c r="D96" s="21">
        <v>65</v>
      </c>
      <c r="E96" s="23">
        <v>329</v>
      </c>
      <c r="F96" s="23">
        <v>10</v>
      </c>
      <c r="G96" s="23">
        <v>175</v>
      </c>
      <c r="H96" s="24">
        <v>14</v>
      </c>
      <c r="I96" s="23">
        <v>343</v>
      </c>
      <c r="J96" s="116">
        <v>1402</v>
      </c>
      <c r="K96" s="31"/>
      <c r="L96" s="119">
        <v>86</v>
      </c>
      <c r="M96" s="23">
        <v>136</v>
      </c>
      <c r="N96" s="24">
        <v>0</v>
      </c>
      <c r="O96" s="414">
        <v>115</v>
      </c>
      <c r="P96" s="413">
        <f>SUM(C96:O96)</f>
        <v>2843</v>
      </c>
      <c r="Q96" s="52"/>
      <c r="R96" s="119">
        <v>16</v>
      </c>
      <c r="S96" s="23">
        <v>603</v>
      </c>
      <c r="T96" s="116">
        <v>1947</v>
      </c>
      <c r="U96" s="53"/>
      <c r="V96" s="128">
        <v>213</v>
      </c>
      <c r="W96" s="448">
        <f>SUM(R96:V96)</f>
        <v>2779</v>
      </c>
      <c r="X96" s="60"/>
      <c r="Y96" s="1890">
        <v>2607</v>
      </c>
      <c r="Z96" s="1122"/>
      <c r="AA96" s="1123"/>
      <c r="AB96" s="1124"/>
      <c r="AC96" s="1899"/>
      <c r="AD96" s="339"/>
      <c r="AE96" s="1092"/>
      <c r="AF96" s="1891">
        <v>64</v>
      </c>
      <c r="AG96" s="2284">
        <v>2605</v>
      </c>
    </row>
    <row r="97" spans="1:33">
      <c r="A97" s="641" t="s">
        <v>289</v>
      </c>
      <c r="B97" s="960" t="s">
        <v>32</v>
      </c>
      <c r="C97" s="404">
        <f>SUM(C93:C96)</f>
        <v>699</v>
      </c>
      <c r="D97" s="26">
        <f t="shared" ref="D97:P97" si="22">SUM(D93:D96)</f>
        <v>268</v>
      </c>
      <c r="E97" s="404">
        <f t="shared" si="22"/>
        <v>1291</v>
      </c>
      <c r="F97" s="404">
        <f t="shared" si="22"/>
        <v>141</v>
      </c>
      <c r="G97" s="404">
        <f t="shared" si="22"/>
        <v>980</v>
      </c>
      <c r="H97" s="26">
        <f t="shared" si="22"/>
        <v>49</v>
      </c>
      <c r="I97" s="404">
        <f t="shared" si="22"/>
        <v>611</v>
      </c>
      <c r="J97" s="120">
        <f t="shared" si="22"/>
        <v>2620</v>
      </c>
      <c r="K97" s="165"/>
      <c r="L97" s="415">
        <f>SUM(L93:L96)</f>
        <v>204</v>
      </c>
      <c r="M97" s="404">
        <f t="shared" si="22"/>
        <v>596</v>
      </c>
      <c r="N97" s="26">
        <f t="shared" si="22"/>
        <v>12</v>
      </c>
      <c r="O97" s="26">
        <f t="shared" si="22"/>
        <v>221</v>
      </c>
      <c r="P97" s="120">
        <f t="shared" si="22"/>
        <v>7692</v>
      </c>
      <c r="Q97" s="52"/>
      <c r="R97" s="415">
        <f>SUM(R93:R96)</f>
        <v>363</v>
      </c>
      <c r="S97" s="404">
        <f>SUM(S93:S96)</f>
        <v>1968</v>
      </c>
      <c r="T97" s="120">
        <f>SUM(T93:T96)</f>
        <v>4911</v>
      </c>
      <c r="U97" s="53"/>
      <c r="V97" s="131">
        <f>SUM(V93:V96)</f>
        <v>1878</v>
      </c>
      <c r="W97" s="132">
        <f>SUM(W93:W96)</f>
        <v>9120</v>
      </c>
      <c r="X97" s="60"/>
      <c r="Y97" s="1891">
        <v>5715</v>
      </c>
      <c r="Z97" s="1122"/>
      <c r="AA97" s="1123"/>
      <c r="AB97" s="1124"/>
      <c r="AC97" s="1899"/>
      <c r="AD97" s="339"/>
      <c r="AE97" s="1092"/>
      <c r="AF97" s="1891">
        <v>-1429</v>
      </c>
      <c r="AG97" s="2284">
        <v>5621</v>
      </c>
    </row>
    <row r="98" spans="1:33">
      <c r="A98" s="976"/>
      <c r="B98" s="973" t="s">
        <v>125</v>
      </c>
      <c r="C98" s="520"/>
      <c r="D98" s="519"/>
      <c r="E98" s="517"/>
      <c r="F98" s="517"/>
      <c r="G98" s="517"/>
      <c r="H98" s="519"/>
      <c r="I98" s="517"/>
      <c r="J98" s="518"/>
      <c r="K98" s="31"/>
      <c r="L98" s="516"/>
      <c r="M98" s="517"/>
      <c r="N98" s="519"/>
      <c r="O98" s="519"/>
      <c r="P98" s="518"/>
      <c r="Q98" s="53"/>
      <c r="R98" s="516"/>
      <c r="S98" s="517"/>
      <c r="T98" s="518"/>
      <c r="U98" s="53"/>
      <c r="V98" s="514"/>
      <c r="W98" s="515"/>
      <c r="X98" s="31"/>
      <c r="Y98" s="1891"/>
      <c r="Z98" s="1122"/>
      <c r="AA98" s="1123"/>
      <c r="AB98" s="1124"/>
      <c r="AC98" s="1899"/>
      <c r="AD98" s="339"/>
      <c r="AE98" s="1092"/>
      <c r="AF98" s="1891"/>
      <c r="AG98" s="2284"/>
    </row>
    <row r="99" spans="1:33">
      <c r="A99" s="641" t="s">
        <v>290</v>
      </c>
      <c r="B99" s="963" t="s">
        <v>126</v>
      </c>
      <c r="C99" s="20">
        <v>28</v>
      </c>
      <c r="D99" s="21">
        <v>11</v>
      </c>
      <c r="E99" s="20">
        <v>11</v>
      </c>
      <c r="F99" s="20">
        <v>14</v>
      </c>
      <c r="G99" s="20">
        <v>38</v>
      </c>
      <c r="H99" s="21">
        <v>82</v>
      </c>
      <c r="I99" s="20">
        <v>1</v>
      </c>
      <c r="J99" s="115">
        <v>25</v>
      </c>
      <c r="K99" s="31"/>
      <c r="L99" s="118">
        <v>7</v>
      </c>
      <c r="M99" s="20">
        <v>3</v>
      </c>
      <c r="N99" s="21">
        <v>1</v>
      </c>
      <c r="O99" s="414">
        <v>4</v>
      </c>
      <c r="P99" s="413">
        <f>SUM(C99:O99)</f>
        <v>225</v>
      </c>
      <c r="Q99" s="52"/>
      <c r="R99" s="118">
        <v>17</v>
      </c>
      <c r="S99" s="20">
        <v>4</v>
      </c>
      <c r="T99" s="115">
        <v>89</v>
      </c>
      <c r="U99" s="53"/>
      <c r="V99" s="127">
        <v>0</v>
      </c>
      <c r="W99" s="448">
        <f>SUM(R99:V99)</f>
        <v>110</v>
      </c>
      <c r="X99" s="60"/>
      <c r="Y99" s="1890">
        <v>224</v>
      </c>
      <c r="Z99" s="1122"/>
      <c r="AA99" s="1123"/>
      <c r="AB99" s="1124"/>
      <c r="AC99" s="1899"/>
      <c r="AD99" s="339"/>
      <c r="AE99" s="1092"/>
      <c r="AF99" s="1891">
        <v>115</v>
      </c>
      <c r="AG99" s="2284">
        <v>129</v>
      </c>
    </row>
    <row r="100" spans="1:33">
      <c r="A100" s="641" t="s">
        <v>291</v>
      </c>
      <c r="B100" s="971" t="s">
        <v>999</v>
      </c>
      <c r="C100" s="23">
        <v>119</v>
      </c>
      <c r="D100" s="21">
        <v>45</v>
      </c>
      <c r="E100" s="23">
        <v>31</v>
      </c>
      <c r="F100" s="23">
        <v>2032</v>
      </c>
      <c r="G100" s="23">
        <v>337</v>
      </c>
      <c r="H100" s="24">
        <v>1263</v>
      </c>
      <c r="I100" s="23">
        <v>29</v>
      </c>
      <c r="J100" s="116">
        <v>80</v>
      </c>
      <c r="K100" s="31"/>
      <c r="L100" s="119">
        <v>14</v>
      </c>
      <c r="M100" s="23">
        <v>48</v>
      </c>
      <c r="N100" s="24">
        <v>3</v>
      </c>
      <c r="O100" s="414">
        <v>15</v>
      </c>
      <c r="P100" s="413">
        <f>SUM(C100:O100)</f>
        <v>4016</v>
      </c>
      <c r="Q100" s="52"/>
      <c r="R100" s="119">
        <v>127</v>
      </c>
      <c r="S100" s="23">
        <v>14</v>
      </c>
      <c r="T100" s="116">
        <v>935</v>
      </c>
      <c r="U100" s="53"/>
      <c r="V100" s="128">
        <v>66</v>
      </c>
      <c r="W100" s="448">
        <f>SUM(R100:V100)</f>
        <v>1142</v>
      </c>
      <c r="X100" s="60"/>
      <c r="Y100" s="1890">
        <v>3950</v>
      </c>
      <c r="Z100" s="1132"/>
      <c r="AA100" s="1123"/>
      <c r="AB100" s="1124"/>
      <c r="AC100" s="1899"/>
      <c r="AD100" s="1880"/>
      <c r="AE100" s="1110"/>
      <c r="AF100" s="1891">
        <v>2875</v>
      </c>
      <c r="AG100" s="2284">
        <v>656</v>
      </c>
    </row>
    <row r="101" spans="1:33">
      <c r="A101" s="641" t="s">
        <v>292</v>
      </c>
      <c r="B101" s="960" t="s">
        <v>33</v>
      </c>
      <c r="C101" s="23">
        <v>14</v>
      </c>
      <c r="D101" s="21">
        <v>5</v>
      </c>
      <c r="E101" s="23">
        <v>3</v>
      </c>
      <c r="F101" s="23">
        <v>72</v>
      </c>
      <c r="G101" s="23">
        <v>5</v>
      </c>
      <c r="H101" s="24">
        <v>0</v>
      </c>
      <c r="I101" s="23">
        <v>0</v>
      </c>
      <c r="J101" s="116">
        <v>6</v>
      </c>
      <c r="K101" s="31"/>
      <c r="L101" s="119">
        <v>0</v>
      </c>
      <c r="M101" s="23">
        <v>2</v>
      </c>
      <c r="N101" s="24">
        <v>0</v>
      </c>
      <c r="O101" s="414">
        <v>1</v>
      </c>
      <c r="P101" s="413">
        <f>SUM(C101:O101)</f>
        <v>108</v>
      </c>
      <c r="Q101" s="52"/>
      <c r="R101" s="119">
        <v>25</v>
      </c>
      <c r="S101" s="23">
        <v>0</v>
      </c>
      <c r="T101" s="116">
        <v>75</v>
      </c>
      <c r="U101" s="53"/>
      <c r="V101" s="128">
        <v>2</v>
      </c>
      <c r="W101" s="448">
        <f>SUM(R101:V101)</f>
        <v>102</v>
      </c>
      <c r="X101" s="60"/>
      <c r="Y101" s="1890">
        <v>108</v>
      </c>
      <c r="Z101" s="1122"/>
      <c r="AA101" s="1123"/>
      <c r="AB101" s="1124"/>
      <c r="AC101" s="1899"/>
      <c r="AD101" s="339"/>
      <c r="AE101" s="1133"/>
      <c r="AF101" s="1891">
        <v>8</v>
      </c>
      <c r="AG101" s="2284">
        <v>36</v>
      </c>
    </row>
    <row r="102" spans="1:33">
      <c r="A102" s="641" t="s">
        <v>293</v>
      </c>
      <c r="B102" s="960" t="s">
        <v>34</v>
      </c>
      <c r="C102" s="404">
        <f>SUM(C99:C101)</f>
        <v>161</v>
      </c>
      <c r="D102" s="26">
        <f t="shared" ref="D102:P102" si="23">SUM(D99:D101)</f>
        <v>61</v>
      </c>
      <c r="E102" s="404">
        <f t="shared" si="23"/>
        <v>45</v>
      </c>
      <c r="F102" s="404">
        <f t="shared" si="23"/>
        <v>2118</v>
      </c>
      <c r="G102" s="404">
        <f t="shared" si="23"/>
        <v>380</v>
      </c>
      <c r="H102" s="26">
        <f t="shared" si="23"/>
        <v>1345</v>
      </c>
      <c r="I102" s="404">
        <f t="shared" si="23"/>
        <v>30</v>
      </c>
      <c r="J102" s="120">
        <f t="shared" si="23"/>
        <v>111</v>
      </c>
      <c r="K102" s="165"/>
      <c r="L102" s="415">
        <f>SUM(L99:L101)</f>
        <v>21</v>
      </c>
      <c r="M102" s="404">
        <f t="shared" si="23"/>
        <v>53</v>
      </c>
      <c r="N102" s="26">
        <f t="shared" si="23"/>
        <v>4</v>
      </c>
      <c r="O102" s="26">
        <f t="shared" si="23"/>
        <v>20</v>
      </c>
      <c r="P102" s="120">
        <f t="shared" si="23"/>
        <v>4349</v>
      </c>
      <c r="Q102" s="52"/>
      <c r="R102" s="415">
        <f>SUM(R99:R101)</f>
        <v>169</v>
      </c>
      <c r="S102" s="404">
        <f>SUM(S99:S101)</f>
        <v>18</v>
      </c>
      <c r="T102" s="120">
        <f>SUM(T99:T101)</f>
        <v>1099</v>
      </c>
      <c r="U102" s="52"/>
      <c r="V102" s="131">
        <f>SUM(V99:V101)</f>
        <v>68</v>
      </c>
      <c r="W102" s="132">
        <f>SUM(W99:W101)</f>
        <v>1354</v>
      </c>
      <c r="X102" s="60"/>
      <c r="Y102" s="1891">
        <v>4282</v>
      </c>
      <c r="Z102" s="1122"/>
      <c r="AA102" s="1123"/>
      <c r="AB102" s="1124"/>
      <c r="AC102" s="1899"/>
      <c r="AD102" s="339"/>
      <c r="AE102" s="1092"/>
      <c r="AF102" s="1891">
        <v>2997</v>
      </c>
      <c r="AG102" s="2284">
        <v>821</v>
      </c>
    </row>
    <row r="103" spans="1:33">
      <c r="A103" s="976"/>
      <c r="B103" s="973" t="s">
        <v>127</v>
      </c>
      <c r="C103" s="520"/>
      <c r="D103" s="519"/>
      <c r="E103" s="517"/>
      <c r="F103" s="517"/>
      <c r="G103" s="517"/>
      <c r="H103" s="519"/>
      <c r="I103" s="517"/>
      <c r="J103" s="518"/>
      <c r="K103" s="31"/>
      <c r="L103" s="516"/>
      <c r="M103" s="517"/>
      <c r="N103" s="519"/>
      <c r="O103" s="519"/>
      <c r="P103" s="518"/>
      <c r="Q103" s="53"/>
      <c r="R103" s="516"/>
      <c r="S103" s="517"/>
      <c r="T103" s="518"/>
      <c r="U103" s="53"/>
      <c r="V103" s="514"/>
      <c r="W103" s="515"/>
      <c r="X103" s="31"/>
      <c r="Y103" s="1913"/>
      <c r="Z103" s="1077"/>
      <c r="AA103" s="1748"/>
      <c r="AB103" s="1134"/>
      <c r="AC103" s="1903"/>
      <c r="AD103" s="339"/>
      <c r="AE103" s="1092"/>
      <c r="AF103" s="1891"/>
      <c r="AG103" s="2284"/>
    </row>
    <row r="104" spans="1:33">
      <c r="A104" s="641" t="s">
        <v>294</v>
      </c>
      <c r="B104" s="963" t="s">
        <v>128</v>
      </c>
      <c r="C104" s="20">
        <v>24</v>
      </c>
      <c r="D104" s="21">
        <v>9</v>
      </c>
      <c r="E104" s="20">
        <v>254</v>
      </c>
      <c r="F104" s="20">
        <v>15</v>
      </c>
      <c r="G104" s="20">
        <v>213</v>
      </c>
      <c r="H104" s="21">
        <v>0</v>
      </c>
      <c r="I104" s="20">
        <v>8</v>
      </c>
      <c r="J104" s="115">
        <v>117</v>
      </c>
      <c r="K104" s="31"/>
      <c r="L104" s="118">
        <v>1</v>
      </c>
      <c r="M104" s="20">
        <v>37</v>
      </c>
      <c r="N104" s="21">
        <v>1</v>
      </c>
      <c r="O104" s="414">
        <v>16</v>
      </c>
      <c r="P104" s="413">
        <f>SUM(C104:O104)</f>
        <v>695</v>
      </c>
      <c r="Q104" s="52"/>
      <c r="R104" s="118">
        <v>355</v>
      </c>
      <c r="S104" s="20">
        <v>0</v>
      </c>
      <c r="T104" s="115">
        <v>436</v>
      </c>
      <c r="U104" s="53"/>
      <c r="V104" s="127">
        <v>59</v>
      </c>
      <c r="W104" s="448">
        <f>SUM(R104:V104)</f>
        <v>850</v>
      </c>
      <c r="X104" s="60"/>
      <c r="Y104" s="1890">
        <v>635</v>
      </c>
      <c r="Z104" s="1078"/>
      <c r="AA104" s="1078"/>
      <c r="AB104" s="1078"/>
      <c r="AC104" s="1930"/>
      <c r="AD104" s="1879"/>
      <c r="AE104" s="1092"/>
      <c r="AF104" s="1891">
        <v>-155</v>
      </c>
      <c r="AG104" s="2284">
        <v>621</v>
      </c>
    </row>
    <row r="105" spans="1:33">
      <c r="A105" s="641" t="s">
        <v>295</v>
      </c>
      <c r="B105" s="960" t="s">
        <v>35</v>
      </c>
      <c r="C105" s="23">
        <v>13</v>
      </c>
      <c r="D105" s="21">
        <v>5</v>
      </c>
      <c r="E105" s="23">
        <v>172</v>
      </c>
      <c r="F105" s="23">
        <v>4</v>
      </c>
      <c r="G105" s="23">
        <v>16</v>
      </c>
      <c r="H105" s="24">
        <v>4</v>
      </c>
      <c r="I105" s="23">
        <v>1</v>
      </c>
      <c r="J105" s="116">
        <v>50</v>
      </c>
      <c r="K105" s="31"/>
      <c r="L105" s="119">
        <v>1</v>
      </c>
      <c r="M105" s="23">
        <v>23</v>
      </c>
      <c r="N105" s="24">
        <v>0</v>
      </c>
      <c r="O105" s="414">
        <v>8</v>
      </c>
      <c r="P105" s="413">
        <f>SUM(C105:O105)</f>
        <v>297</v>
      </c>
      <c r="Q105" s="52"/>
      <c r="R105" s="119">
        <v>233</v>
      </c>
      <c r="S105" s="23">
        <v>0</v>
      </c>
      <c r="T105" s="116">
        <v>15</v>
      </c>
      <c r="U105" s="53"/>
      <c r="V105" s="128">
        <v>53</v>
      </c>
      <c r="W105" s="448">
        <f>SUM(R105:V105)</f>
        <v>301</v>
      </c>
      <c r="X105" s="60"/>
      <c r="Y105" s="1890">
        <v>243</v>
      </c>
      <c r="Z105" s="1078"/>
      <c r="AA105" s="1078"/>
      <c r="AB105" s="1078"/>
      <c r="AC105" s="1930"/>
      <c r="AD105" s="1879"/>
      <c r="AE105" s="1092"/>
      <c r="AF105" s="1891">
        <v>-5</v>
      </c>
      <c r="AG105" s="2284">
        <v>235</v>
      </c>
    </row>
    <row r="106" spans="1:33">
      <c r="A106" s="641" t="s">
        <v>296</v>
      </c>
      <c r="B106" s="960" t="s">
        <v>36</v>
      </c>
      <c r="C106" s="23">
        <v>1349</v>
      </c>
      <c r="D106" s="21">
        <v>504</v>
      </c>
      <c r="E106" s="23">
        <v>2313</v>
      </c>
      <c r="F106" s="23">
        <v>1269</v>
      </c>
      <c r="G106" s="23">
        <v>1191</v>
      </c>
      <c r="H106" s="24">
        <v>7</v>
      </c>
      <c r="I106" s="23">
        <v>19</v>
      </c>
      <c r="J106" s="116">
        <v>2200</v>
      </c>
      <c r="K106" s="31"/>
      <c r="L106" s="119">
        <v>66</v>
      </c>
      <c r="M106" s="23">
        <v>1567</v>
      </c>
      <c r="N106" s="24">
        <v>40</v>
      </c>
      <c r="O106" s="414">
        <v>245</v>
      </c>
      <c r="P106" s="413">
        <f>SUM(C106:O106)</f>
        <v>10770</v>
      </c>
      <c r="Q106" s="52"/>
      <c r="R106" s="119">
        <v>9015</v>
      </c>
      <c r="S106" s="23">
        <v>7</v>
      </c>
      <c r="T106" s="116">
        <v>435</v>
      </c>
      <c r="U106" s="53"/>
      <c r="V106" s="128">
        <v>1274</v>
      </c>
      <c r="W106" s="448">
        <f>SUM(R106:V106)</f>
        <v>10731</v>
      </c>
      <c r="X106" s="60"/>
      <c r="Y106" s="1890">
        <v>9434</v>
      </c>
      <c r="Z106" s="1078"/>
      <c r="AA106" s="1078"/>
      <c r="AB106" s="1078"/>
      <c r="AC106" s="1930"/>
      <c r="AD106" s="1879"/>
      <c r="AE106" s="1092"/>
      <c r="AF106" s="1891">
        <v>39</v>
      </c>
      <c r="AG106" s="2284">
        <v>8220</v>
      </c>
    </row>
    <row r="107" spans="1:33">
      <c r="A107" s="641" t="s">
        <v>297</v>
      </c>
      <c r="B107" s="960" t="s">
        <v>37</v>
      </c>
      <c r="C107" s="23">
        <v>508</v>
      </c>
      <c r="D107" s="21">
        <v>193</v>
      </c>
      <c r="E107" s="23">
        <v>292</v>
      </c>
      <c r="F107" s="23">
        <v>1924</v>
      </c>
      <c r="G107" s="23">
        <v>737</v>
      </c>
      <c r="H107" s="24">
        <v>5</v>
      </c>
      <c r="I107" s="23">
        <v>11</v>
      </c>
      <c r="J107" s="116">
        <v>226</v>
      </c>
      <c r="K107" s="31"/>
      <c r="L107" s="119">
        <v>28</v>
      </c>
      <c r="M107" s="23">
        <v>555</v>
      </c>
      <c r="N107" s="24">
        <v>11</v>
      </c>
      <c r="O107" s="414">
        <v>64</v>
      </c>
      <c r="P107" s="413">
        <f>SUM(C107:O107)</f>
        <v>4554</v>
      </c>
      <c r="Q107" s="52"/>
      <c r="R107" s="119">
        <v>3704</v>
      </c>
      <c r="S107" s="23">
        <v>4</v>
      </c>
      <c r="T107" s="116">
        <v>208</v>
      </c>
      <c r="U107" s="53"/>
      <c r="V107" s="128">
        <v>461</v>
      </c>
      <c r="W107" s="448">
        <f>SUM(R107:V107)</f>
        <v>4377</v>
      </c>
      <c r="X107" s="60"/>
      <c r="Y107" s="1890">
        <v>4079</v>
      </c>
      <c r="Z107" s="1078"/>
      <c r="AA107" s="1078"/>
      <c r="AB107" s="1078"/>
      <c r="AC107" s="1930"/>
      <c r="AD107" s="1879"/>
      <c r="AE107" s="1092"/>
      <c r="AF107" s="1891">
        <v>176</v>
      </c>
      <c r="AG107" s="2284">
        <v>2164</v>
      </c>
    </row>
    <row r="108" spans="1:33" ht="12.75" customHeight="1">
      <c r="A108" s="641" t="s">
        <v>298</v>
      </c>
      <c r="B108" s="960" t="s">
        <v>129</v>
      </c>
      <c r="C108" s="404">
        <f>SUM(C104:C107)</f>
        <v>1894</v>
      </c>
      <c r="D108" s="26">
        <f t="shared" ref="D108:P108" si="24">SUM(D104:D107)</f>
        <v>711</v>
      </c>
      <c r="E108" s="404">
        <f t="shared" si="24"/>
        <v>3031</v>
      </c>
      <c r="F108" s="404">
        <f t="shared" si="24"/>
        <v>3212</v>
      </c>
      <c r="G108" s="404">
        <f t="shared" si="24"/>
        <v>2157</v>
      </c>
      <c r="H108" s="26">
        <f t="shared" si="24"/>
        <v>16</v>
      </c>
      <c r="I108" s="404">
        <f t="shared" si="24"/>
        <v>39</v>
      </c>
      <c r="J108" s="120">
        <f t="shared" si="24"/>
        <v>2593</v>
      </c>
      <c r="K108" s="165"/>
      <c r="L108" s="415">
        <f>SUM(L104:L107)</f>
        <v>96</v>
      </c>
      <c r="M108" s="404">
        <f t="shared" si="24"/>
        <v>2182</v>
      </c>
      <c r="N108" s="26">
        <f t="shared" si="24"/>
        <v>52</v>
      </c>
      <c r="O108" s="26">
        <f t="shared" si="24"/>
        <v>333</v>
      </c>
      <c r="P108" s="120">
        <f t="shared" si="24"/>
        <v>16316</v>
      </c>
      <c r="Q108" s="52"/>
      <c r="R108" s="415">
        <f>SUM(R104:R107)</f>
        <v>13307</v>
      </c>
      <c r="S108" s="404">
        <f>SUM(S104:S107)</f>
        <v>11</v>
      </c>
      <c r="T108" s="120">
        <f>SUM(T104:T107)</f>
        <v>1094</v>
      </c>
      <c r="U108" s="52"/>
      <c r="V108" s="131">
        <f>SUM(V104:V107)</f>
        <v>1847</v>
      </c>
      <c r="W108" s="132">
        <f>SUM(W104:W107)</f>
        <v>16259</v>
      </c>
      <c r="X108" s="60"/>
      <c r="Y108" s="1891">
        <v>14392</v>
      </c>
      <c r="Z108" s="1078"/>
      <c r="AA108" s="1078"/>
      <c r="AB108" s="1078"/>
      <c r="AC108" s="1930"/>
      <c r="AD108" s="1879"/>
      <c r="AE108" s="1092"/>
      <c r="AF108" s="1891">
        <v>56</v>
      </c>
      <c r="AG108" s="2284">
        <v>11239</v>
      </c>
    </row>
    <row r="109" spans="1:33" ht="12.75" customHeight="1">
      <c r="A109" s="641" t="s">
        <v>299</v>
      </c>
      <c r="B109" s="960" t="s">
        <v>38</v>
      </c>
      <c r="C109" s="404">
        <f>SUM(C97,C102,C108)</f>
        <v>2754</v>
      </c>
      <c r="D109" s="26">
        <f t="shared" ref="D109:P109" si="25">SUM(D97,D102,D108)</f>
        <v>1040</v>
      </c>
      <c r="E109" s="404">
        <f t="shared" si="25"/>
        <v>4367</v>
      </c>
      <c r="F109" s="404">
        <f t="shared" si="25"/>
        <v>5471</v>
      </c>
      <c r="G109" s="404">
        <f t="shared" si="25"/>
        <v>3517</v>
      </c>
      <c r="H109" s="26">
        <f t="shared" si="25"/>
        <v>1410</v>
      </c>
      <c r="I109" s="404">
        <f t="shared" si="25"/>
        <v>680</v>
      </c>
      <c r="J109" s="120">
        <f t="shared" si="25"/>
        <v>5324</v>
      </c>
      <c r="K109" s="165"/>
      <c r="L109" s="415">
        <f>SUM(L97,L102,L108)</f>
        <v>321</v>
      </c>
      <c r="M109" s="404">
        <f t="shared" si="25"/>
        <v>2831</v>
      </c>
      <c r="N109" s="26">
        <f t="shared" si="25"/>
        <v>68</v>
      </c>
      <c r="O109" s="26">
        <f t="shared" si="25"/>
        <v>574</v>
      </c>
      <c r="P109" s="120">
        <f t="shared" si="25"/>
        <v>28357</v>
      </c>
      <c r="Q109" s="52"/>
      <c r="R109" s="415">
        <f>SUM(R97,R102,R108)</f>
        <v>13839</v>
      </c>
      <c r="S109" s="404">
        <f>SUM(S97,S102,S108)</f>
        <v>1997</v>
      </c>
      <c r="T109" s="120">
        <f>SUM(T97,T102,T108)</f>
        <v>7104</v>
      </c>
      <c r="U109" s="52"/>
      <c r="V109" s="131">
        <f>SUM(V97,V102,V108)</f>
        <v>3793</v>
      </c>
      <c r="W109" s="132">
        <f>SUM(W97,W102,W108)</f>
        <v>26733</v>
      </c>
      <c r="X109" s="60"/>
      <c r="Y109" s="1891">
        <v>24389</v>
      </c>
      <c r="Z109" s="1096">
        <f>(P109-W109)*1000000/invanare</f>
        <v>162.4787534517981</v>
      </c>
      <c r="AA109" s="1097">
        <f>Y109*1000000/invanare</f>
        <v>2440.0827080886106</v>
      </c>
      <c r="AB109" s="1113">
        <v>2436.3981911715309</v>
      </c>
      <c r="AC109" s="1895">
        <f>IF(ISERROR((AA109-AB109)/AB109)," ",((AA109-AB109)/AB109))</f>
        <v>1.5122802711111879E-3</v>
      </c>
      <c r="AD109" s="1926"/>
      <c r="AE109" s="1094">
        <f>IF(ISERROR(F109/(AA109/1000*invanare)),"",(F109/(AA109/100000*invanare)))</f>
        <v>2.2432244044446267E-2</v>
      </c>
      <c r="AF109" s="1891">
        <v>1624</v>
      </c>
      <c r="AG109" s="2284">
        <v>17682</v>
      </c>
    </row>
    <row r="110" spans="1:33" ht="12.75" customHeight="1" thickBot="1">
      <c r="A110" s="645" t="s">
        <v>300</v>
      </c>
      <c r="B110" s="960" t="s">
        <v>130</v>
      </c>
      <c r="C110" s="404">
        <f>SUM(C90,C109)</f>
        <v>235312</v>
      </c>
      <c r="D110" s="429">
        <f t="shared" ref="D110:P110" si="26">SUM(D90,D109)</f>
        <v>89434</v>
      </c>
      <c r="E110" s="404">
        <f t="shared" si="26"/>
        <v>28804</v>
      </c>
      <c r="F110" s="404">
        <f t="shared" si="26"/>
        <v>128341</v>
      </c>
      <c r="G110" s="404">
        <f t="shared" si="26"/>
        <v>40006</v>
      </c>
      <c r="H110" s="26">
        <f t="shared" si="26"/>
        <v>26975</v>
      </c>
      <c r="I110" s="404">
        <f t="shared" si="26"/>
        <v>20014</v>
      </c>
      <c r="J110" s="120">
        <f t="shared" si="26"/>
        <v>15752</v>
      </c>
      <c r="K110" s="165"/>
      <c r="L110" s="415">
        <f>SUM(L90,L109)</f>
        <v>34526</v>
      </c>
      <c r="M110" s="404">
        <f t="shared" si="26"/>
        <v>80601</v>
      </c>
      <c r="N110" s="421">
        <f t="shared" si="26"/>
        <v>2699</v>
      </c>
      <c r="O110" s="421">
        <f t="shared" si="26"/>
        <v>15691</v>
      </c>
      <c r="P110" s="120">
        <f t="shared" si="26"/>
        <v>718155</v>
      </c>
      <c r="Q110" s="52"/>
      <c r="R110" s="415">
        <f>SUM(R90,R109)</f>
        <v>34163</v>
      </c>
      <c r="S110" s="404">
        <f>SUM(S90,S109)</f>
        <v>9449</v>
      </c>
      <c r="T110" s="120">
        <f>SUM(T90,T109)</f>
        <v>101500</v>
      </c>
      <c r="U110" s="52"/>
      <c r="V110" s="131">
        <f>SUM(V90,V109)</f>
        <v>67029</v>
      </c>
      <c r="W110" s="132">
        <f>SUM(W90,W109)</f>
        <v>212141</v>
      </c>
      <c r="X110" s="60"/>
      <c r="Y110" s="1119">
        <v>639689</v>
      </c>
      <c r="Z110" s="1135"/>
      <c r="AA110" s="1136"/>
      <c r="AB110" s="1137"/>
      <c r="AC110" s="1904"/>
      <c r="AD110" s="339"/>
      <c r="AE110" s="1092">
        <f>IF(ISERROR(F109/(AA109/1000*invanare)),"",SUM(Motpart!D38,Motpart!F38)/(AA109/100000*invanare))</f>
        <v>1.1509286973635655E-2</v>
      </c>
      <c r="AF110" s="1919">
        <v>506012</v>
      </c>
      <c r="AG110" s="2291">
        <v>495813</v>
      </c>
    </row>
    <row r="111" spans="1:33">
      <c r="A111" s="641" t="s">
        <v>301</v>
      </c>
      <c r="B111" s="982" t="s">
        <v>39</v>
      </c>
      <c r="C111" s="28">
        <v>2498</v>
      </c>
      <c r="D111" s="29">
        <v>957</v>
      </c>
      <c r="E111" s="28">
        <v>6905</v>
      </c>
      <c r="F111" s="28">
        <v>445</v>
      </c>
      <c r="G111" s="28">
        <v>4163</v>
      </c>
      <c r="H111" s="29">
        <v>25</v>
      </c>
      <c r="I111" s="28">
        <v>9515</v>
      </c>
      <c r="J111" s="117">
        <v>11406</v>
      </c>
      <c r="K111" s="31"/>
      <c r="L111" s="121">
        <v>443</v>
      </c>
      <c r="M111" s="28">
        <v>4053</v>
      </c>
      <c r="N111" s="430">
        <v>0</v>
      </c>
      <c r="O111" s="431">
        <v>0</v>
      </c>
      <c r="P111" s="130">
        <f>SUM(C111:O111)</f>
        <v>40410</v>
      </c>
      <c r="Q111" s="52"/>
      <c r="R111" s="121">
        <v>111</v>
      </c>
      <c r="S111" s="28">
        <v>3523</v>
      </c>
      <c r="T111" s="117">
        <v>959</v>
      </c>
      <c r="U111" s="53"/>
      <c r="V111" s="129">
        <v>35979</v>
      </c>
      <c r="W111" s="130">
        <f>SUM(R111:V111)</f>
        <v>40572</v>
      </c>
      <c r="X111" s="60"/>
      <c r="Y111" s="1888"/>
      <c r="Z111" s="1122"/>
      <c r="AA111" s="1123"/>
      <c r="AB111" s="1124"/>
      <c r="AC111" s="1899"/>
      <c r="AD111" s="1923"/>
      <c r="AE111" s="1087"/>
      <c r="AF111" s="1924"/>
      <c r="AG111" s="2283"/>
    </row>
    <row r="112" spans="1:33" ht="13.5" thickBot="1">
      <c r="A112" s="643" t="s">
        <v>302</v>
      </c>
      <c r="B112" s="960" t="s">
        <v>40</v>
      </c>
      <c r="C112" s="23">
        <v>15691</v>
      </c>
      <c r="D112" s="21">
        <v>5898</v>
      </c>
      <c r="E112" s="23">
        <v>4521</v>
      </c>
      <c r="F112" s="23">
        <v>427</v>
      </c>
      <c r="G112" s="23">
        <v>10661</v>
      </c>
      <c r="H112" s="24">
        <v>406</v>
      </c>
      <c r="I112" s="23">
        <v>760</v>
      </c>
      <c r="J112" s="116">
        <v>1951</v>
      </c>
      <c r="K112" s="31"/>
      <c r="L112" s="119">
        <v>1517</v>
      </c>
      <c r="M112" s="23">
        <v>7729</v>
      </c>
      <c r="N112" s="432"/>
      <c r="O112" s="433"/>
      <c r="P112" s="434">
        <f>SUM(C112:O112)</f>
        <v>49561</v>
      </c>
      <c r="Q112" s="52"/>
      <c r="R112" s="122">
        <v>499</v>
      </c>
      <c r="S112" s="123">
        <v>184</v>
      </c>
      <c r="T112" s="124">
        <v>4256</v>
      </c>
      <c r="U112" s="53"/>
      <c r="V112" s="131">
        <f>SUM(I118:I120)</f>
        <v>44622</v>
      </c>
      <c r="W112" s="132">
        <f>SUM(R112:V112)</f>
        <v>49561</v>
      </c>
      <c r="X112" s="60"/>
      <c r="Y112" s="1890"/>
      <c r="Z112" s="1138"/>
      <c r="AA112" s="1099"/>
      <c r="AB112" s="1100"/>
      <c r="AC112" s="1896"/>
      <c r="AD112" s="339"/>
      <c r="AE112" s="1087"/>
      <c r="AF112" s="1887"/>
      <c r="AG112" s="2283"/>
    </row>
    <row r="113" spans="1:33" ht="12.75" customHeight="1" thickBot="1">
      <c r="A113" s="733" t="s">
        <v>303</v>
      </c>
      <c r="B113" s="983" t="s">
        <v>41</v>
      </c>
      <c r="C113" s="438">
        <f>SUM(C110:C112)</f>
        <v>253501</v>
      </c>
      <c r="D113" s="437">
        <f t="shared" ref="D113:W113" si="27">SUM(D110:D112)</f>
        <v>96289</v>
      </c>
      <c r="E113" s="436">
        <f t="shared" si="27"/>
        <v>40230</v>
      </c>
      <c r="F113" s="436">
        <f t="shared" si="27"/>
        <v>129213</v>
      </c>
      <c r="G113" s="436">
        <f t="shared" si="27"/>
        <v>54830</v>
      </c>
      <c r="H113" s="437">
        <f t="shared" si="27"/>
        <v>27406</v>
      </c>
      <c r="I113" s="439">
        <f t="shared" si="27"/>
        <v>30289</v>
      </c>
      <c r="J113" s="440">
        <f t="shared" si="27"/>
        <v>29109</v>
      </c>
      <c r="K113" s="165"/>
      <c r="L113" s="435">
        <f>SUM(L110:L112)</f>
        <v>36486</v>
      </c>
      <c r="M113" s="436">
        <f t="shared" si="27"/>
        <v>92383</v>
      </c>
      <c r="N113" s="437">
        <f t="shared" si="27"/>
        <v>2699</v>
      </c>
      <c r="O113" s="437">
        <f>SUM(O110:O112)</f>
        <v>15691</v>
      </c>
      <c r="P113" s="1853">
        <f t="shared" si="27"/>
        <v>808126</v>
      </c>
      <c r="Q113" s="52"/>
      <c r="R113" s="438">
        <f t="shared" si="27"/>
        <v>34773</v>
      </c>
      <c r="S113" s="436">
        <f t="shared" si="27"/>
        <v>13156</v>
      </c>
      <c r="T113" s="437">
        <f t="shared" si="27"/>
        <v>106715</v>
      </c>
      <c r="U113" s="126"/>
      <c r="V113" s="453">
        <f t="shared" si="27"/>
        <v>147630</v>
      </c>
      <c r="W113" s="1854">
        <f t="shared" si="27"/>
        <v>302274</v>
      </c>
      <c r="X113" s="60"/>
      <c r="Y113" s="1917"/>
      <c r="Z113" s="1139"/>
      <c r="AA113" s="1140"/>
      <c r="AB113" s="1141"/>
      <c r="AC113" s="1904"/>
      <c r="AD113" s="1928"/>
      <c r="AE113" s="1142"/>
      <c r="AF113" s="1918"/>
      <c r="AG113" s="2292"/>
    </row>
    <row r="114" spans="1:33">
      <c r="A114" s="1402"/>
      <c r="B114" s="1403"/>
      <c r="C114" s="1404"/>
      <c r="D114" s="232"/>
      <c r="E114" s="15"/>
      <c r="F114" s="233"/>
      <c r="G114" s="30"/>
      <c r="H114" s="42"/>
      <c r="I114" s="2388" t="s">
        <v>606</v>
      </c>
      <c r="J114" s="2389"/>
      <c r="K114" s="2389"/>
      <c r="L114" s="2390"/>
      <c r="M114" s="441">
        <f>I118</f>
        <v>26235</v>
      </c>
      <c r="N114" s="200"/>
      <c r="O114" s="32"/>
      <c r="P114" s="32"/>
      <c r="Q114" s="230"/>
      <c r="R114" s="32"/>
      <c r="S114" s="32"/>
      <c r="T114" s="32"/>
      <c r="U114" s="230"/>
      <c r="V114" s="32"/>
      <c r="W114" s="32"/>
      <c r="X114" s="32"/>
      <c r="Y114" s="32"/>
      <c r="Z114" s="59"/>
      <c r="AA114" s="59"/>
      <c r="AB114" s="59"/>
      <c r="AC114" s="59"/>
      <c r="AD114" s="227"/>
      <c r="AE114" s="456"/>
      <c r="AF114" s="191"/>
      <c r="AG114"/>
    </row>
    <row r="115" spans="1:33" ht="13.5" thickBot="1">
      <c r="A115" s="12"/>
      <c r="B115" s="41"/>
      <c r="C115" s="192"/>
      <c r="D115" s="192"/>
      <c r="E115" s="192"/>
      <c r="F115" s="192"/>
      <c r="G115" s="192"/>
      <c r="H115" s="32"/>
      <c r="I115" s="32"/>
      <c r="J115" s="34"/>
      <c r="K115" s="34"/>
      <c r="L115" s="235"/>
      <c r="M115" s="236"/>
      <c r="N115" s="236"/>
      <c r="O115" s="236"/>
      <c r="P115" s="56"/>
      <c r="Q115" s="205"/>
      <c r="R115" s="238"/>
      <c r="S115" s="234"/>
      <c r="T115" s="32"/>
      <c r="U115" s="230"/>
      <c r="V115" s="32"/>
      <c r="W115" s="40"/>
      <c r="X115" s="1693"/>
      <c r="Y115" s="219"/>
      <c r="Z115" s="205"/>
      <c r="AA115" s="205"/>
      <c r="AB115" s="5"/>
      <c r="AC115" s="13"/>
      <c r="AD115" s="227"/>
      <c r="AE115" s="456"/>
      <c r="AF115" s="191"/>
      <c r="AG115"/>
    </row>
    <row r="116" spans="1:33" ht="16.5" thickBot="1">
      <c r="A116" s="237"/>
      <c r="B116" s="192"/>
      <c r="C116" s="192"/>
      <c r="D116" s="192"/>
      <c r="E116" s="36" t="s">
        <v>158</v>
      </c>
      <c r="F116" s="35"/>
      <c r="G116" s="32"/>
      <c r="H116" s="30"/>
      <c r="I116" s="30"/>
      <c r="J116" s="205"/>
      <c r="K116" s="205"/>
      <c r="L116" s="1143">
        <v>960</v>
      </c>
      <c r="M116" s="1156" t="s">
        <v>229</v>
      </c>
      <c r="N116" s="1157"/>
      <c r="O116" s="1157"/>
      <c r="P116" s="442">
        <f>-SUM(D113,J113)</f>
        <v>-125398</v>
      </c>
      <c r="Q116" s="1588"/>
      <c r="R116" s="238"/>
      <c r="S116" s="1143">
        <v>970</v>
      </c>
      <c r="T116" s="1144" t="s">
        <v>159</v>
      </c>
      <c r="U116" s="1145"/>
      <c r="V116" s="1146"/>
      <c r="W116" s="442">
        <f>-V113</f>
        <v>-147630</v>
      </c>
      <c r="X116" s="1693"/>
      <c r="Y116" s="219"/>
      <c r="AA116" s="1405"/>
      <c r="AB116" s="1405"/>
      <c r="AC116" s="1405"/>
      <c r="AD116" s="260"/>
      <c r="AE116" s="456"/>
      <c r="AF116" s="191"/>
      <c r="AG116"/>
    </row>
    <row r="117" spans="1:33" ht="16.5" customHeight="1">
      <c r="A117" s="2335"/>
      <c r="B117" s="2335"/>
      <c r="C117" s="192"/>
      <c r="D117" s="4"/>
      <c r="E117" s="1143">
        <v>922</v>
      </c>
      <c r="F117" s="1157" t="s">
        <v>131</v>
      </c>
      <c r="G117" s="1157"/>
      <c r="H117" s="1157"/>
      <c r="I117" s="444">
        <f>P112-SUM(R112:T112)</f>
        <v>44622</v>
      </c>
      <c r="J117" s="205"/>
      <c r="K117" s="205"/>
      <c r="L117" s="1148">
        <v>870</v>
      </c>
      <c r="M117" s="1158" t="s">
        <v>230</v>
      </c>
      <c r="N117" s="1159"/>
      <c r="O117" s="1160"/>
      <c r="P117" s="443">
        <f>-SUM(L113:O113)</f>
        <v>-147259</v>
      </c>
      <c r="Q117" s="205"/>
      <c r="R117" s="238"/>
      <c r="S117" s="1148">
        <v>982</v>
      </c>
      <c r="T117" s="2405" t="s">
        <v>601</v>
      </c>
      <c r="U117" s="2406"/>
      <c r="V117" s="2407"/>
      <c r="W117" s="241">
        <v>8933</v>
      </c>
      <c r="X117" s="1693"/>
      <c r="Y117" s="219"/>
      <c r="Z117" s="1405"/>
      <c r="AA117" s="1405"/>
      <c r="AB117" s="1405"/>
      <c r="AC117" s="1405"/>
      <c r="AE117" s="456"/>
      <c r="AF117" s="191"/>
      <c r="AG117"/>
    </row>
    <row r="118" spans="1:33" ht="19.5" customHeight="1">
      <c r="A118" s="2335"/>
      <c r="B118" s="2335"/>
      <c r="C118" s="32"/>
      <c r="D118" s="35"/>
      <c r="E118" s="1148">
        <v>924</v>
      </c>
      <c r="F118" s="1164" t="s">
        <v>523</v>
      </c>
      <c r="G118" s="1159"/>
      <c r="H118" s="1160"/>
      <c r="I118" s="133">
        <v>26235</v>
      </c>
      <c r="J118" s="205"/>
      <c r="K118" s="205"/>
      <c r="L118" s="1148">
        <v>975</v>
      </c>
      <c r="M118" s="2402" t="s">
        <v>231</v>
      </c>
      <c r="N118" s="2403"/>
      <c r="O118" s="2404"/>
      <c r="P118" s="241">
        <v>106954</v>
      </c>
      <c r="Q118" s="205"/>
      <c r="R118" s="238"/>
      <c r="S118" s="1148">
        <v>985</v>
      </c>
      <c r="T118" s="1535" t="s">
        <v>1004</v>
      </c>
      <c r="U118" s="1536"/>
      <c r="V118" s="1537"/>
      <c r="W118" s="241">
        <v>2139</v>
      </c>
      <c r="X118" s="1693"/>
      <c r="Y118" s="219"/>
      <c r="Z118" s="1405"/>
      <c r="AB118" s="1405"/>
      <c r="AC118" s="1405"/>
      <c r="AE118" s="456"/>
      <c r="AF118" s="191"/>
      <c r="AG118"/>
    </row>
    <row r="119" spans="1:33" ht="19.5" customHeight="1">
      <c r="A119" s="2335"/>
      <c r="B119" s="2335"/>
      <c r="C119" s="219"/>
      <c r="D119" s="205"/>
      <c r="E119" s="1148">
        <v>926</v>
      </c>
      <c r="F119" s="1164" t="s">
        <v>1007</v>
      </c>
      <c r="G119" s="1165"/>
      <c r="H119" s="1165"/>
      <c r="I119" s="445">
        <f>N113</f>
        <v>2699</v>
      </c>
      <c r="J119" s="205"/>
      <c r="K119" s="205"/>
      <c r="L119" s="1148">
        <v>980</v>
      </c>
      <c r="M119" s="2399" t="s">
        <v>232</v>
      </c>
      <c r="N119" s="2400"/>
      <c r="O119" s="2401"/>
      <c r="P119" s="241">
        <v>1868</v>
      </c>
      <c r="Q119" s="205"/>
      <c r="R119" s="238"/>
      <c r="S119" s="1148">
        <v>989</v>
      </c>
      <c r="T119" s="1535" t="s">
        <v>234</v>
      </c>
      <c r="U119" s="1536"/>
      <c r="V119" s="1537"/>
      <c r="W119" s="241">
        <v>260</v>
      </c>
      <c r="X119" s="1693" t="str">
        <f>IF(W119=W120,"",IF(W119&gt;W120,"Kommentera belopp",""))</f>
        <v>Kommentera belopp</v>
      </c>
      <c r="Y119" s="219"/>
      <c r="Z119" s="219"/>
      <c r="AA119" s="1406"/>
      <c r="AB119" s="1406"/>
      <c r="AC119" s="1406"/>
      <c r="AD119" s="1406"/>
      <c r="AE119" s="1406"/>
      <c r="AF119" s="191"/>
      <c r="AG119"/>
    </row>
    <row r="120" spans="1:33" ht="15.75" customHeight="1" thickBot="1">
      <c r="A120" s="2335"/>
      <c r="B120" s="2335"/>
      <c r="C120" s="219"/>
      <c r="D120" s="205"/>
      <c r="E120" s="1152">
        <v>928</v>
      </c>
      <c r="F120" s="1587" t="s">
        <v>1008</v>
      </c>
      <c r="G120" s="1166"/>
      <c r="H120" s="1167"/>
      <c r="I120" s="446">
        <f>I117-I118-I119</f>
        <v>15688</v>
      </c>
      <c r="J120" s="205"/>
      <c r="K120" s="205"/>
      <c r="L120" s="1148">
        <v>982</v>
      </c>
      <c r="M120" s="1535" t="s">
        <v>485</v>
      </c>
      <c r="N120" s="1536"/>
      <c r="O120" s="1537"/>
      <c r="P120" s="241">
        <v>1006</v>
      </c>
      <c r="Q120" s="205"/>
      <c r="R120" s="238"/>
      <c r="S120" s="1861"/>
      <c r="T120" s="1866"/>
      <c r="U120" s="1691"/>
      <c r="V120" s="1692"/>
      <c r="W120" s="2108"/>
      <c r="X120" s="1865"/>
      <c r="Y120" s="1869"/>
      <c r="Z120" s="219"/>
      <c r="AA120" s="1406"/>
      <c r="AB120" s="1406"/>
      <c r="AC120" s="1406"/>
      <c r="AD120" s="1406"/>
      <c r="AE120" s="1406"/>
      <c r="AF120" s="191"/>
      <c r="AG120"/>
    </row>
    <row r="121" spans="1:33" ht="18.75" customHeight="1">
      <c r="A121" s="219"/>
      <c r="B121" s="219"/>
      <c r="C121" s="219"/>
      <c r="D121" s="205"/>
      <c r="E121" s="205"/>
      <c r="F121" s="205"/>
      <c r="G121" s="205"/>
      <c r="H121" s="205"/>
      <c r="I121" s="205"/>
      <c r="J121" s="205"/>
      <c r="K121" s="205"/>
      <c r="L121" s="1148">
        <v>985</v>
      </c>
      <c r="M121" s="1642" t="s">
        <v>991</v>
      </c>
      <c r="N121" s="1642"/>
      <c r="O121" s="1643"/>
      <c r="P121" s="196">
        <v>637</v>
      </c>
      <c r="Q121" s="205"/>
      <c r="R121" s="238"/>
      <c r="S121" s="1147">
        <v>887</v>
      </c>
      <c r="T121" s="1149" t="s">
        <v>483</v>
      </c>
      <c r="U121" s="1150"/>
      <c r="V121" s="1151"/>
      <c r="W121" s="447">
        <f>SUM(W113,W116:W119)</f>
        <v>165976</v>
      </c>
      <c r="X121" s="1589"/>
      <c r="Y121" s="219"/>
      <c r="Z121" s="219"/>
      <c r="AA121" s="1406"/>
      <c r="AB121" s="1406"/>
      <c r="AC121" s="1406"/>
      <c r="AD121" s="1406"/>
      <c r="AE121" s="1406"/>
      <c r="AF121" s="191"/>
      <c r="AG121"/>
    </row>
    <row r="122" spans="1:33" ht="12.75" customHeight="1" thickBot="1">
      <c r="A122" s="219"/>
      <c r="B122" s="219"/>
      <c r="C122" s="219"/>
      <c r="D122" s="205"/>
      <c r="E122" s="205"/>
      <c r="F122" s="205"/>
      <c r="G122" s="205"/>
      <c r="H122" s="205"/>
      <c r="I122" s="205"/>
      <c r="J122" s="205"/>
      <c r="K122" s="205"/>
      <c r="L122" s="1861">
        <v>988</v>
      </c>
      <c r="M122" s="1863" t="s">
        <v>1186</v>
      </c>
      <c r="N122" s="1863"/>
      <c r="O122" s="1864"/>
      <c r="P122" s="196">
        <v>1166</v>
      </c>
      <c r="Q122" s="200"/>
      <c r="R122" s="238"/>
      <c r="S122" s="1152">
        <v>990</v>
      </c>
      <c r="T122" s="1153" t="s">
        <v>98</v>
      </c>
      <c r="U122" s="1154"/>
      <c r="V122" s="1155"/>
      <c r="W122" s="134">
        <f>RR!C7</f>
        <v>165976</v>
      </c>
      <c r="X122" s="1589"/>
      <c r="Y122" s="219"/>
      <c r="Z122" s="205"/>
      <c r="AA122" s="205"/>
      <c r="AB122" s="5"/>
      <c r="AC122" s="5"/>
      <c r="AD122" s="227"/>
      <c r="AE122" s="456"/>
      <c r="AF122" s="191"/>
      <c r="AG122"/>
    </row>
    <row r="123" spans="1:33">
      <c r="A123" s="219"/>
      <c r="B123" s="219"/>
      <c r="C123" s="219"/>
      <c r="D123" s="205"/>
      <c r="E123" s="238"/>
      <c r="F123" s="238"/>
      <c r="G123" s="238"/>
      <c r="H123" s="238"/>
      <c r="I123" s="238"/>
      <c r="J123" s="205"/>
      <c r="K123" s="205"/>
      <c r="L123" s="1148">
        <v>989</v>
      </c>
      <c r="M123" s="1161" t="s">
        <v>233</v>
      </c>
      <c r="N123" s="1162"/>
      <c r="O123" s="1163"/>
      <c r="P123" s="242">
        <v>457</v>
      </c>
      <c r="Q123" s="1589"/>
      <c r="R123" s="219"/>
      <c r="S123" s="239"/>
      <c r="T123" s="239"/>
      <c r="U123" s="239"/>
      <c r="V123" s="239"/>
      <c r="W123" s="259"/>
      <c r="X123" s="219"/>
      <c r="Y123" s="219"/>
      <c r="Z123" s="205"/>
      <c r="AA123" s="205"/>
      <c r="AB123" s="5"/>
      <c r="AC123" s="5"/>
      <c r="AD123" s="227"/>
      <c r="AE123" s="456"/>
      <c r="AF123" s="191"/>
      <c r="AG123"/>
    </row>
    <row r="124" spans="1:33">
      <c r="A124" s="336"/>
      <c r="B124" s="219"/>
      <c r="C124" s="219"/>
      <c r="D124" s="205"/>
      <c r="E124" s="205"/>
      <c r="F124" s="205"/>
      <c r="G124" s="205"/>
      <c r="H124" s="205"/>
      <c r="I124" s="205"/>
      <c r="J124" s="205"/>
      <c r="K124" s="219"/>
      <c r="L124" s="1147">
        <v>886</v>
      </c>
      <c r="M124" s="1149" t="s">
        <v>483</v>
      </c>
      <c r="N124" s="1150"/>
      <c r="O124" s="1151"/>
      <c r="P124" s="447">
        <f>SUM(P110:P112,P116:P123)</f>
        <v>647557</v>
      </c>
      <c r="Q124" s="1589"/>
      <c r="R124" s="219"/>
      <c r="S124" s="239"/>
      <c r="T124" s="239"/>
      <c r="U124" s="239"/>
      <c r="V124" s="239"/>
      <c r="W124" s="239"/>
      <c r="X124" s="219"/>
      <c r="Y124" s="219"/>
      <c r="Z124" s="205"/>
      <c r="AA124" s="205"/>
      <c r="AB124" s="5"/>
      <c r="AC124" s="5"/>
      <c r="AD124" s="227"/>
      <c r="AE124" s="456"/>
      <c r="AF124" s="191"/>
      <c r="AG124"/>
    </row>
    <row r="125" spans="1:33" ht="11.25" customHeight="1" thickBot="1">
      <c r="A125" s="239"/>
      <c r="B125" s="239"/>
      <c r="C125" s="239"/>
      <c r="D125" s="238"/>
      <c r="E125" s="238"/>
      <c r="F125" s="238"/>
      <c r="G125" s="238"/>
      <c r="H125" s="238"/>
      <c r="I125" s="238"/>
      <c r="J125" s="238"/>
      <c r="K125" s="219"/>
      <c r="L125" s="1152">
        <v>990</v>
      </c>
      <c r="M125" s="1153" t="s">
        <v>95</v>
      </c>
      <c r="N125" s="1154"/>
      <c r="O125" s="1155"/>
      <c r="P125" s="134">
        <f>RR!C8</f>
        <v>647557</v>
      </c>
      <c r="Q125" s="205"/>
      <c r="R125" s="238"/>
      <c r="S125" s="239"/>
      <c r="T125" s="239"/>
      <c r="U125" s="219"/>
      <c r="V125" s="239"/>
      <c r="W125" s="239"/>
      <c r="X125" s="219"/>
      <c r="Y125" s="239"/>
      <c r="Z125" s="238"/>
      <c r="AA125" s="238"/>
      <c r="AB125" s="1"/>
      <c r="AC125" s="1"/>
      <c r="AD125" s="227"/>
      <c r="AE125" s="457"/>
      <c r="AF125" s="191"/>
      <c r="AG125"/>
    </row>
    <row r="126" spans="1:33" ht="27.75" customHeight="1">
      <c r="AF126" s="191"/>
      <c r="AG126"/>
    </row>
    <row r="127" spans="1:33" hidden="1"/>
    <row r="128" spans="1:33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spans="16:16" hidden="1"/>
    <row r="290" spans="16:16" hidden="1"/>
    <row r="291" spans="16:16" hidden="1"/>
    <row r="292" spans="16:16" hidden="1"/>
    <row r="293" spans="16:16" hidden="1"/>
    <row r="294" spans="16:16" hidden="1"/>
    <row r="295" spans="16:16" hidden="1"/>
    <row r="296" spans="16:16" hidden="1"/>
    <row r="297" spans="16:16" hidden="1"/>
    <row r="298" spans="16:16" hidden="1"/>
    <row r="299" spans="16:16" hidden="1"/>
    <row r="300" spans="16:16" hidden="1"/>
    <row r="301" spans="16:16" hidden="1">
      <c r="P301" s="240" t="str">
        <f>IF(P124&lt;&gt;P125,"Differens mot vht kostnader i RR, måste rättas!","")</f>
        <v/>
      </c>
    </row>
  </sheetData>
  <customSheetViews>
    <customSheetView guid="{27C9E95B-0E2B-454F-B637-1CECC9579A10}" showGridLines="0" hiddenRows="1" hiddenColumns="1" showRuler="0">
      <pane xSplit="2" ySplit="10" topLeftCell="E111" activePane="bottomRight" state="frozen"/>
      <selection pane="bottomRight" activeCell="P125" sqref="P125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PageBreaks="1" showGridLines="0" hiddenRows="1" hiddenColumns="1">
      <pane xSplit="2" ySplit="12" topLeftCell="H13" activePane="bottomRight" state="frozen"/>
      <selection pane="bottomRight" activeCell="AD14" sqref="AD14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pane xSplit="2" ySplit="12" topLeftCell="H13" activePane="bottomRight" state="frozen"/>
      <selection pane="bottomRight" activeCell="S6" sqref="S6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3"/>
      <headerFooter>
        <oddHeader>&amp;L&amp;8Statistiska Centralbyrån
Offentlig ekonomi&amp;R&amp;P</oddHeader>
      </headerFooter>
    </customSheetView>
  </customSheetViews>
  <mergeCells count="15">
    <mergeCell ref="A117:B120"/>
    <mergeCell ref="I114:L114"/>
    <mergeCell ref="AE4:AE7"/>
    <mergeCell ref="R4:T4"/>
    <mergeCell ref="Z4:AB4"/>
    <mergeCell ref="M119:O119"/>
    <mergeCell ref="M118:O118"/>
    <mergeCell ref="T117:V117"/>
    <mergeCell ref="Y5:Y6"/>
    <mergeCell ref="AG5:AG6"/>
    <mergeCell ref="AF5:AF6"/>
    <mergeCell ref="C4:D4"/>
    <mergeCell ref="E4:H4"/>
    <mergeCell ref="L4:O4"/>
    <mergeCell ref="I4:J4"/>
  </mergeCells>
  <phoneticPr fontId="90" type="noConversion"/>
  <conditionalFormatting sqref="D13:D16 D19:D29 D33:D36 D39:D41 D46:D50 D53:D57 D60:D61 D63:D65 D70:D71 D73:D76 D79:D82 D111:D112 D87:D88 D93:D96 D99:D101 D104:D107 D84">
    <cfRule type="expression" dxfId="54" priority="7" stopIfTrue="1">
      <formula>C13&lt;50</formula>
    </cfRule>
    <cfRule type="expression" dxfId="53" priority="8" stopIfTrue="1">
      <formula>(D13/C13)&gt;0.45</formula>
    </cfRule>
    <cfRule type="expression" dxfId="52" priority="9" stopIfTrue="1">
      <formula>(D13/C13)&lt;0.25</formula>
    </cfRule>
  </conditionalFormatting>
  <conditionalFormatting sqref="T51">
    <cfRule type="expression" dxfId="51" priority="15" stopIfTrue="1">
      <formula>T51-SUM(AB53:AB55)&lt;0</formula>
    </cfRule>
  </conditionalFormatting>
  <conditionalFormatting sqref="P117">
    <cfRule type="expression" dxfId="50" priority="16" stopIfTrue="1">
      <formula>ABS(P117-W116)&lt;10000</formula>
    </cfRule>
    <cfRule type="expression" dxfId="49" priority="17" stopIfTrue="1">
      <formula>ABS((P117-W116)/W116)&gt;0.05</formula>
    </cfRule>
  </conditionalFormatting>
  <conditionalFormatting sqref="W116">
    <cfRule type="expression" dxfId="48" priority="18" stopIfTrue="1">
      <formula>ABS(P117-W116)&lt;10000</formula>
    </cfRule>
    <cfRule type="expression" dxfId="47" priority="19" stopIfTrue="1">
      <formula>ABS((P117-W116)/W116)&gt;0.05</formula>
    </cfRule>
  </conditionalFormatting>
  <conditionalFormatting sqref="P111">
    <cfRule type="expression" dxfId="46" priority="20" stopIfTrue="1">
      <formula>ABS(P111-W111)&lt;10000</formula>
    </cfRule>
    <cfRule type="expression" dxfId="45" priority="21" stopIfTrue="1">
      <formula>ABS((P111-W111)/W111)&gt;0.05</formula>
    </cfRule>
  </conditionalFormatting>
  <conditionalFormatting sqref="W111">
    <cfRule type="expression" dxfId="44" priority="42" stopIfTrue="1">
      <formula>ABS(P111-W111)&lt;10000</formula>
    </cfRule>
    <cfRule type="expression" dxfId="43" priority="43" stopIfTrue="1">
      <formula>ABS((P111-W111)/W111)&gt;0.05</formula>
    </cfRule>
  </conditionalFormatting>
  <conditionalFormatting sqref="P13:P14 P23:P24">
    <cfRule type="expression" dxfId="42" priority="60" stopIfTrue="1">
      <formula>$P$124&lt;100000</formula>
    </cfRule>
    <cfRule type="cellIs" dxfId="41" priority="61" stopIfTrue="1" operator="lessThan">
      <formula>1</formula>
    </cfRule>
  </conditionalFormatting>
  <dataValidations count="1">
    <dataValidation type="decimal" operator="lessThan" allowBlank="1" showInputMessage="1" showErrorMessage="1" error="Beloppet ska vara i 1000 tal kr" sqref="V111 R111:U112 R93:V96 C93:N96 R99:V101 R84:V84 G114 R104:V107 C99:N101 C104:N107 C87:N88 C84:N84 I118 C79:N82 R79:V82 C111:O112 C63:N66 C70:N71 C73:N76 R73:V76 R70:V71 R63:V66 C13:N16 C19:N29 C33:N36 C39:N41 C46:N50 C53:N57 R53:V57 R46:V50 R39:V41 R33:V36 R19:V29 R13:V16 R60:V61 C60:N61 R87:V88 W117:W120 P123 P118:P121">
      <formula1>99999999</formula1>
    </dataValidation>
  </dataValidations>
  <pageMargins left="0.43307086614173229" right="0.70866141732283472" top="0.43307086614173229" bottom="0" header="7.874015748031496E-2" footer="3.937007874015748E-2"/>
  <pageSetup paperSize="9" scale="83" orientation="landscape" r:id="rId4"/>
  <headerFooter>
    <oddHeader>&amp;LStatistiska Centralbyrån
Offentlig ekonomi</oddHeader>
  </headerFooter>
  <rowBreaks count="3" manualBreakCount="3">
    <brk id="43" max="16383" man="1"/>
    <brk id="68" max="16383" man="1"/>
    <brk id="90" max="16383" man="1"/>
  </rowBreaks>
  <colBreaks count="1" manualBreakCount="1">
    <brk id="16" max="1048575" man="1"/>
  </colBreaks>
  <ignoredErrors>
    <ignoredError sqref="A13:B115" numberStoredAsText="1"/>
    <ignoredError sqref="W83 AA79:AA82 Z83 P83" formula="1"/>
    <ignoredError sqref="Z18:AA29 Z31:AA35 Z38:AA41 Z43:AA50 Z52:AA52 Z56:AA66 Z68:AA72 Z78 Z85:AA87 Z91:AA108 AA90" evalError="1"/>
    <ignoredError sqref="AA83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51"/>
  <sheetViews>
    <sheetView showGridLines="0" zoomScaleNormal="100" workbookViewId="0">
      <pane xSplit="2" ySplit="8" topLeftCell="C9" activePane="bottomRight" state="frozen"/>
      <selection activeCell="F32" sqref="F32"/>
      <selection pane="topRight" activeCell="F32" sqref="F32"/>
      <selection pane="bottomLeft" activeCell="F32" sqref="F32"/>
      <selection pane="bottomRight" activeCell="A2" sqref="A2"/>
    </sheetView>
  </sheetViews>
  <sheetFormatPr defaultColWidth="0" defaultRowHeight="9"/>
  <cols>
    <col min="1" max="1" width="5.28515625" style="162" customWidth="1"/>
    <col min="2" max="2" width="30.85546875" style="162" customWidth="1"/>
    <col min="3" max="3" width="8.5703125" style="162" customWidth="1"/>
    <col min="4" max="4" width="8.7109375" style="162" customWidth="1"/>
    <col min="5" max="11" width="9.140625" style="162" customWidth="1"/>
    <col min="12" max="12" width="8" style="162" customWidth="1"/>
    <col min="13" max="13" width="9.140625" style="162" customWidth="1"/>
    <col min="14" max="14" width="8.28515625" style="162" customWidth="1"/>
    <col min="15" max="22" width="9.140625" style="162" customWidth="1"/>
    <col min="23" max="23" width="8.28515625" style="162" customWidth="1"/>
    <col min="24" max="24" width="8.140625" style="162" customWidth="1"/>
    <col min="25" max="27" width="9.140625" style="162" customWidth="1"/>
    <col min="28" max="28" width="8" style="162" customWidth="1"/>
    <col min="29" max="29" width="11.28515625" style="162" customWidth="1"/>
    <col min="30" max="30" width="9.140625" style="162" customWidth="1"/>
    <col min="31" max="16384" width="9.140625" style="162" hidden="1"/>
  </cols>
  <sheetData>
    <row r="1" spans="1:30" s="190" customFormat="1" ht="18.75" customHeight="1">
      <c r="A1" s="189"/>
      <c r="B1" s="91"/>
      <c r="C1" s="90" t="str">
        <f>"Motpartsredovisning "&amp;År&amp;", miljoner kronor"</f>
        <v>Motpartsredovisning 2016, miljoner kronor</v>
      </c>
      <c r="D1" s="91"/>
      <c r="E1" s="189"/>
      <c r="F1" s="189"/>
      <c r="G1" s="189"/>
      <c r="H1" s="189"/>
      <c r="I1" s="189"/>
      <c r="J1" s="560" t="s">
        <v>494</v>
      </c>
      <c r="K1" s="561" t="str">
        <f>'Kn Information'!B2</f>
        <v>RIKSTOTAL</v>
      </c>
      <c r="L1" s="189"/>
      <c r="M1" s="189"/>
      <c r="N1" s="90"/>
      <c r="O1" s="189"/>
      <c r="P1" s="189"/>
      <c r="Q1" s="189"/>
      <c r="R1" s="189"/>
      <c r="S1" s="90" t="str">
        <f>"Motpartsredovisning "&amp;År&amp;", miljoner kr"</f>
        <v>Motpartsredovisning 2016, miljoner kr</v>
      </c>
      <c r="T1" s="189"/>
      <c r="U1" s="189"/>
      <c r="V1" s="189"/>
      <c r="W1" s="189"/>
      <c r="X1" s="189"/>
      <c r="Y1" s="189"/>
      <c r="Z1" s="560" t="s">
        <v>494</v>
      </c>
      <c r="AA1" s="561" t="str">
        <f>'Kn Information'!B2</f>
        <v>RIKSTOTAL</v>
      </c>
      <c r="AB1" s="189"/>
      <c r="AC1" s="189"/>
      <c r="AD1" s="189"/>
    </row>
    <row r="2" spans="1:30" s="190" customFormat="1" ht="11.25" customHeight="1">
      <c r="A2" s="1385"/>
      <c r="C2" s="84"/>
      <c r="D2" s="1490"/>
      <c r="E2" s="164"/>
      <c r="J2" s="164"/>
      <c r="M2" s="227"/>
      <c r="N2" s="83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</row>
    <row r="3" spans="1:30" ht="11.25" customHeight="1" thickBot="1">
      <c r="C3" s="142"/>
      <c r="D3" s="1490"/>
      <c r="E3" s="164"/>
      <c r="F3" s="1719"/>
      <c r="G3" s="1719"/>
      <c r="H3" s="1719"/>
      <c r="I3" s="1719"/>
      <c r="J3" s="164"/>
      <c r="K3" s="46"/>
      <c r="L3" s="46"/>
      <c r="M3" s="46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30" s="1478" customFormat="1" ht="18" customHeight="1">
      <c r="A4" s="1471" t="s">
        <v>701</v>
      </c>
      <c r="B4" s="1472" t="s">
        <v>21</v>
      </c>
      <c r="C4" s="1459"/>
      <c r="D4" s="1480" t="s">
        <v>938</v>
      </c>
      <c r="E4" s="1476"/>
      <c r="F4" s="1476"/>
      <c r="G4" s="1476"/>
      <c r="H4" s="1476"/>
      <c r="I4" s="1476"/>
      <c r="J4" s="1476"/>
      <c r="K4" s="1472"/>
      <c r="L4" s="1472"/>
      <c r="M4" s="1473"/>
      <c r="N4" s="1479" t="s">
        <v>901</v>
      </c>
      <c r="O4" s="1472"/>
      <c r="P4" s="1472"/>
      <c r="Q4" s="1472"/>
      <c r="R4" s="1472"/>
      <c r="S4" s="1472"/>
      <c r="T4" s="1472"/>
      <c r="U4" s="1472"/>
      <c r="V4" s="1472"/>
      <c r="W4" s="1472"/>
      <c r="X4" s="1474"/>
      <c r="Y4" s="1480" t="s">
        <v>618</v>
      </c>
      <c r="Z4" s="1475"/>
      <c r="AA4" s="1476"/>
      <c r="AB4" s="1476"/>
      <c r="AC4" s="1477"/>
    </row>
    <row r="5" spans="1:30" ht="29.25" customHeight="1">
      <c r="A5" s="871" t="s">
        <v>704</v>
      </c>
      <c r="B5" s="1175"/>
      <c r="C5" s="1614" t="s">
        <v>558</v>
      </c>
      <c r="D5" s="1176" t="s">
        <v>509</v>
      </c>
      <c r="E5" s="1170" t="s">
        <v>539</v>
      </c>
      <c r="F5" s="1170" t="s">
        <v>510</v>
      </c>
      <c r="G5" s="1170" t="s">
        <v>132</v>
      </c>
      <c r="H5" s="1170" t="s">
        <v>972</v>
      </c>
      <c r="I5" s="1170" t="s">
        <v>511</v>
      </c>
      <c r="J5" s="1170" t="s">
        <v>973</v>
      </c>
      <c r="K5" s="1170" t="s">
        <v>974</v>
      </c>
      <c r="L5" s="1170" t="s">
        <v>168</v>
      </c>
      <c r="M5" s="1172" t="s">
        <v>566</v>
      </c>
      <c r="N5" s="1573" t="s">
        <v>558</v>
      </c>
      <c r="O5" s="1170" t="s">
        <v>509</v>
      </c>
      <c r="P5" s="1460" t="s">
        <v>539</v>
      </c>
      <c r="Q5" s="1460" t="s">
        <v>510</v>
      </c>
      <c r="R5" s="1460" t="s">
        <v>132</v>
      </c>
      <c r="S5" s="1460" t="s">
        <v>495</v>
      </c>
      <c r="T5" s="1460" t="s">
        <v>974</v>
      </c>
      <c r="U5" s="1460" t="s">
        <v>975</v>
      </c>
      <c r="V5" s="1460" t="s">
        <v>973</v>
      </c>
      <c r="W5" s="1460" t="s">
        <v>168</v>
      </c>
      <c r="X5" s="1168" t="s">
        <v>566</v>
      </c>
      <c r="Y5" s="1169" t="s">
        <v>950</v>
      </c>
      <c r="Z5" s="1170" t="s">
        <v>512</v>
      </c>
      <c r="AA5" s="1171" t="s">
        <v>514</v>
      </c>
      <c r="AB5" s="1171" t="s">
        <v>515</v>
      </c>
      <c r="AC5" s="1172" t="s">
        <v>516</v>
      </c>
    </row>
    <row r="6" spans="1:30" ht="30" customHeight="1" thickBot="1">
      <c r="A6" s="1177"/>
      <c r="B6" s="2324" t="s">
        <v>863</v>
      </c>
      <c r="C6" s="1572"/>
      <c r="D6" s="1647" t="s">
        <v>903</v>
      </c>
      <c r="E6" s="1648" t="s">
        <v>904</v>
      </c>
      <c r="F6" s="1648" t="s">
        <v>905</v>
      </c>
      <c r="G6" s="1648" t="s">
        <v>906</v>
      </c>
      <c r="H6" s="1648" t="s">
        <v>907</v>
      </c>
      <c r="I6" s="1648" t="s">
        <v>908</v>
      </c>
      <c r="J6" s="1648" t="s">
        <v>909</v>
      </c>
      <c r="K6" s="1648" t="s">
        <v>910</v>
      </c>
      <c r="L6" s="1648" t="s">
        <v>911</v>
      </c>
      <c r="M6" s="1173"/>
      <c r="N6" s="1574"/>
      <c r="O6" s="1647" t="s">
        <v>903</v>
      </c>
      <c r="P6" s="1648" t="s">
        <v>904</v>
      </c>
      <c r="Q6" s="1648" t="s">
        <v>905</v>
      </c>
      <c r="R6" s="1648" t="s">
        <v>906</v>
      </c>
      <c r="S6" s="1648" t="s">
        <v>907</v>
      </c>
      <c r="T6" s="1648" t="s">
        <v>910</v>
      </c>
      <c r="U6" s="1648" t="s">
        <v>908</v>
      </c>
      <c r="V6" s="1648" t="s">
        <v>909</v>
      </c>
      <c r="W6" s="1648" t="s">
        <v>911</v>
      </c>
      <c r="X6" s="1173"/>
      <c r="Y6" s="1653" t="s">
        <v>912</v>
      </c>
      <c r="Z6" s="1567" t="s">
        <v>913</v>
      </c>
      <c r="AA6" s="1648" t="s">
        <v>914</v>
      </c>
      <c r="AB6" s="1648" t="s">
        <v>143</v>
      </c>
      <c r="AC6" s="1654" t="s">
        <v>976</v>
      </c>
    </row>
    <row r="7" spans="1:30" ht="2.25" hidden="1" customHeight="1" thickBot="1">
      <c r="A7" s="1178"/>
      <c r="B7" s="2415" t="s">
        <v>902</v>
      </c>
      <c r="C7" s="1644"/>
      <c r="D7" s="2417" t="s">
        <v>133</v>
      </c>
      <c r="E7" s="2413" t="s">
        <v>134</v>
      </c>
      <c r="F7" s="2413" t="s">
        <v>135</v>
      </c>
      <c r="G7" s="2413" t="s">
        <v>136</v>
      </c>
      <c r="H7" s="2413" t="s">
        <v>138</v>
      </c>
      <c r="I7" s="2413" t="s">
        <v>139</v>
      </c>
      <c r="J7" s="2413" t="s">
        <v>140</v>
      </c>
      <c r="K7" s="2413" t="s">
        <v>137</v>
      </c>
      <c r="L7" s="1655"/>
      <c r="M7" s="1649"/>
      <c r="N7" s="1650"/>
      <c r="O7" s="2417" t="s">
        <v>540</v>
      </c>
      <c r="P7" s="2413" t="s">
        <v>541</v>
      </c>
      <c r="Q7" s="2413" t="s">
        <v>542</v>
      </c>
      <c r="R7" s="2413" t="s">
        <v>543</v>
      </c>
      <c r="S7" s="2413" t="s">
        <v>544</v>
      </c>
      <c r="T7" s="2413" t="s">
        <v>545</v>
      </c>
      <c r="U7" s="2419" t="s">
        <v>986</v>
      </c>
      <c r="V7" s="2413" t="s">
        <v>546</v>
      </c>
      <c r="W7" s="1655"/>
      <c r="X7" s="1173"/>
      <c r="Y7" s="2427" t="s">
        <v>141</v>
      </c>
      <c r="Z7" s="2421" t="s">
        <v>142</v>
      </c>
      <c r="AA7" s="2421" t="s">
        <v>513</v>
      </c>
      <c r="AB7" s="2423" t="s">
        <v>143</v>
      </c>
      <c r="AC7" s="2425" t="s">
        <v>987</v>
      </c>
    </row>
    <row r="8" spans="1:30" ht="0.75" customHeight="1">
      <c r="A8" s="1177"/>
      <c r="B8" s="2416"/>
      <c r="C8" s="1645"/>
      <c r="D8" s="2418"/>
      <c r="E8" s="2414"/>
      <c r="F8" s="2414"/>
      <c r="G8" s="2414"/>
      <c r="H8" s="2414"/>
      <c r="I8" s="2414"/>
      <c r="J8" s="2414"/>
      <c r="K8" s="2414"/>
      <c r="L8" s="1646"/>
      <c r="M8" s="1651"/>
      <c r="N8" s="1652"/>
      <c r="O8" s="2418"/>
      <c r="P8" s="2414"/>
      <c r="Q8" s="2414"/>
      <c r="R8" s="2414"/>
      <c r="S8" s="2414"/>
      <c r="T8" s="2414"/>
      <c r="U8" s="2420"/>
      <c r="V8" s="2414"/>
      <c r="W8" s="1646"/>
      <c r="X8" s="1174"/>
      <c r="Y8" s="2428"/>
      <c r="Z8" s="2422"/>
      <c r="AA8" s="2422"/>
      <c r="AB8" s="2424"/>
      <c r="AC8" s="2426"/>
    </row>
    <row r="9" spans="1:30" ht="12.95" customHeight="1">
      <c r="A9" s="1180">
        <v>190</v>
      </c>
      <c r="B9" s="1181" t="s">
        <v>23</v>
      </c>
      <c r="C9" s="96">
        <f>Drift!F17</f>
        <v>155</v>
      </c>
      <c r="D9" s="72">
        <v>3</v>
      </c>
      <c r="E9" s="72">
        <v>0</v>
      </c>
      <c r="F9" s="72">
        <v>22</v>
      </c>
      <c r="G9" s="72">
        <v>113</v>
      </c>
      <c r="H9" s="72">
        <v>1</v>
      </c>
      <c r="I9" s="72">
        <v>0</v>
      </c>
      <c r="J9" s="72">
        <v>0</v>
      </c>
      <c r="K9" s="206">
        <v>16</v>
      </c>
      <c r="L9" s="206">
        <v>0</v>
      </c>
      <c r="M9" s="481">
        <f>C9-SUM(D9:L9)</f>
        <v>0</v>
      </c>
      <c r="N9" s="482">
        <f>Drift!H17</f>
        <v>587</v>
      </c>
      <c r="O9" s="72">
        <v>468</v>
      </c>
      <c r="P9" s="72">
        <v>10</v>
      </c>
      <c r="Q9" s="72">
        <v>54</v>
      </c>
      <c r="R9" s="72">
        <v>19</v>
      </c>
      <c r="S9" s="72">
        <v>2</v>
      </c>
      <c r="T9" s="72">
        <v>28</v>
      </c>
      <c r="U9" s="72">
        <v>2</v>
      </c>
      <c r="V9" s="72">
        <v>4</v>
      </c>
      <c r="W9" s="72">
        <v>0</v>
      </c>
      <c r="X9" s="481">
        <f>N9-SUM(O9:W9)</f>
        <v>0</v>
      </c>
      <c r="Y9" s="484">
        <v>129</v>
      </c>
      <c r="Z9" s="72">
        <v>0</v>
      </c>
      <c r="AA9" s="72">
        <v>441</v>
      </c>
      <c r="AB9" s="72">
        <v>1</v>
      </c>
      <c r="AC9" s="114">
        <v>26</v>
      </c>
    </row>
    <row r="10" spans="1:30" ht="12.95" customHeight="1">
      <c r="A10" s="610" t="s">
        <v>250</v>
      </c>
      <c r="B10" s="617" t="s">
        <v>167</v>
      </c>
      <c r="C10" s="96">
        <f>Drift!F30</f>
        <v>7812</v>
      </c>
      <c r="D10" s="57">
        <v>49</v>
      </c>
      <c r="E10" s="57">
        <v>998</v>
      </c>
      <c r="F10" s="57">
        <v>2827</v>
      </c>
      <c r="G10" s="57">
        <v>421</v>
      </c>
      <c r="H10" s="57">
        <v>2</v>
      </c>
      <c r="I10" s="57">
        <v>41</v>
      </c>
      <c r="J10" s="57">
        <v>0</v>
      </c>
      <c r="K10" s="58">
        <v>3470</v>
      </c>
      <c r="L10" s="206">
        <v>4</v>
      </c>
      <c r="M10" s="481">
        <f t="shared" ref="M10:M39" si="0">C10-SUM(D10:L10)</f>
        <v>0</v>
      </c>
      <c r="N10" s="482">
        <f>Drift!H30</f>
        <v>2625</v>
      </c>
      <c r="O10" s="57">
        <v>480</v>
      </c>
      <c r="P10" s="57">
        <v>770</v>
      </c>
      <c r="Q10" s="57">
        <v>309</v>
      </c>
      <c r="R10" s="57">
        <v>20</v>
      </c>
      <c r="S10" s="57">
        <v>105</v>
      </c>
      <c r="T10" s="57">
        <v>557</v>
      </c>
      <c r="U10" s="57">
        <v>340</v>
      </c>
      <c r="V10" s="57">
        <v>38</v>
      </c>
      <c r="W10" s="57">
        <v>5</v>
      </c>
      <c r="X10" s="481">
        <f t="shared" ref="X10:X39" si="1">N10-SUM(O10:W10)</f>
        <v>1</v>
      </c>
      <c r="Y10" s="485">
        <v>287</v>
      </c>
      <c r="Z10" s="57">
        <v>10</v>
      </c>
      <c r="AA10" s="57">
        <v>1146</v>
      </c>
      <c r="AB10" s="57">
        <v>71</v>
      </c>
      <c r="AC10" s="198">
        <v>1184</v>
      </c>
    </row>
    <row r="11" spans="1:30" ht="12.95" customHeight="1">
      <c r="A11" s="610">
        <v>339</v>
      </c>
      <c r="B11" s="617" t="s">
        <v>76</v>
      </c>
      <c r="C11" s="96">
        <f>Drift!F37</f>
        <v>232</v>
      </c>
      <c r="D11" s="72">
        <v>58</v>
      </c>
      <c r="E11" s="72">
        <v>22</v>
      </c>
      <c r="F11" s="72">
        <v>100</v>
      </c>
      <c r="G11" s="72">
        <v>9</v>
      </c>
      <c r="H11" s="72">
        <v>2</v>
      </c>
      <c r="I11" s="72">
        <v>1</v>
      </c>
      <c r="J11" s="72">
        <v>0</v>
      </c>
      <c r="K11" s="206">
        <v>40</v>
      </c>
      <c r="L11" s="206">
        <v>1</v>
      </c>
      <c r="M11" s="481">
        <f t="shared" si="0"/>
        <v>-1</v>
      </c>
      <c r="N11" s="482">
        <f>Drift!H37</f>
        <v>1567</v>
      </c>
      <c r="O11" s="72">
        <v>962</v>
      </c>
      <c r="P11" s="72">
        <v>197</v>
      </c>
      <c r="Q11" s="72">
        <v>336</v>
      </c>
      <c r="R11" s="72">
        <v>1</v>
      </c>
      <c r="S11" s="72">
        <v>22</v>
      </c>
      <c r="T11" s="72">
        <v>1</v>
      </c>
      <c r="U11" s="72">
        <v>15</v>
      </c>
      <c r="V11" s="72">
        <v>25</v>
      </c>
      <c r="W11" s="72">
        <v>8</v>
      </c>
      <c r="X11" s="481">
        <f t="shared" si="1"/>
        <v>0</v>
      </c>
      <c r="Y11" s="484">
        <v>8</v>
      </c>
      <c r="Z11" s="72">
        <v>6</v>
      </c>
      <c r="AA11" s="72">
        <v>287</v>
      </c>
      <c r="AB11" s="72">
        <v>4</v>
      </c>
      <c r="AC11" s="114">
        <v>407</v>
      </c>
    </row>
    <row r="12" spans="1:30" ht="12.95" customHeight="1">
      <c r="A12" s="610">
        <v>359</v>
      </c>
      <c r="B12" s="617" t="s">
        <v>144</v>
      </c>
      <c r="C12" s="96">
        <f>Drift!F42</f>
        <v>769</v>
      </c>
      <c r="D12" s="72">
        <v>231</v>
      </c>
      <c r="E12" s="72">
        <v>170</v>
      </c>
      <c r="F12" s="72">
        <v>337</v>
      </c>
      <c r="G12" s="72">
        <v>18</v>
      </c>
      <c r="H12" s="72">
        <v>0</v>
      </c>
      <c r="I12" s="72">
        <v>0</v>
      </c>
      <c r="J12" s="72">
        <v>0</v>
      </c>
      <c r="K12" s="206">
        <v>14</v>
      </c>
      <c r="L12" s="206">
        <v>0</v>
      </c>
      <c r="M12" s="481">
        <f t="shared" si="0"/>
        <v>-1</v>
      </c>
      <c r="N12" s="482">
        <f>Drift!H42</f>
        <v>2003</v>
      </c>
      <c r="O12" s="72">
        <v>1791</v>
      </c>
      <c r="P12" s="72">
        <v>68</v>
      </c>
      <c r="Q12" s="72">
        <v>128</v>
      </c>
      <c r="R12" s="72">
        <v>2</v>
      </c>
      <c r="S12" s="72">
        <v>0</v>
      </c>
      <c r="T12" s="72">
        <v>1</v>
      </c>
      <c r="U12" s="72">
        <v>3</v>
      </c>
      <c r="V12" s="72">
        <v>10</v>
      </c>
      <c r="W12" s="72">
        <v>0</v>
      </c>
      <c r="X12" s="481">
        <f t="shared" si="1"/>
        <v>0</v>
      </c>
      <c r="Y12" s="484">
        <v>19</v>
      </c>
      <c r="Z12" s="72">
        <v>0</v>
      </c>
      <c r="AA12" s="72">
        <v>201</v>
      </c>
      <c r="AB12" s="72">
        <v>2</v>
      </c>
      <c r="AC12" s="114">
        <v>127</v>
      </c>
    </row>
    <row r="13" spans="1:30" ht="12.95" customHeight="1">
      <c r="A13" s="610">
        <v>407</v>
      </c>
      <c r="B13" s="617" t="s">
        <v>85</v>
      </c>
      <c r="C13" s="96">
        <f>Drift!F47</f>
        <v>14189</v>
      </c>
      <c r="D13" s="57">
        <v>4237</v>
      </c>
      <c r="E13" s="57">
        <v>17</v>
      </c>
      <c r="F13" s="57">
        <v>9589</v>
      </c>
      <c r="G13" s="57">
        <v>326</v>
      </c>
      <c r="H13" s="57">
        <v>2</v>
      </c>
      <c r="I13" s="57">
        <v>17</v>
      </c>
      <c r="J13" s="57">
        <v>0</v>
      </c>
      <c r="K13" s="58">
        <v>1</v>
      </c>
      <c r="L13" s="206">
        <v>0</v>
      </c>
      <c r="M13" s="1418">
        <f>C13-SUM(D13:L13)</f>
        <v>0</v>
      </c>
      <c r="N13" s="482">
        <f>Drift!H47</f>
        <v>12</v>
      </c>
      <c r="O13" s="57">
        <v>3</v>
      </c>
      <c r="P13" s="57">
        <v>0</v>
      </c>
      <c r="Q13" s="57">
        <v>2</v>
      </c>
      <c r="R13" s="57">
        <v>0</v>
      </c>
      <c r="S13" s="57">
        <v>0</v>
      </c>
      <c r="T13" s="57">
        <v>0</v>
      </c>
      <c r="U13" s="57">
        <v>0</v>
      </c>
      <c r="V13" s="57">
        <v>7</v>
      </c>
      <c r="W13" s="57">
        <v>0</v>
      </c>
      <c r="X13" s="481">
        <f t="shared" si="1"/>
        <v>0</v>
      </c>
      <c r="Y13" s="485">
        <v>313</v>
      </c>
      <c r="Z13" s="57">
        <v>5</v>
      </c>
      <c r="AA13" s="57">
        <v>4120</v>
      </c>
      <c r="AB13" s="57">
        <v>13</v>
      </c>
      <c r="AC13" s="114">
        <v>892</v>
      </c>
    </row>
    <row r="14" spans="1:30" ht="12.95" customHeight="1">
      <c r="A14" s="610">
        <v>412</v>
      </c>
      <c r="B14" s="617" t="s">
        <v>86</v>
      </c>
      <c r="C14" s="96">
        <f>Drift!F48</f>
        <v>597</v>
      </c>
      <c r="D14" s="57">
        <v>51</v>
      </c>
      <c r="E14" s="57">
        <v>0</v>
      </c>
      <c r="F14" s="57">
        <v>541</v>
      </c>
      <c r="G14" s="57">
        <v>4</v>
      </c>
      <c r="H14" s="57">
        <v>0</v>
      </c>
      <c r="I14" s="57">
        <v>1</v>
      </c>
      <c r="J14" s="57">
        <v>0</v>
      </c>
      <c r="K14" s="58">
        <v>0</v>
      </c>
      <c r="L14" s="206">
        <v>0</v>
      </c>
      <c r="M14" s="1418">
        <f t="shared" si="0"/>
        <v>0</v>
      </c>
      <c r="N14" s="482">
        <f>Drift!H48</f>
        <v>72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4</v>
      </c>
      <c r="V14" s="57">
        <v>68</v>
      </c>
      <c r="W14" s="57">
        <v>0</v>
      </c>
      <c r="X14" s="481">
        <f t="shared" si="1"/>
        <v>0</v>
      </c>
      <c r="Y14" s="485">
        <v>6</v>
      </c>
      <c r="Z14" s="57">
        <v>0</v>
      </c>
      <c r="AA14" s="57">
        <v>34</v>
      </c>
      <c r="AB14" s="57">
        <v>0</v>
      </c>
      <c r="AC14" s="114">
        <v>30</v>
      </c>
    </row>
    <row r="15" spans="1:30" ht="12.95" customHeight="1">
      <c r="A15" s="610">
        <v>425</v>
      </c>
      <c r="B15" s="617" t="s">
        <v>88</v>
      </c>
      <c r="C15" s="96">
        <f>Drift!F50</f>
        <v>2153</v>
      </c>
      <c r="D15" s="57">
        <v>616</v>
      </c>
      <c r="E15" s="57">
        <v>2</v>
      </c>
      <c r="F15" s="57">
        <v>1345</v>
      </c>
      <c r="G15" s="57">
        <v>151</v>
      </c>
      <c r="H15" s="57">
        <v>0</v>
      </c>
      <c r="I15" s="57">
        <v>36</v>
      </c>
      <c r="J15" s="57">
        <v>0</v>
      </c>
      <c r="K15" s="58">
        <v>3</v>
      </c>
      <c r="L15" s="206">
        <v>0</v>
      </c>
      <c r="M15" s="1418">
        <f>C15-SUM(D15:L15)</f>
        <v>0</v>
      </c>
      <c r="N15" s="482">
        <f>Drift!H50</f>
        <v>1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481">
        <f t="shared" si="1"/>
        <v>1</v>
      </c>
      <c r="Y15" s="485">
        <v>139</v>
      </c>
      <c r="Z15" s="57">
        <v>0</v>
      </c>
      <c r="AA15" s="57">
        <v>885</v>
      </c>
      <c r="AB15" s="57">
        <v>2</v>
      </c>
      <c r="AC15" s="114">
        <v>124</v>
      </c>
    </row>
    <row r="16" spans="1:30" ht="20.25" customHeight="1">
      <c r="A16" s="610">
        <v>419</v>
      </c>
      <c r="B16" s="617" t="s">
        <v>175</v>
      </c>
      <c r="C16" s="96">
        <f>SUM(Drift!F46,Drift!F49)</f>
        <v>74</v>
      </c>
      <c r="D16" s="57">
        <v>43</v>
      </c>
      <c r="E16" s="57">
        <v>0</v>
      </c>
      <c r="F16" s="57">
        <v>30</v>
      </c>
      <c r="G16" s="57">
        <v>0</v>
      </c>
      <c r="H16" s="57">
        <v>0</v>
      </c>
      <c r="I16" s="57">
        <v>0</v>
      </c>
      <c r="J16" s="57">
        <v>0</v>
      </c>
      <c r="K16" s="58">
        <v>1</v>
      </c>
      <c r="L16" s="206">
        <v>0</v>
      </c>
      <c r="M16" s="1418">
        <f t="shared" si="0"/>
        <v>0</v>
      </c>
      <c r="N16" s="482">
        <f>SUM(Drift!H46,Drift!H49)</f>
        <v>1</v>
      </c>
      <c r="O16" s="57">
        <v>1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481">
        <f t="shared" si="1"/>
        <v>0</v>
      </c>
      <c r="Y16" s="485">
        <v>1</v>
      </c>
      <c r="Z16" s="57">
        <v>1</v>
      </c>
      <c r="AA16" s="57">
        <v>6</v>
      </c>
      <c r="AB16" s="57">
        <v>0</v>
      </c>
      <c r="AC16" s="114">
        <v>4</v>
      </c>
    </row>
    <row r="17" spans="1:29" ht="12.95" customHeight="1">
      <c r="A17" s="610">
        <v>435</v>
      </c>
      <c r="B17" s="617" t="s">
        <v>522</v>
      </c>
      <c r="C17" s="96">
        <f>Drift!F53</f>
        <v>849</v>
      </c>
      <c r="D17" s="57">
        <v>246</v>
      </c>
      <c r="E17" s="57">
        <v>1</v>
      </c>
      <c r="F17" s="57">
        <v>551</v>
      </c>
      <c r="G17" s="57">
        <v>43</v>
      </c>
      <c r="H17" s="57">
        <v>0</v>
      </c>
      <c r="I17" s="57">
        <v>8</v>
      </c>
      <c r="J17" s="57">
        <v>0</v>
      </c>
      <c r="K17" s="58">
        <v>0</v>
      </c>
      <c r="L17" s="206">
        <v>0</v>
      </c>
      <c r="M17" s="1418">
        <f t="shared" si="0"/>
        <v>0</v>
      </c>
      <c r="N17" s="482">
        <f>Drift!H53</f>
        <v>2</v>
      </c>
      <c r="O17" s="57">
        <v>0</v>
      </c>
      <c r="P17" s="57">
        <v>0</v>
      </c>
      <c r="Q17" s="57">
        <v>2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481">
        <f t="shared" si="1"/>
        <v>0</v>
      </c>
      <c r="Y17" s="485">
        <v>44</v>
      </c>
      <c r="Z17" s="57">
        <v>0</v>
      </c>
      <c r="AA17" s="57">
        <v>204</v>
      </c>
      <c r="AB17" s="57">
        <v>1</v>
      </c>
      <c r="AC17" s="114">
        <v>48</v>
      </c>
    </row>
    <row r="18" spans="1:29" ht="12.95" customHeight="1">
      <c r="A18" s="610">
        <v>440</v>
      </c>
      <c r="B18" s="617" t="s">
        <v>405</v>
      </c>
      <c r="C18" s="96">
        <f>Drift!F54</f>
        <v>15489</v>
      </c>
      <c r="D18" s="57">
        <v>3654</v>
      </c>
      <c r="E18" s="57">
        <v>26</v>
      </c>
      <c r="F18" s="57">
        <v>10207</v>
      </c>
      <c r="G18" s="57">
        <v>1316</v>
      </c>
      <c r="H18" s="57">
        <v>23</v>
      </c>
      <c r="I18" s="57">
        <v>243</v>
      </c>
      <c r="J18" s="57">
        <v>0</v>
      </c>
      <c r="K18" s="58">
        <v>17</v>
      </c>
      <c r="L18" s="206">
        <v>3</v>
      </c>
      <c r="M18" s="1418">
        <f t="shared" si="0"/>
        <v>0</v>
      </c>
      <c r="N18" s="482">
        <f>Drift!H54</f>
        <v>44</v>
      </c>
      <c r="O18" s="57">
        <v>15</v>
      </c>
      <c r="P18" s="57">
        <v>4</v>
      </c>
      <c r="Q18" s="57">
        <v>10</v>
      </c>
      <c r="R18" s="57">
        <v>2</v>
      </c>
      <c r="S18" s="57">
        <v>1</v>
      </c>
      <c r="T18" s="57">
        <v>3</v>
      </c>
      <c r="U18" s="57">
        <v>5</v>
      </c>
      <c r="V18" s="57">
        <v>4</v>
      </c>
      <c r="W18" s="57">
        <v>1</v>
      </c>
      <c r="X18" s="481">
        <f t="shared" si="1"/>
        <v>-1</v>
      </c>
      <c r="Y18" s="485">
        <v>1227</v>
      </c>
      <c r="Z18" s="57">
        <v>8</v>
      </c>
      <c r="AA18" s="57">
        <v>7166</v>
      </c>
      <c r="AB18" s="57">
        <v>36</v>
      </c>
      <c r="AC18" s="114">
        <v>987</v>
      </c>
    </row>
    <row r="19" spans="1:29" ht="12.95" customHeight="1">
      <c r="A19" s="610">
        <v>443</v>
      </c>
      <c r="B19" s="617" t="s">
        <v>686</v>
      </c>
      <c r="C19" s="96">
        <f>Drift!F55</f>
        <v>548</v>
      </c>
      <c r="D19" s="57">
        <v>66</v>
      </c>
      <c r="E19" s="57">
        <v>0</v>
      </c>
      <c r="F19" s="57">
        <v>201</v>
      </c>
      <c r="G19" s="57">
        <v>264</v>
      </c>
      <c r="H19" s="57">
        <v>3</v>
      </c>
      <c r="I19" s="57">
        <v>12</v>
      </c>
      <c r="J19" s="57">
        <v>0</v>
      </c>
      <c r="K19" s="58">
        <v>2</v>
      </c>
      <c r="L19" s="206">
        <v>0</v>
      </c>
      <c r="M19" s="1418">
        <f t="shared" si="0"/>
        <v>0</v>
      </c>
      <c r="N19" s="482">
        <f>Drift!H55</f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481">
        <f t="shared" si="1"/>
        <v>0</v>
      </c>
      <c r="Y19" s="485">
        <v>286</v>
      </c>
      <c r="Z19" s="57">
        <v>0</v>
      </c>
      <c r="AA19" s="57">
        <v>66</v>
      </c>
      <c r="AB19" s="57">
        <v>1</v>
      </c>
      <c r="AC19" s="114">
        <v>20</v>
      </c>
    </row>
    <row r="20" spans="1:29" ht="12.95" customHeight="1">
      <c r="A20" s="610">
        <v>450</v>
      </c>
      <c r="B20" s="617" t="s">
        <v>145</v>
      </c>
      <c r="C20" s="96">
        <f>Drift!F56</f>
        <v>18474</v>
      </c>
      <c r="D20" s="57">
        <v>1028</v>
      </c>
      <c r="E20" s="57">
        <v>21</v>
      </c>
      <c r="F20" s="57">
        <v>7977</v>
      </c>
      <c r="G20" s="57">
        <v>6667</v>
      </c>
      <c r="H20" s="57">
        <v>393</v>
      </c>
      <c r="I20" s="57">
        <v>86</v>
      </c>
      <c r="J20" s="57">
        <v>0</v>
      </c>
      <c r="K20" s="58">
        <v>2287</v>
      </c>
      <c r="L20" s="206">
        <v>15</v>
      </c>
      <c r="M20" s="1418">
        <f t="shared" si="0"/>
        <v>0</v>
      </c>
      <c r="N20" s="482">
        <f>Drift!H56</f>
        <v>271</v>
      </c>
      <c r="O20" s="57">
        <v>10</v>
      </c>
      <c r="P20" s="57">
        <v>2</v>
      </c>
      <c r="Q20" s="57">
        <v>68</v>
      </c>
      <c r="R20" s="57">
        <v>7</v>
      </c>
      <c r="S20" s="57">
        <v>1</v>
      </c>
      <c r="T20" s="57">
        <v>2</v>
      </c>
      <c r="U20" s="57">
        <v>3</v>
      </c>
      <c r="V20" s="57">
        <v>177</v>
      </c>
      <c r="W20" s="57">
        <v>1</v>
      </c>
      <c r="X20" s="481">
        <f t="shared" si="1"/>
        <v>0</v>
      </c>
      <c r="Y20" s="485">
        <v>6717</v>
      </c>
      <c r="Z20" s="57">
        <v>11</v>
      </c>
      <c r="AA20" s="57">
        <v>2865</v>
      </c>
      <c r="AB20" s="57">
        <v>38</v>
      </c>
      <c r="AC20" s="114">
        <v>639</v>
      </c>
    </row>
    <row r="21" spans="1:29" ht="12.95" customHeight="1">
      <c r="A21" s="610">
        <v>453</v>
      </c>
      <c r="B21" s="617" t="s">
        <v>146</v>
      </c>
      <c r="C21" s="96">
        <f>Drift!F57</f>
        <v>962</v>
      </c>
      <c r="D21" s="57">
        <v>55</v>
      </c>
      <c r="E21" s="57">
        <v>0</v>
      </c>
      <c r="F21" s="57">
        <v>192</v>
      </c>
      <c r="G21" s="57">
        <v>519</v>
      </c>
      <c r="H21" s="57">
        <v>55</v>
      </c>
      <c r="I21" s="57">
        <v>1</v>
      </c>
      <c r="J21" s="57">
        <v>0</v>
      </c>
      <c r="K21" s="58">
        <v>140</v>
      </c>
      <c r="L21" s="206">
        <v>0</v>
      </c>
      <c r="M21" s="1418">
        <f t="shared" si="0"/>
        <v>0</v>
      </c>
      <c r="N21" s="482">
        <f>Drift!H57</f>
        <v>2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2</v>
      </c>
      <c r="W21" s="57">
        <v>0</v>
      </c>
      <c r="X21" s="481">
        <f t="shared" si="1"/>
        <v>0</v>
      </c>
      <c r="Y21" s="485">
        <v>513</v>
      </c>
      <c r="Z21" s="57">
        <v>0</v>
      </c>
      <c r="AA21" s="57">
        <v>48</v>
      </c>
      <c r="AB21" s="57">
        <v>0</v>
      </c>
      <c r="AC21" s="114">
        <v>21</v>
      </c>
    </row>
    <row r="22" spans="1:29" ht="12.95" customHeight="1">
      <c r="A22" s="610" t="s">
        <v>531</v>
      </c>
      <c r="B22" s="617" t="s">
        <v>406</v>
      </c>
      <c r="C22" s="96">
        <f>Drift!F60</f>
        <v>303</v>
      </c>
      <c r="D22" s="57">
        <v>16</v>
      </c>
      <c r="E22" s="57">
        <v>2</v>
      </c>
      <c r="F22" s="57">
        <v>140</v>
      </c>
      <c r="G22" s="57">
        <v>56</v>
      </c>
      <c r="H22" s="57">
        <v>0</v>
      </c>
      <c r="I22" s="57">
        <v>1</v>
      </c>
      <c r="J22" s="57">
        <v>0</v>
      </c>
      <c r="K22" s="58">
        <v>88</v>
      </c>
      <c r="L22" s="206">
        <v>0</v>
      </c>
      <c r="M22" s="1418">
        <f t="shared" si="0"/>
        <v>0</v>
      </c>
      <c r="N22" s="482">
        <f>Drift!H60</f>
        <v>1</v>
      </c>
      <c r="O22" s="57">
        <v>1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481">
        <f t="shared" si="1"/>
        <v>0</v>
      </c>
      <c r="Y22" s="485">
        <v>39</v>
      </c>
      <c r="Z22" s="57">
        <v>0</v>
      </c>
      <c r="AA22" s="57">
        <v>49</v>
      </c>
      <c r="AB22" s="57">
        <v>2</v>
      </c>
      <c r="AC22" s="114">
        <v>16</v>
      </c>
    </row>
    <row r="23" spans="1:29" ht="12.95" customHeight="1">
      <c r="A23" s="610" t="s">
        <v>532</v>
      </c>
      <c r="B23" s="617" t="s">
        <v>407</v>
      </c>
      <c r="C23" s="96">
        <f>Drift!F61</f>
        <v>1498</v>
      </c>
      <c r="D23" s="57">
        <v>59</v>
      </c>
      <c r="E23" s="57">
        <v>10</v>
      </c>
      <c r="F23" s="57">
        <v>994</v>
      </c>
      <c r="G23" s="57">
        <v>234</v>
      </c>
      <c r="H23" s="57">
        <v>16</v>
      </c>
      <c r="I23" s="57">
        <v>8</v>
      </c>
      <c r="J23" s="57">
        <v>0</v>
      </c>
      <c r="K23" s="58">
        <v>177</v>
      </c>
      <c r="L23" s="206">
        <v>0</v>
      </c>
      <c r="M23" s="1418">
        <f t="shared" si="0"/>
        <v>0</v>
      </c>
      <c r="N23" s="482">
        <f>Drift!H61</f>
        <v>9</v>
      </c>
      <c r="O23" s="57">
        <v>1</v>
      </c>
      <c r="P23" s="57">
        <v>0</v>
      </c>
      <c r="Q23" s="57">
        <v>2</v>
      </c>
      <c r="R23" s="57">
        <v>3</v>
      </c>
      <c r="S23" s="57">
        <v>0</v>
      </c>
      <c r="T23" s="57">
        <v>0</v>
      </c>
      <c r="U23" s="57">
        <v>3</v>
      </c>
      <c r="V23" s="57">
        <v>0</v>
      </c>
      <c r="W23" s="57">
        <v>0</v>
      </c>
      <c r="X23" s="481">
        <f t="shared" si="1"/>
        <v>0</v>
      </c>
      <c r="Y23" s="485">
        <v>201</v>
      </c>
      <c r="Z23" s="57">
        <v>0</v>
      </c>
      <c r="AA23" s="57">
        <v>969</v>
      </c>
      <c r="AB23" s="57">
        <v>24</v>
      </c>
      <c r="AC23" s="114">
        <v>121</v>
      </c>
    </row>
    <row r="24" spans="1:29" ht="12.95" customHeight="1">
      <c r="A24" s="610">
        <v>474</v>
      </c>
      <c r="B24" s="617" t="s">
        <v>147</v>
      </c>
      <c r="C24" s="96">
        <f>Drift!F63</f>
        <v>34</v>
      </c>
      <c r="D24" s="57">
        <v>6</v>
      </c>
      <c r="E24" s="57">
        <v>0</v>
      </c>
      <c r="F24" s="57">
        <v>3</v>
      </c>
      <c r="G24" s="57">
        <v>12</v>
      </c>
      <c r="H24" s="57">
        <v>0</v>
      </c>
      <c r="I24" s="57">
        <v>0</v>
      </c>
      <c r="J24" s="57">
        <v>0</v>
      </c>
      <c r="K24" s="58">
        <v>13</v>
      </c>
      <c r="L24" s="206">
        <v>0</v>
      </c>
      <c r="M24" s="481">
        <f t="shared" si="0"/>
        <v>0</v>
      </c>
      <c r="N24" s="482">
        <f>Drift!H63</f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481">
        <f t="shared" si="1"/>
        <v>0</v>
      </c>
      <c r="Y24" s="484">
        <v>14</v>
      </c>
      <c r="Z24" s="57">
        <v>0</v>
      </c>
      <c r="AA24" s="57">
        <v>9</v>
      </c>
      <c r="AB24" s="57">
        <v>0</v>
      </c>
      <c r="AC24" s="114">
        <v>1</v>
      </c>
    </row>
    <row r="25" spans="1:29" ht="12.95" customHeight="1">
      <c r="A25" s="610">
        <v>479</v>
      </c>
      <c r="B25" s="617" t="s">
        <v>470</v>
      </c>
      <c r="C25" s="96">
        <f>SUM(Drift!F64,Drift!F65,Drift!F66)</f>
        <v>1086</v>
      </c>
      <c r="D25" s="57">
        <v>128</v>
      </c>
      <c r="E25" s="57">
        <v>6</v>
      </c>
      <c r="F25" s="57">
        <v>748</v>
      </c>
      <c r="G25" s="57">
        <v>81</v>
      </c>
      <c r="H25" s="57">
        <v>9</v>
      </c>
      <c r="I25" s="57">
        <v>17</v>
      </c>
      <c r="J25" s="57">
        <v>0</v>
      </c>
      <c r="K25" s="58">
        <v>96</v>
      </c>
      <c r="L25" s="206">
        <v>0</v>
      </c>
      <c r="M25" s="481">
        <f t="shared" si="0"/>
        <v>1</v>
      </c>
      <c r="N25" s="482">
        <f>SUM(Drift!H64:H66)</f>
        <v>54</v>
      </c>
      <c r="O25" s="57">
        <v>13</v>
      </c>
      <c r="P25" s="57">
        <v>3</v>
      </c>
      <c r="Q25" s="57">
        <v>4</v>
      </c>
      <c r="R25" s="57">
        <v>0</v>
      </c>
      <c r="S25" s="57">
        <v>0</v>
      </c>
      <c r="T25" s="57">
        <v>0</v>
      </c>
      <c r="U25" s="57">
        <v>32</v>
      </c>
      <c r="V25" s="57">
        <v>2</v>
      </c>
      <c r="W25" s="57">
        <v>0</v>
      </c>
      <c r="X25" s="481">
        <f t="shared" si="1"/>
        <v>0</v>
      </c>
      <c r="Y25" s="485">
        <v>110</v>
      </c>
      <c r="Z25" s="57">
        <v>2</v>
      </c>
      <c r="AA25" s="57">
        <v>1293</v>
      </c>
      <c r="AB25" s="57">
        <v>17</v>
      </c>
      <c r="AC25" s="114">
        <v>73</v>
      </c>
    </row>
    <row r="26" spans="1:29" ht="12.95" customHeight="1">
      <c r="A26" s="610">
        <v>509</v>
      </c>
      <c r="B26" s="617" t="s">
        <v>469</v>
      </c>
      <c r="C26" s="96">
        <f>SUM(Drift!F70,Drift!F71)</f>
        <v>256</v>
      </c>
      <c r="D26" s="72">
        <v>0</v>
      </c>
      <c r="E26" s="72">
        <v>-3</v>
      </c>
      <c r="F26" s="72">
        <v>111</v>
      </c>
      <c r="G26" s="72">
        <v>0</v>
      </c>
      <c r="H26" s="72">
        <v>147</v>
      </c>
      <c r="I26" s="72">
        <v>0</v>
      </c>
      <c r="J26" s="72">
        <v>0</v>
      </c>
      <c r="K26" s="206">
        <v>0</v>
      </c>
      <c r="L26" s="206">
        <v>1</v>
      </c>
      <c r="M26" s="481">
        <f t="shared" si="0"/>
        <v>0</v>
      </c>
      <c r="N26" s="482">
        <f>SUM(Drift!H70,Drift!H71)</f>
        <v>1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1</v>
      </c>
      <c r="W26" s="72">
        <v>0</v>
      </c>
      <c r="X26" s="481">
        <f t="shared" si="1"/>
        <v>0</v>
      </c>
      <c r="Y26" s="485">
        <v>2</v>
      </c>
      <c r="Z26" s="72">
        <v>85</v>
      </c>
      <c r="AA26" s="72">
        <v>195</v>
      </c>
      <c r="AB26" s="72">
        <v>0</v>
      </c>
      <c r="AC26" s="114">
        <v>13</v>
      </c>
    </row>
    <row r="27" spans="1:29" ht="12.95" customHeight="1">
      <c r="A27" s="610">
        <v>510</v>
      </c>
      <c r="B27" s="617" t="s">
        <v>534</v>
      </c>
      <c r="C27" s="96">
        <f>Drift!F73</f>
        <v>19382</v>
      </c>
      <c r="D27" s="57">
        <v>1584</v>
      </c>
      <c r="E27" s="57">
        <v>230</v>
      </c>
      <c r="F27" s="57">
        <v>16396</v>
      </c>
      <c r="G27" s="57">
        <v>145</v>
      </c>
      <c r="H27" s="57">
        <v>279</v>
      </c>
      <c r="I27" s="57">
        <v>19</v>
      </c>
      <c r="J27" s="57">
        <v>0</v>
      </c>
      <c r="K27" s="58">
        <v>729</v>
      </c>
      <c r="L27" s="206">
        <v>0</v>
      </c>
      <c r="M27" s="481">
        <f t="shared" si="0"/>
        <v>0</v>
      </c>
      <c r="N27" s="482">
        <f>Drift!H73</f>
        <v>1032</v>
      </c>
      <c r="O27" s="57">
        <v>84</v>
      </c>
      <c r="P27" s="57">
        <v>9</v>
      </c>
      <c r="Q27" s="57">
        <v>325</v>
      </c>
      <c r="R27" s="57">
        <v>3</v>
      </c>
      <c r="S27" s="57">
        <v>7</v>
      </c>
      <c r="T27" s="57">
        <v>9</v>
      </c>
      <c r="U27" s="57">
        <v>20</v>
      </c>
      <c r="V27" s="57">
        <v>575</v>
      </c>
      <c r="W27" s="57">
        <v>0</v>
      </c>
      <c r="X27" s="481">
        <f t="shared" si="1"/>
        <v>0</v>
      </c>
      <c r="Y27" s="485">
        <v>122</v>
      </c>
      <c r="Z27" s="57">
        <v>118</v>
      </c>
      <c r="AA27" s="57">
        <v>2140</v>
      </c>
      <c r="AB27" s="57">
        <v>11</v>
      </c>
      <c r="AC27" s="114">
        <v>1893</v>
      </c>
    </row>
    <row r="28" spans="1:29" ht="18" customHeight="1">
      <c r="A28" s="1749">
        <v>520</v>
      </c>
      <c r="B28" s="656" t="s">
        <v>401</v>
      </c>
      <c r="C28" s="96">
        <f>Drift!F74</f>
        <v>3340</v>
      </c>
      <c r="D28" s="57">
        <v>206</v>
      </c>
      <c r="E28" s="57">
        <v>10</v>
      </c>
      <c r="F28" s="57">
        <v>2955</v>
      </c>
      <c r="G28" s="57">
        <v>50</v>
      </c>
      <c r="H28" s="57">
        <v>26</v>
      </c>
      <c r="I28" s="57">
        <v>5</v>
      </c>
      <c r="J28" s="57">
        <v>0</v>
      </c>
      <c r="K28" s="57">
        <v>87</v>
      </c>
      <c r="L28" s="57">
        <v>0</v>
      </c>
      <c r="M28" s="481">
        <f t="shared" si="0"/>
        <v>1</v>
      </c>
      <c r="N28" s="482">
        <f>Drift!H74</f>
        <v>459</v>
      </c>
      <c r="O28" s="57">
        <v>100</v>
      </c>
      <c r="P28" s="57">
        <v>1</v>
      </c>
      <c r="Q28" s="57">
        <v>189</v>
      </c>
      <c r="R28" s="57">
        <v>1</v>
      </c>
      <c r="S28" s="57">
        <v>0</v>
      </c>
      <c r="T28" s="57">
        <v>2</v>
      </c>
      <c r="U28" s="195">
        <v>2</v>
      </c>
      <c r="V28" s="57">
        <v>163</v>
      </c>
      <c r="W28" s="57">
        <v>0</v>
      </c>
      <c r="X28" s="481">
        <f>N28-SUM(O28:W28)</f>
        <v>1</v>
      </c>
      <c r="Y28" s="484">
        <v>32</v>
      </c>
      <c r="Z28" s="57">
        <v>14</v>
      </c>
      <c r="AA28" s="57">
        <v>270</v>
      </c>
      <c r="AB28" s="57">
        <v>4</v>
      </c>
      <c r="AC28" s="570">
        <v>262</v>
      </c>
    </row>
    <row r="29" spans="1:29" ht="13.5" customHeight="1">
      <c r="A29" s="1749">
        <v>513</v>
      </c>
      <c r="B29" s="1612" t="s">
        <v>402</v>
      </c>
      <c r="C29" s="96">
        <f>Drift!F75</f>
        <v>10720</v>
      </c>
      <c r="D29" s="57">
        <v>1226</v>
      </c>
      <c r="E29" s="57">
        <v>138</v>
      </c>
      <c r="F29" s="57">
        <v>8590</v>
      </c>
      <c r="G29" s="57">
        <v>327</v>
      </c>
      <c r="H29" s="57">
        <v>90</v>
      </c>
      <c r="I29" s="57">
        <v>22</v>
      </c>
      <c r="J29" s="57">
        <v>0</v>
      </c>
      <c r="K29" s="58">
        <v>327</v>
      </c>
      <c r="L29" s="206">
        <v>0</v>
      </c>
      <c r="M29" s="481">
        <f t="shared" si="0"/>
        <v>0</v>
      </c>
      <c r="N29" s="482">
        <f>Drift!H75</f>
        <v>5132</v>
      </c>
      <c r="O29" s="57">
        <v>18</v>
      </c>
      <c r="P29" s="57">
        <v>1</v>
      </c>
      <c r="Q29" s="57">
        <v>50</v>
      </c>
      <c r="R29" s="57">
        <v>6</v>
      </c>
      <c r="S29" s="57">
        <v>2</v>
      </c>
      <c r="T29" s="57">
        <v>2</v>
      </c>
      <c r="U29" s="195">
        <v>4840</v>
      </c>
      <c r="V29" s="57">
        <v>214</v>
      </c>
      <c r="W29" s="57">
        <v>0</v>
      </c>
      <c r="X29" s="481">
        <f>N29-SUM(O29:W29)</f>
        <v>-1</v>
      </c>
      <c r="Y29" s="484">
        <v>257</v>
      </c>
      <c r="Z29" s="57">
        <v>23</v>
      </c>
      <c r="AA29" s="57">
        <v>409</v>
      </c>
      <c r="AB29" s="57">
        <v>1</v>
      </c>
      <c r="AC29" s="570">
        <v>7730</v>
      </c>
    </row>
    <row r="30" spans="1:29" ht="12.95" customHeight="1">
      <c r="A30" s="610">
        <v>530</v>
      </c>
      <c r="B30" s="1182" t="s">
        <v>107</v>
      </c>
      <c r="C30" s="96">
        <f>Drift!F76</f>
        <v>1561</v>
      </c>
      <c r="D30" s="57">
        <v>1</v>
      </c>
      <c r="E30" s="57">
        <v>9</v>
      </c>
      <c r="F30" s="57">
        <v>1098</v>
      </c>
      <c r="G30" s="57">
        <v>39</v>
      </c>
      <c r="H30" s="57">
        <v>382</v>
      </c>
      <c r="I30" s="57">
        <v>0</v>
      </c>
      <c r="J30" s="57">
        <v>0</v>
      </c>
      <c r="K30" s="58">
        <v>32</v>
      </c>
      <c r="L30" s="206">
        <v>0</v>
      </c>
      <c r="M30" s="481">
        <f t="shared" si="0"/>
        <v>0</v>
      </c>
      <c r="N30" s="482">
        <f>Drift!H76</f>
        <v>37</v>
      </c>
      <c r="O30" s="57">
        <v>0</v>
      </c>
      <c r="P30" s="57">
        <v>2</v>
      </c>
      <c r="Q30" s="57">
        <v>2</v>
      </c>
      <c r="R30" s="57">
        <v>0</v>
      </c>
      <c r="S30" s="57">
        <v>13</v>
      </c>
      <c r="T30" s="57">
        <v>20</v>
      </c>
      <c r="U30" s="57">
        <v>0</v>
      </c>
      <c r="V30" s="57">
        <v>0</v>
      </c>
      <c r="W30" s="57">
        <v>0</v>
      </c>
      <c r="X30" s="481">
        <f t="shared" si="1"/>
        <v>0</v>
      </c>
      <c r="Y30" s="484">
        <v>28</v>
      </c>
      <c r="Z30" s="57">
        <v>4</v>
      </c>
      <c r="AA30" s="57">
        <v>6</v>
      </c>
      <c r="AB30" s="57">
        <v>0</v>
      </c>
      <c r="AC30" s="114">
        <v>20</v>
      </c>
    </row>
    <row r="31" spans="1:29" ht="12.95" customHeight="1">
      <c r="A31" s="610">
        <v>559</v>
      </c>
      <c r="B31" s="1182" t="s">
        <v>222</v>
      </c>
      <c r="C31" s="96">
        <f>Drift!F79</f>
        <v>2848</v>
      </c>
      <c r="D31" s="57">
        <v>325</v>
      </c>
      <c r="E31" s="57">
        <v>4</v>
      </c>
      <c r="F31" s="57">
        <v>1906</v>
      </c>
      <c r="G31" s="57">
        <v>74</v>
      </c>
      <c r="H31" s="57">
        <v>39</v>
      </c>
      <c r="I31" s="57">
        <v>482</v>
      </c>
      <c r="J31" s="57">
        <v>0</v>
      </c>
      <c r="K31" s="57">
        <v>16</v>
      </c>
      <c r="L31" s="57">
        <v>2</v>
      </c>
      <c r="M31" s="1418">
        <f t="shared" si="0"/>
        <v>0</v>
      </c>
      <c r="N31" s="482">
        <f>Drift!H79</f>
        <v>178</v>
      </c>
      <c r="O31" s="57">
        <v>144</v>
      </c>
      <c r="P31" s="57">
        <v>0</v>
      </c>
      <c r="Q31" s="57">
        <v>5</v>
      </c>
      <c r="R31" s="57">
        <v>1</v>
      </c>
      <c r="S31" s="57">
        <v>2</v>
      </c>
      <c r="T31" s="57">
        <v>1</v>
      </c>
      <c r="U31" s="57">
        <v>0</v>
      </c>
      <c r="V31" s="57">
        <v>25</v>
      </c>
      <c r="W31" s="57">
        <v>0</v>
      </c>
      <c r="X31" s="1418">
        <f t="shared" si="1"/>
        <v>0</v>
      </c>
      <c r="Y31" s="484">
        <v>77</v>
      </c>
      <c r="Z31" s="72">
        <v>5</v>
      </c>
      <c r="AA31" s="72">
        <v>107</v>
      </c>
      <c r="AB31" s="72">
        <v>1</v>
      </c>
      <c r="AC31" s="198">
        <v>162</v>
      </c>
    </row>
    <row r="32" spans="1:29" ht="12.95" customHeight="1">
      <c r="A32" s="610">
        <v>552</v>
      </c>
      <c r="B32" s="617" t="s">
        <v>149</v>
      </c>
      <c r="C32" s="57"/>
      <c r="D32" s="57">
        <v>139</v>
      </c>
      <c r="E32" s="57">
        <v>1</v>
      </c>
      <c r="F32" s="57">
        <v>1042</v>
      </c>
      <c r="G32" s="57">
        <v>39</v>
      </c>
      <c r="H32" s="57">
        <v>25</v>
      </c>
      <c r="I32" s="57">
        <v>417</v>
      </c>
      <c r="J32" s="57">
        <v>0</v>
      </c>
      <c r="K32" s="57">
        <v>8</v>
      </c>
      <c r="L32" s="57">
        <v>1</v>
      </c>
      <c r="M32" s="1418" t="str">
        <f>IF(OR(C32="",C32=0),"",C32-SUM(D32:L32))</f>
        <v/>
      </c>
      <c r="N32" s="57"/>
      <c r="O32" s="57">
        <v>69</v>
      </c>
      <c r="P32" s="57">
        <v>0</v>
      </c>
      <c r="Q32" s="57">
        <v>1</v>
      </c>
      <c r="R32" s="57">
        <v>0</v>
      </c>
      <c r="S32" s="57">
        <v>0</v>
      </c>
      <c r="T32" s="57">
        <v>0</v>
      </c>
      <c r="U32" s="57">
        <v>0</v>
      </c>
      <c r="V32" s="57">
        <v>8</v>
      </c>
      <c r="W32" s="57">
        <v>0</v>
      </c>
      <c r="X32" s="1418" t="str">
        <f>IF(OR(N32="",N32=0),"",N32-SUM(O32:W32))</f>
        <v/>
      </c>
      <c r="Y32" s="485">
        <v>50</v>
      </c>
      <c r="Z32" s="57">
        <v>1</v>
      </c>
      <c r="AA32" s="57">
        <v>18</v>
      </c>
      <c r="AB32" s="57">
        <v>0</v>
      </c>
      <c r="AC32" s="198">
        <v>54</v>
      </c>
    </row>
    <row r="33" spans="1:29" ht="12.95" customHeight="1">
      <c r="A33" s="610">
        <v>569</v>
      </c>
      <c r="B33" s="612" t="s">
        <v>111</v>
      </c>
      <c r="C33" s="96">
        <f>Drift!F80</f>
        <v>6739</v>
      </c>
      <c r="D33" s="57">
        <v>213</v>
      </c>
      <c r="E33" s="57">
        <v>11</v>
      </c>
      <c r="F33" s="57">
        <v>5297</v>
      </c>
      <c r="G33" s="57">
        <v>173</v>
      </c>
      <c r="H33" s="57">
        <v>51</v>
      </c>
      <c r="I33" s="57">
        <v>974</v>
      </c>
      <c r="J33" s="57">
        <v>0</v>
      </c>
      <c r="K33" s="57">
        <v>20</v>
      </c>
      <c r="L33" s="57">
        <v>0</v>
      </c>
      <c r="M33" s="1418">
        <f t="shared" si="0"/>
        <v>0</v>
      </c>
      <c r="N33" s="482">
        <f>Drift!H80</f>
        <v>201</v>
      </c>
      <c r="O33" s="57">
        <v>57</v>
      </c>
      <c r="P33" s="57">
        <v>0</v>
      </c>
      <c r="Q33" s="57">
        <v>13</v>
      </c>
      <c r="R33" s="57">
        <v>3</v>
      </c>
      <c r="S33" s="57">
        <v>3</v>
      </c>
      <c r="T33" s="57">
        <v>2</v>
      </c>
      <c r="U33" s="57">
        <v>1</v>
      </c>
      <c r="V33" s="57">
        <v>122</v>
      </c>
      <c r="W33" s="57">
        <v>0</v>
      </c>
      <c r="X33" s="1418">
        <f t="shared" si="1"/>
        <v>0</v>
      </c>
      <c r="Y33" s="485">
        <v>143</v>
      </c>
      <c r="Z33" s="57">
        <v>45</v>
      </c>
      <c r="AA33" s="57">
        <v>1497</v>
      </c>
      <c r="AB33" s="57">
        <v>4</v>
      </c>
      <c r="AC33" s="198">
        <v>493</v>
      </c>
    </row>
    <row r="34" spans="1:29" ht="12.95" customHeight="1">
      <c r="A34" s="610">
        <v>554</v>
      </c>
      <c r="B34" s="617" t="s">
        <v>226</v>
      </c>
      <c r="C34" s="57"/>
      <c r="D34" s="57">
        <v>77</v>
      </c>
      <c r="E34" s="57">
        <v>7</v>
      </c>
      <c r="F34" s="57">
        <v>2600</v>
      </c>
      <c r="G34" s="57">
        <v>63</v>
      </c>
      <c r="H34" s="57">
        <v>12</v>
      </c>
      <c r="I34" s="57">
        <v>816</v>
      </c>
      <c r="J34" s="57">
        <v>0</v>
      </c>
      <c r="K34" s="57">
        <v>7</v>
      </c>
      <c r="L34" s="57">
        <v>0</v>
      </c>
      <c r="M34" s="1418" t="str">
        <f>IF(OR(C34="",C34=0),"",C34-SUM(D34:L34))</f>
        <v/>
      </c>
      <c r="N34" s="57"/>
      <c r="O34" s="57">
        <v>2</v>
      </c>
      <c r="P34" s="57">
        <v>0</v>
      </c>
      <c r="Q34" s="57">
        <v>3</v>
      </c>
      <c r="R34" s="57">
        <v>0</v>
      </c>
      <c r="S34" s="57">
        <v>0</v>
      </c>
      <c r="T34" s="57">
        <v>0</v>
      </c>
      <c r="U34" s="57">
        <v>0</v>
      </c>
      <c r="V34" s="57">
        <v>17</v>
      </c>
      <c r="W34" s="57">
        <v>0</v>
      </c>
      <c r="X34" s="1418" t="str">
        <f>IF(OR(N34="",N34=0),"",N34-SUM(O34:W34))</f>
        <v/>
      </c>
      <c r="Y34" s="485">
        <v>48</v>
      </c>
      <c r="Z34" s="57">
        <v>7</v>
      </c>
      <c r="AA34" s="57">
        <v>582</v>
      </c>
      <c r="AB34" s="57">
        <v>0</v>
      </c>
      <c r="AC34" s="198">
        <v>157</v>
      </c>
    </row>
    <row r="35" spans="1:29" ht="12.95" customHeight="1">
      <c r="A35" s="610">
        <v>580</v>
      </c>
      <c r="B35" s="617" t="s">
        <v>150</v>
      </c>
      <c r="C35" s="96">
        <f>SUM(Drift!F81,Drift!F82,Drift!F84)</f>
        <v>863</v>
      </c>
      <c r="D35" s="57">
        <v>94</v>
      </c>
      <c r="E35" s="57">
        <v>11</v>
      </c>
      <c r="F35" s="57">
        <v>616</v>
      </c>
      <c r="G35" s="57">
        <v>97</v>
      </c>
      <c r="H35" s="57">
        <v>13</v>
      </c>
      <c r="I35" s="57">
        <v>8</v>
      </c>
      <c r="J35" s="57">
        <v>0</v>
      </c>
      <c r="K35" s="58">
        <v>24</v>
      </c>
      <c r="L35" s="206">
        <v>0</v>
      </c>
      <c r="M35" s="1418">
        <f t="shared" si="0"/>
        <v>0</v>
      </c>
      <c r="N35" s="482">
        <f>SUM(Drift!H81,Drift!H82,Drift!H84)</f>
        <v>10132</v>
      </c>
      <c r="O35" s="57">
        <v>188</v>
      </c>
      <c r="P35" s="57">
        <v>2</v>
      </c>
      <c r="Q35" s="57">
        <v>28</v>
      </c>
      <c r="R35" s="57">
        <v>2</v>
      </c>
      <c r="S35" s="57">
        <v>2</v>
      </c>
      <c r="T35" s="57">
        <v>7</v>
      </c>
      <c r="U35" s="57">
        <v>3</v>
      </c>
      <c r="V35" s="57">
        <v>9900</v>
      </c>
      <c r="W35" s="57">
        <v>0</v>
      </c>
      <c r="X35" s="1418">
        <f t="shared" si="1"/>
        <v>0</v>
      </c>
      <c r="Y35" s="484">
        <v>92</v>
      </c>
      <c r="Z35" s="57">
        <v>1</v>
      </c>
      <c r="AA35" s="57">
        <v>496</v>
      </c>
      <c r="AB35" s="57">
        <v>1</v>
      </c>
      <c r="AC35" s="114">
        <v>284</v>
      </c>
    </row>
    <row r="36" spans="1:29" ht="12.95" customHeight="1">
      <c r="A36" s="610">
        <v>600</v>
      </c>
      <c r="B36" s="612" t="s">
        <v>119</v>
      </c>
      <c r="C36" s="96">
        <f>Drift!F87</f>
        <v>11756</v>
      </c>
      <c r="D36" s="72">
        <v>447</v>
      </c>
      <c r="E36" s="72">
        <v>30</v>
      </c>
      <c r="F36" s="72">
        <v>10692</v>
      </c>
      <c r="G36" s="72">
        <v>198</v>
      </c>
      <c r="H36" s="72">
        <v>14</v>
      </c>
      <c r="I36" s="72">
        <v>188</v>
      </c>
      <c r="J36" s="72">
        <v>0</v>
      </c>
      <c r="K36" s="206">
        <v>187</v>
      </c>
      <c r="L36" s="206">
        <v>0</v>
      </c>
      <c r="M36" s="481">
        <f t="shared" si="0"/>
        <v>0</v>
      </c>
      <c r="N36" s="482">
        <f>Drift!H87</f>
        <v>977</v>
      </c>
      <c r="O36" s="72">
        <v>63</v>
      </c>
      <c r="P36" s="72">
        <v>11</v>
      </c>
      <c r="Q36" s="72">
        <v>29</v>
      </c>
      <c r="R36" s="72">
        <v>1</v>
      </c>
      <c r="S36" s="72">
        <v>3</v>
      </c>
      <c r="T36" s="72">
        <v>1</v>
      </c>
      <c r="U36" s="72">
        <v>7</v>
      </c>
      <c r="V36" s="72">
        <v>862</v>
      </c>
      <c r="W36" s="72">
        <v>0</v>
      </c>
      <c r="X36" s="481">
        <f t="shared" si="1"/>
        <v>0</v>
      </c>
      <c r="Y36" s="485">
        <v>87</v>
      </c>
      <c r="Z36" s="72">
        <v>23</v>
      </c>
      <c r="AA36" s="72">
        <v>29199</v>
      </c>
      <c r="AB36" s="72">
        <v>15</v>
      </c>
      <c r="AC36" s="114">
        <v>555</v>
      </c>
    </row>
    <row r="37" spans="1:29" ht="12.95" customHeight="1">
      <c r="A37" s="610">
        <v>610</v>
      </c>
      <c r="B37" s="617" t="s">
        <v>151</v>
      </c>
      <c r="C37" s="96">
        <f>Drift!F88</f>
        <v>181</v>
      </c>
      <c r="D37" s="57">
        <v>36</v>
      </c>
      <c r="E37" s="57">
        <v>15</v>
      </c>
      <c r="F37" s="57">
        <v>99</v>
      </c>
      <c r="G37" s="57">
        <v>14</v>
      </c>
      <c r="H37" s="57">
        <v>3</v>
      </c>
      <c r="I37" s="57">
        <v>6</v>
      </c>
      <c r="J37" s="57">
        <v>0</v>
      </c>
      <c r="K37" s="58">
        <v>7</v>
      </c>
      <c r="L37" s="206">
        <v>1</v>
      </c>
      <c r="M37" s="481">
        <f t="shared" si="0"/>
        <v>0</v>
      </c>
      <c r="N37" s="482">
        <f>Drift!H88</f>
        <v>165</v>
      </c>
      <c r="O37" s="57">
        <v>78</v>
      </c>
      <c r="P37" s="57">
        <v>10</v>
      </c>
      <c r="Q37" s="57">
        <v>25</v>
      </c>
      <c r="R37" s="57">
        <v>8</v>
      </c>
      <c r="S37" s="57">
        <v>1</v>
      </c>
      <c r="T37" s="57">
        <v>30</v>
      </c>
      <c r="U37" s="57">
        <v>2</v>
      </c>
      <c r="V37" s="57">
        <v>10</v>
      </c>
      <c r="W37" s="57">
        <v>0</v>
      </c>
      <c r="X37" s="481">
        <f t="shared" si="1"/>
        <v>1</v>
      </c>
      <c r="Y37" s="485">
        <v>9</v>
      </c>
      <c r="Z37" s="57">
        <v>0</v>
      </c>
      <c r="AA37" s="57">
        <v>2544</v>
      </c>
      <c r="AB37" s="57">
        <v>95</v>
      </c>
      <c r="AC37" s="114">
        <v>171</v>
      </c>
    </row>
    <row r="38" spans="1:29" ht="12.95" customHeight="1">
      <c r="A38" s="610">
        <v>890</v>
      </c>
      <c r="B38" s="617" t="s">
        <v>152</v>
      </c>
      <c r="C38" s="96">
        <f>Drift!F109</f>
        <v>5471</v>
      </c>
      <c r="D38" s="57">
        <v>4</v>
      </c>
      <c r="E38" s="57">
        <v>1864</v>
      </c>
      <c r="F38" s="57">
        <v>2803</v>
      </c>
      <c r="G38" s="57">
        <v>147</v>
      </c>
      <c r="H38" s="57">
        <v>276</v>
      </c>
      <c r="I38" s="57">
        <v>54</v>
      </c>
      <c r="J38" s="57">
        <v>0</v>
      </c>
      <c r="K38" s="58">
        <v>320</v>
      </c>
      <c r="L38" s="206">
        <v>3</v>
      </c>
      <c r="M38" s="481">
        <f t="shared" si="0"/>
        <v>0</v>
      </c>
      <c r="N38" s="482">
        <f>Drift!H109</f>
        <v>1410</v>
      </c>
      <c r="O38" s="57">
        <v>17</v>
      </c>
      <c r="P38" s="57">
        <v>394</v>
      </c>
      <c r="Q38" s="57">
        <v>455</v>
      </c>
      <c r="R38" s="57">
        <v>0</v>
      </c>
      <c r="S38" s="57">
        <v>124</v>
      </c>
      <c r="T38" s="57">
        <v>400</v>
      </c>
      <c r="U38" s="57">
        <v>12</v>
      </c>
      <c r="V38" s="57">
        <v>7</v>
      </c>
      <c r="W38" s="57">
        <v>0</v>
      </c>
      <c r="X38" s="481">
        <f t="shared" si="1"/>
        <v>1</v>
      </c>
      <c r="Y38" s="485">
        <v>145</v>
      </c>
      <c r="Z38" s="57">
        <v>30</v>
      </c>
      <c r="AA38" s="57">
        <v>307</v>
      </c>
      <c r="AB38" s="57">
        <v>5</v>
      </c>
      <c r="AC38" s="114">
        <v>4121</v>
      </c>
    </row>
    <row r="39" spans="1:29" ht="12.95" customHeight="1">
      <c r="A39" s="610">
        <v>940</v>
      </c>
      <c r="B39" s="617" t="s">
        <v>153</v>
      </c>
      <c r="C39" s="96">
        <f>SUM(Drift!F111:F112)</f>
        <v>872</v>
      </c>
      <c r="D39" s="57">
        <v>21</v>
      </c>
      <c r="E39" s="57">
        <v>405</v>
      </c>
      <c r="F39" s="57">
        <v>229</v>
      </c>
      <c r="G39" s="57">
        <v>147</v>
      </c>
      <c r="H39" s="57">
        <v>5</v>
      </c>
      <c r="I39" s="57">
        <v>3</v>
      </c>
      <c r="J39" s="57">
        <v>0</v>
      </c>
      <c r="K39" s="58">
        <v>63</v>
      </c>
      <c r="L39" s="206">
        <v>0</v>
      </c>
      <c r="M39" s="481">
        <f t="shared" si="0"/>
        <v>-1</v>
      </c>
      <c r="N39" s="482">
        <f>SUM(Drift!H111:H112)</f>
        <v>431</v>
      </c>
      <c r="O39" s="57">
        <v>151</v>
      </c>
      <c r="P39" s="57">
        <v>84</v>
      </c>
      <c r="Q39" s="57">
        <v>84</v>
      </c>
      <c r="R39" s="57">
        <v>8</v>
      </c>
      <c r="S39" s="57">
        <v>7</v>
      </c>
      <c r="T39" s="57">
        <v>49</v>
      </c>
      <c r="U39" s="57">
        <v>38</v>
      </c>
      <c r="V39" s="57">
        <v>7</v>
      </c>
      <c r="W39" s="57">
        <v>2</v>
      </c>
      <c r="X39" s="481">
        <f t="shared" si="1"/>
        <v>1</v>
      </c>
      <c r="Y39" s="485">
        <v>406</v>
      </c>
      <c r="Z39" s="57">
        <v>45</v>
      </c>
      <c r="AA39" s="57">
        <v>790</v>
      </c>
      <c r="AB39" s="57">
        <v>55</v>
      </c>
      <c r="AC39" s="114">
        <v>758</v>
      </c>
    </row>
    <row r="40" spans="1:29" ht="12.95" customHeight="1">
      <c r="A40" s="643" t="s">
        <v>303</v>
      </c>
      <c r="B40" s="1183" t="s">
        <v>41</v>
      </c>
      <c r="C40" s="454">
        <f>SUM(C9:C31,C33,C35:C39)</f>
        <v>129213</v>
      </c>
      <c r="D40" s="406">
        <f>SUM(D9:D31,D33,D35:D39)</f>
        <v>14703</v>
      </c>
      <c r="E40" s="406">
        <f t="shared" ref="E40:L40" si="2">SUM(E9:E31,E33,E35:E39)</f>
        <v>3999</v>
      </c>
      <c r="F40" s="406">
        <f t="shared" si="2"/>
        <v>86596</v>
      </c>
      <c r="G40" s="406">
        <f t="shared" si="2"/>
        <v>11645</v>
      </c>
      <c r="H40" s="406">
        <f t="shared" si="2"/>
        <v>1831</v>
      </c>
      <c r="I40" s="406">
        <f t="shared" si="2"/>
        <v>2233</v>
      </c>
      <c r="J40" s="406">
        <f t="shared" si="2"/>
        <v>0</v>
      </c>
      <c r="K40" s="406">
        <f t="shared" si="2"/>
        <v>8177</v>
      </c>
      <c r="L40" s="406">
        <f t="shared" si="2"/>
        <v>30</v>
      </c>
      <c r="M40" s="409">
        <f>SUM(M9:M31,M33,M35:M39)</f>
        <v>-1</v>
      </c>
      <c r="N40" s="483">
        <f>SUM(N9:N31,N33,N35:N39)</f>
        <v>27406</v>
      </c>
      <c r="O40" s="406">
        <f>SUM(O9:O31,O33,O35:O39)</f>
        <v>4645</v>
      </c>
      <c r="P40" s="406">
        <f t="shared" ref="P40:W40" si="3">SUM(P9:P31,P33,P35:P39)</f>
        <v>1568</v>
      </c>
      <c r="Q40" s="406">
        <f t="shared" si="3"/>
        <v>2120</v>
      </c>
      <c r="R40" s="406">
        <f t="shared" si="3"/>
        <v>87</v>
      </c>
      <c r="S40" s="406">
        <f t="shared" si="3"/>
        <v>295</v>
      </c>
      <c r="T40" s="406">
        <f t="shared" si="3"/>
        <v>1115</v>
      </c>
      <c r="U40" s="406">
        <f t="shared" si="3"/>
        <v>5332</v>
      </c>
      <c r="V40" s="406">
        <f t="shared" si="3"/>
        <v>12223</v>
      </c>
      <c r="W40" s="406">
        <f t="shared" si="3"/>
        <v>17</v>
      </c>
      <c r="X40" s="409">
        <f t="shared" ref="X40:AC40" si="4">SUM(X9:X31,X33,X35:X39)</f>
        <v>4</v>
      </c>
      <c r="Y40" s="486">
        <f t="shared" si="4"/>
        <v>11453</v>
      </c>
      <c r="Z40" s="407">
        <f t="shared" si="4"/>
        <v>436</v>
      </c>
      <c r="AA40" s="407">
        <f t="shared" si="4"/>
        <v>57749</v>
      </c>
      <c r="AB40" s="407">
        <f t="shared" si="4"/>
        <v>404</v>
      </c>
      <c r="AC40" s="408">
        <f t="shared" si="4"/>
        <v>21182</v>
      </c>
    </row>
    <row r="41" spans="1:29" ht="12" customHeight="1">
      <c r="A41" s="643"/>
      <c r="B41" s="1184" t="s">
        <v>170</v>
      </c>
      <c r="C41" s="11"/>
      <c r="D41" s="50"/>
      <c r="E41" s="50"/>
      <c r="F41" s="50"/>
      <c r="G41" s="50"/>
      <c r="H41" s="50"/>
      <c r="I41" s="50"/>
      <c r="K41" s="49"/>
      <c r="L41" s="50"/>
      <c r="M41" s="1511"/>
      <c r="N41" s="573"/>
      <c r="O41" s="288"/>
      <c r="P41" s="288"/>
      <c r="Q41" s="288"/>
      <c r="R41" s="288"/>
      <c r="S41" s="288"/>
      <c r="T41" s="289"/>
      <c r="V41" s="289"/>
      <c r="W41" s="576"/>
      <c r="X41" s="583"/>
      <c r="Y41" s="135">
        <f>'Verks int o kostn'!I26</f>
        <v>11452</v>
      </c>
      <c r="Z41" s="100">
        <f>'Verks int o kostn'!I27</f>
        <v>437</v>
      </c>
      <c r="AA41" s="100">
        <f>SUM('Verks int o kostn'!D17,'Verks int o kostn'!D18)</f>
        <v>57751</v>
      </c>
      <c r="AB41" s="100">
        <f>'Verks int o kostn'!D22</f>
        <v>404</v>
      </c>
      <c r="AC41" s="287">
        <f>SUM('Verks int o kostn'!D14,'Verks int o kostn'!D19,'Verks int o kostn'!D20,'Verks int o kostn'!D21,'Verks int o kostn'!D23+'Verks int o kostn'!D24)</f>
        <v>21181</v>
      </c>
    </row>
    <row r="42" spans="1:29" ht="12.75" customHeight="1" thickBot="1">
      <c r="A42" s="634"/>
      <c r="B42" s="1185"/>
      <c r="C42" s="283"/>
      <c r="D42" s="143"/>
      <c r="E42" s="143"/>
      <c r="F42" s="143"/>
      <c r="G42" s="143"/>
      <c r="H42" s="143"/>
      <c r="I42" s="143"/>
      <c r="J42" s="571"/>
      <c r="K42" s="143"/>
      <c r="L42" s="572"/>
      <c r="M42" s="1512"/>
      <c r="N42" s="574"/>
      <c r="O42" s="284"/>
      <c r="P42" s="143"/>
      <c r="Q42" s="143"/>
      <c r="R42" s="143"/>
      <c r="S42" s="143"/>
      <c r="T42" s="144"/>
      <c r="U42" s="582"/>
      <c r="V42" s="144"/>
      <c r="W42" s="284"/>
      <c r="X42" s="577"/>
      <c r="Y42" s="1936"/>
      <c r="Z42" s="1937"/>
      <c r="AA42" s="1938"/>
      <c r="AB42" s="1938"/>
      <c r="AC42" s="1939"/>
    </row>
    <row r="43" spans="1:29" ht="12.75" customHeight="1">
      <c r="A43" s="44"/>
      <c r="B43" s="44"/>
      <c r="E43" s="50"/>
      <c r="G43" s="50"/>
      <c r="H43" s="50"/>
      <c r="J43" s="186"/>
      <c r="K43" s="50"/>
      <c r="L43" s="187"/>
      <c r="R43" s="50"/>
      <c r="S43" s="50"/>
      <c r="U43" s="1419"/>
      <c r="V43" s="188"/>
      <c r="W43" s="285"/>
      <c r="X43" s="575"/>
      <c r="Y43" s="372"/>
      <c r="Z43" s="372"/>
      <c r="AA43" s="372"/>
      <c r="AB43" s="372"/>
      <c r="AC43" s="372"/>
    </row>
    <row r="44" spans="1:29" ht="12.75" customHeight="1">
      <c r="A44" s="44"/>
      <c r="B44" s="44"/>
      <c r="D44" s="580"/>
      <c r="F44" s="339"/>
      <c r="I44" s="580"/>
      <c r="K44" s="1417"/>
      <c r="L44" s="187"/>
      <c r="M44" s="187"/>
      <c r="O44" s="371"/>
      <c r="Q44" s="339"/>
      <c r="R44" s="187"/>
      <c r="S44" s="371"/>
      <c r="T44" s="1417"/>
      <c r="V44" s="357"/>
      <c r="W44" s="357"/>
      <c r="X44" s="371"/>
      <c r="Y44" s="339"/>
      <c r="Z44" s="339"/>
      <c r="AA44" s="339"/>
      <c r="AB44" s="339"/>
      <c r="AC44" s="339"/>
    </row>
    <row r="45" spans="1:29" ht="12.75" customHeight="1">
      <c r="A45" s="44"/>
      <c r="B45" s="44"/>
      <c r="D45" s="581"/>
      <c r="F45" s="339"/>
      <c r="G45" s="187"/>
      <c r="H45" s="187"/>
      <c r="I45" s="580"/>
      <c r="K45" s="1417"/>
      <c r="L45" s="187"/>
      <c r="O45" s="371"/>
      <c r="Q45" s="339"/>
      <c r="R45" s="187"/>
      <c r="S45" s="371"/>
      <c r="T45" s="1417"/>
      <c r="V45" s="188"/>
      <c r="W45" s="285"/>
      <c r="X45" s="371"/>
      <c r="Y45" s="339"/>
      <c r="Z45" s="339"/>
      <c r="AA45" s="339"/>
      <c r="AB45" s="339"/>
      <c r="AC45" s="339"/>
    </row>
    <row r="46" spans="1:29" ht="9.75" customHeight="1">
      <c r="A46" s="44"/>
      <c r="B46" s="44"/>
      <c r="C46" s="8"/>
      <c r="D46" s="11"/>
      <c r="E46" s="11"/>
      <c r="F46" s="11"/>
      <c r="G46" s="11"/>
      <c r="H46" s="11"/>
      <c r="I46" s="44"/>
      <c r="J46" s="44"/>
      <c r="K46" s="11"/>
      <c r="L46" s="11"/>
      <c r="M46" s="11"/>
      <c r="N46" s="8"/>
      <c r="O46" s="11"/>
      <c r="P46" s="11"/>
      <c r="Q46" s="11"/>
      <c r="R46" s="11"/>
      <c r="S46" s="11"/>
      <c r="T46" s="11"/>
      <c r="V46" s="11"/>
      <c r="W46" s="11"/>
      <c r="X46" s="11"/>
      <c r="Y46" s="8"/>
      <c r="Z46" s="8"/>
      <c r="AA46" s="7"/>
      <c r="AB46" s="11"/>
      <c r="AC46" s="1709"/>
    </row>
    <row r="47" spans="1:29" ht="10.5" customHeight="1">
      <c r="A47" s="44"/>
      <c r="B47" s="44"/>
      <c r="C47" s="2335"/>
      <c r="D47" s="2335"/>
      <c r="E47" s="2335"/>
      <c r="F47" s="2335"/>
      <c r="G47" s="2335"/>
      <c r="H47" s="2335"/>
      <c r="L47" s="2411"/>
      <c r="M47" s="2359"/>
      <c r="N47" s="2335"/>
      <c r="O47" s="2335"/>
      <c r="P47" s="2335"/>
      <c r="Q47" s="2335"/>
      <c r="R47" s="2335"/>
      <c r="S47" s="2335"/>
      <c r="T47" s="186" t="s">
        <v>494</v>
      </c>
      <c r="U47" s="2412"/>
      <c r="V47" s="2410"/>
      <c r="W47" s="2410"/>
      <c r="X47" s="2410"/>
      <c r="Y47" s="2335"/>
      <c r="Z47" s="2335"/>
      <c r="AA47" s="2335"/>
      <c r="AB47" s="2335"/>
      <c r="AC47" s="2335"/>
    </row>
    <row r="48" spans="1:29" ht="9.75" customHeight="1">
      <c r="A48" s="44"/>
      <c r="B48" s="44"/>
      <c r="C48" s="2335"/>
      <c r="D48" s="2335"/>
      <c r="E48" s="2335"/>
      <c r="F48" s="2335"/>
      <c r="G48" s="2335"/>
      <c r="H48" s="2335"/>
      <c r="L48" s="2411"/>
      <c r="M48" s="2359"/>
      <c r="N48" s="2335"/>
      <c r="O48" s="2335"/>
      <c r="P48" s="2335"/>
      <c r="Q48" s="2335"/>
      <c r="R48" s="2335"/>
      <c r="S48" s="2335"/>
      <c r="T48" s="48" t="s">
        <v>494</v>
      </c>
      <c r="U48" s="2412"/>
      <c r="V48" s="2410"/>
      <c r="W48" s="2410"/>
      <c r="X48" s="2410"/>
      <c r="Y48" s="2335"/>
      <c r="Z48" s="2335"/>
      <c r="AA48" s="2335"/>
      <c r="AB48" s="2335"/>
      <c r="AC48" s="2335"/>
    </row>
    <row r="49" spans="1:29" ht="12.75">
      <c r="A49" s="44"/>
      <c r="B49" s="44"/>
      <c r="C49" s="2335"/>
      <c r="D49" s="2335"/>
      <c r="E49" s="2335"/>
      <c r="F49" s="2335"/>
      <c r="G49" s="2335"/>
      <c r="H49" s="2335"/>
      <c r="L49" s="286"/>
      <c r="M49" s="11"/>
      <c r="N49" s="2335"/>
      <c r="O49" s="2335"/>
      <c r="P49" s="2335"/>
      <c r="Q49" s="2335"/>
      <c r="R49" s="2335"/>
      <c r="S49" s="2335"/>
      <c r="T49" s="11"/>
      <c r="U49" s="2409"/>
      <c r="V49" s="2410"/>
      <c r="W49" s="2410"/>
      <c r="X49" s="2410"/>
      <c r="Y49" s="2335"/>
      <c r="Z49" s="2335"/>
      <c r="AA49" s="2335"/>
      <c r="AB49" s="2335"/>
      <c r="AC49" s="2335"/>
    </row>
    <row r="50" spans="1:29">
      <c r="A50" s="44"/>
      <c r="B50" s="44"/>
      <c r="C50" s="2335"/>
      <c r="D50" s="2335"/>
      <c r="E50" s="2335"/>
      <c r="F50" s="2335"/>
      <c r="G50" s="2335"/>
      <c r="H50" s="2335"/>
      <c r="L50" s="286"/>
      <c r="M50" s="11"/>
      <c r="N50" s="2335"/>
      <c r="O50" s="2335"/>
      <c r="P50" s="2335"/>
      <c r="Q50" s="2335"/>
      <c r="R50" s="2335"/>
      <c r="S50" s="2335"/>
      <c r="T50" s="11"/>
      <c r="Y50" s="2335"/>
      <c r="Z50" s="2335"/>
      <c r="AA50" s="2335"/>
      <c r="AB50" s="2335"/>
      <c r="AC50" s="2335"/>
    </row>
    <row r="51" spans="1:29" ht="12" customHeight="1">
      <c r="A51" s="44"/>
      <c r="B51" s="44"/>
      <c r="L51" s="286"/>
      <c r="M51" s="11"/>
      <c r="T51" s="11"/>
      <c r="U51" s="11"/>
      <c r="V51" s="11"/>
      <c r="W51" s="11"/>
      <c r="X51" s="11"/>
    </row>
  </sheetData>
  <customSheetViews>
    <customSheetView guid="{27C9E95B-0E2B-454F-B637-1CECC9579A10}" showGridLines="0" hiddenRows="1" hiddenColumns="1" showRuler="0">
      <pane xSplit="2" topLeftCell="J1" activePane="topRight" state="frozen"/>
      <selection pane="topRight" activeCell="AD22" sqref="AD2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pane xSplit="2" topLeftCell="C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4">
      <pane xSplit="2" topLeftCell="X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3"/>
      <headerFooter>
        <oddHeader>&amp;L&amp;8Statistiska Centralbyrån
Offentlig ekonomi&amp;R&amp;P</oddHeader>
      </headerFooter>
    </customSheetView>
  </customSheetViews>
  <mergeCells count="30">
    <mergeCell ref="Z7:Z8"/>
    <mergeCell ref="AA7:AA8"/>
    <mergeCell ref="AB7:AB8"/>
    <mergeCell ref="AC7:AC8"/>
    <mergeCell ref="Y7:Y8"/>
    <mergeCell ref="R7:R8"/>
    <mergeCell ref="S7:S8"/>
    <mergeCell ref="T7:T8"/>
    <mergeCell ref="U7:U8"/>
    <mergeCell ref="V7:V8"/>
    <mergeCell ref="Q7:Q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O7:O8"/>
    <mergeCell ref="P7:P8"/>
    <mergeCell ref="C47:H50"/>
    <mergeCell ref="N47:S50"/>
    <mergeCell ref="Y47:AC50"/>
    <mergeCell ref="U49:X49"/>
    <mergeCell ref="L47:M47"/>
    <mergeCell ref="U47:X47"/>
    <mergeCell ref="U48:X48"/>
    <mergeCell ref="L48:M48"/>
  </mergeCells>
  <phoneticPr fontId="90" type="noConversion"/>
  <conditionalFormatting sqref="D32:L32 D34:L34 O34:W34 O32:W32 Y32:AC32 Y34:AC34">
    <cfRule type="cellIs" dxfId="40" priority="31" stopIfTrue="1" operator="lessThan">
      <formula>-500</formula>
    </cfRule>
    <cfRule type="cellIs" dxfId="39" priority="32" stopIfTrue="1" operator="greaterThan">
      <formula>D31</formula>
    </cfRule>
  </conditionalFormatting>
  <conditionalFormatting sqref="M9:M26 M30:M40 X9:X40">
    <cfRule type="cellIs" dxfId="38" priority="18" stopIfTrue="1" operator="notBetween">
      <formula>-500</formula>
      <formula>500</formula>
    </cfRule>
  </conditionalFormatting>
  <conditionalFormatting sqref="M27:M29">
    <cfRule type="cellIs" dxfId="37" priority="2" stopIfTrue="1" operator="notBetween">
      <formula>-10</formula>
      <formula>10</formula>
    </cfRule>
  </conditionalFormatting>
  <dataValidations count="1">
    <dataValidation type="decimal" operator="lessThan" allowBlank="1" showInputMessage="1" showErrorMessage="1" error="Beloppet ska vara i 1000 tal kr" sqref="D9:L39 O9:W39 Y9:AC39">
      <formula1>99999999</formula1>
    </dataValidation>
  </dataValidations>
  <pageMargins left="0.70866141732283472" right="0.70866141732283472" top="0.54" bottom="0.17" header="0.19685039370078741" footer="0.15748031496062992"/>
  <pageSetup paperSize="9" scale="65" orientation="landscape" r:id="rId4"/>
  <headerFooter>
    <oddHeader>&amp;L&amp;8Statistiska Centralbyrån
Offentlig ekonomi&amp;R&amp;P</oddHeader>
  </headerFooter>
  <colBreaks count="2" manualBreakCount="2">
    <brk id="13" max="1048575" man="1"/>
    <brk id="24" max="1048575" man="1"/>
  </colBreaks>
  <ignoredErrors>
    <ignoredError sqref="A10:A40" numberStoredAsText="1"/>
    <ignoredError sqref="M32:M34 X32:X34" formula="1"/>
    <ignoredError sqref="N2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T103"/>
  <sheetViews>
    <sheetView showGridLines="0" zoomScaleNormal="100" workbookViewId="0">
      <pane xSplit="2" ySplit="7" topLeftCell="C8" activePane="bottomRight" state="frozen"/>
      <selection activeCell="F32" sqref="F32"/>
      <selection pane="topRight" activeCell="F32" sqref="F32"/>
      <selection pane="bottomLeft" activeCell="F32" sqref="F32"/>
      <selection pane="bottomRight" activeCell="A2" sqref="A2"/>
    </sheetView>
  </sheetViews>
  <sheetFormatPr defaultColWidth="0" defaultRowHeight="0" customHeight="1" zeroHeight="1"/>
  <cols>
    <col min="1" max="1" width="4" style="300" customWidth="1"/>
    <col min="2" max="2" width="27.140625" style="238" customWidth="1"/>
    <col min="3" max="3" width="7.85546875" style="238" customWidth="1"/>
    <col min="4" max="4" width="7.140625" style="238" customWidth="1"/>
    <col min="5" max="5" width="6.5703125" style="238" customWidth="1"/>
    <col min="6" max="6" width="7.5703125" style="238" customWidth="1"/>
    <col min="7" max="7" width="8.42578125" style="238" customWidth="1"/>
    <col min="8" max="8" width="8.42578125" style="301" hidden="1" customWidth="1"/>
    <col min="9" max="9" width="13.140625" style="238" customWidth="1"/>
    <col min="10" max="10" width="7.140625" style="238" customWidth="1"/>
    <col min="11" max="11" width="1.85546875" style="239" customWidth="1"/>
    <col min="12" max="12" width="0.85546875" style="239" customWidth="1"/>
    <col min="13" max="13" width="8.42578125" style="191" customWidth="1"/>
    <col min="14" max="14" width="0.42578125" style="302" customWidth="1"/>
    <col min="15" max="15" width="46" style="4" customWidth="1"/>
    <col min="16" max="22" width="8.42578125" style="190" hidden="1" customWidth="1"/>
    <col min="23" max="16384" width="0" style="190" hidden="1"/>
  </cols>
  <sheetData>
    <row r="1" spans="1:254" ht="21.75">
      <c r="A1" s="90" t="str">
        <f>"Specificering pedagogisk verksamhet "&amp;År&amp;", miljoner kronor"</f>
        <v>Specificering pedagogisk verksamhet 2016, miljoner kronor</v>
      </c>
      <c r="B1" s="91"/>
      <c r="C1" s="91"/>
      <c r="D1" s="91"/>
      <c r="E1" s="189"/>
      <c r="F1" s="189"/>
      <c r="G1" s="189"/>
      <c r="H1" s="290"/>
      <c r="I1" s="565" t="s">
        <v>494</v>
      </c>
      <c r="J1" s="561" t="str">
        <f>'Kn Information'!B2</f>
        <v>RIKSTOTAL</v>
      </c>
      <c r="K1" s="217"/>
      <c r="L1" s="217"/>
      <c r="M1" s="1432"/>
      <c r="N1" s="157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89"/>
      <c r="FF1" s="189"/>
      <c r="FG1" s="189"/>
      <c r="FH1" s="189"/>
      <c r="FI1" s="189"/>
      <c r="FJ1" s="189"/>
      <c r="FK1" s="189"/>
      <c r="FL1" s="189"/>
      <c r="FM1" s="189"/>
      <c r="FN1" s="189"/>
      <c r="FO1" s="189"/>
      <c r="FP1" s="189"/>
      <c r="FQ1" s="189"/>
      <c r="FR1" s="189"/>
      <c r="FS1" s="189"/>
      <c r="FT1" s="189"/>
      <c r="FU1" s="189"/>
      <c r="FV1" s="189"/>
      <c r="FW1" s="189"/>
      <c r="FX1" s="189"/>
      <c r="FY1" s="189"/>
      <c r="FZ1" s="189"/>
      <c r="GA1" s="189"/>
      <c r="GB1" s="189"/>
      <c r="GC1" s="189"/>
      <c r="GD1" s="189"/>
      <c r="GE1" s="189"/>
      <c r="GF1" s="189"/>
      <c r="GG1" s="189"/>
      <c r="GH1" s="189"/>
      <c r="GI1" s="189"/>
      <c r="GJ1" s="189"/>
      <c r="GK1" s="189"/>
      <c r="GL1" s="189"/>
      <c r="GM1" s="189"/>
      <c r="GN1" s="189"/>
      <c r="GO1" s="189"/>
      <c r="GP1" s="189"/>
      <c r="GQ1" s="189"/>
      <c r="GR1" s="189"/>
      <c r="GS1" s="189"/>
      <c r="GT1" s="189"/>
      <c r="GU1" s="189"/>
      <c r="GV1" s="189"/>
      <c r="GW1" s="189"/>
      <c r="GX1" s="189"/>
      <c r="GY1" s="189"/>
      <c r="GZ1" s="189"/>
      <c r="HA1" s="189"/>
      <c r="HB1" s="189"/>
      <c r="HC1" s="189"/>
      <c r="HD1" s="189"/>
      <c r="HE1" s="189"/>
      <c r="HF1" s="189"/>
      <c r="HG1" s="189"/>
      <c r="HH1" s="189"/>
      <c r="HI1" s="189"/>
      <c r="HJ1" s="189"/>
      <c r="HK1" s="189"/>
      <c r="HL1" s="189"/>
      <c r="HM1" s="189"/>
      <c r="HN1" s="189"/>
      <c r="HO1" s="189"/>
      <c r="HP1" s="189"/>
      <c r="HQ1" s="189"/>
      <c r="HR1" s="189"/>
      <c r="HS1" s="189"/>
      <c r="HT1" s="189"/>
      <c r="HU1" s="189"/>
      <c r="HV1" s="189"/>
      <c r="HW1" s="189"/>
      <c r="HX1" s="189"/>
      <c r="HY1" s="189"/>
      <c r="HZ1" s="189"/>
      <c r="IA1" s="189"/>
      <c r="IB1" s="189"/>
      <c r="IC1" s="189"/>
      <c r="ID1" s="189"/>
      <c r="IE1" s="189"/>
      <c r="IF1" s="189"/>
      <c r="IG1" s="189"/>
      <c r="IH1" s="189"/>
      <c r="II1" s="189"/>
      <c r="IJ1" s="189"/>
      <c r="IK1" s="189"/>
      <c r="IL1" s="189"/>
      <c r="IM1" s="189"/>
      <c r="IN1" s="189"/>
      <c r="IO1" s="189"/>
      <c r="IP1" s="189"/>
      <c r="IQ1" s="189"/>
      <c r="IR1" s="189"/>
      <c r="IS1" s="189"/>
      <c r="IT1" s="189"/>
    </row>
    <row r="2" spans="1:254" ht="12.75" customHeight="1">
      <c r="A2" s="1386"/>
      <c r="C2" s="1490"/>
      <c r="D2" s="164"/>
      <c r="E2" s="190"/>
      <c r="F2" s="190"/>
      <c r="G2" s="1721"/>
      <c r="H2" s="1722"/>
      <c r="I2" s="164"/>
      <c r="K2" s="1576"/>
      <c r="L2" s="190"/>
      <c r="N2" s="1423"/>
      <c r="O2" s="1423"/>
    </row>
    <row r="3" spans="1:254" ht="13.5" thickBot="1">
      <c r="C3" s="1490"/>
      <c r="D3" s="164"/>
      <c r="E3" s="1721"/>
      <c r="F3" s="1721"/>
      <c r="G3" s="1721"/>
      <c r="H3" s="1722"/>
      <c r="I3" s="164"/>
      <c r="K3" s="1576"/>
      <c r="L3" s="1576"/>
      <c r="M3" s="1426"/>
      <c r="N3" s="1425"/>
      <c r="O3" s="1424"/>
    </row>
    <row r="4" spans="1:254" ht="11.25" customHeight="1">
      <c r="A4" s="1507" t="s">
        <v>701</v>
      </c>
      <c r="B4" s="1506" t="s">
        <v>493</v>
      </c>
      <c r="C4" s="1750" t="s">
        <v>154</v>
      </c>
      <c r="D4" s="1751"/>
      <c r="E4" s="870" t="s">
        <v>154</v>
      </c>
      <c r="F4" s="1751"/>
      <c r="G4" s="1752"/>
      <c r="H4" s="1753" t="s">
        <v>652</v>
      </c>
      <c r="I4" s="2435" t="s">
        <v>565</v>
      </c>
      <c r="J4" s="2436"/>
      <c r="K4" s="2436"/>
      <c r="L4" s="2437"/>
      <c r="M4" s="2430" t="s">
        <v>563</v>
      </c>
      <c r="N4" s="1827"/>
      <c r="O4" s="2433" t="s">
        <v>64</v>
      </c>
      <c r="P4" s="292"/>
      <c r="Q4" s="292"/>
    </row>
    <row r="5" spans="1:254" ht="12.75" customHeight="1">
      <c r="A5" s="1508" t="s">
        <v>704</v>
      </c>
      <c r="B5" s="929"/>
      <c r="C5" s="1186" t="s">
        <v>49</v>
      </c>
      <c r="D5" s="2441" t="s">
        <v>952</v>
      </c>
      <c r="E5" s="873" t="s">
        <v>166</v>
      </c>
      <c r="F5" s="2441" t="s">
        <v>548</v>
      </c>
      <c r="G5" s="2444" t="s">
        <v>858</v>
      </c>
      <c r="H5" s="167"/>
      <c r="I5" s="2438"/>
      <c r="J5" s="2438"/>
      <c r="K5" s="2438"/>
      <c r="L5" s="2439"/>
      <c r="M5" s="2431"/>
      <c r="N5" s="1823"/>
      <c r="O5" s="2434"/>
      <c r="P5" s="292"/>
      <c r="Q5" s="292"/>
    </row>
    <row r="6" spans="1:254" ht="36.75" customHeight="1">
      <c r="A6" s="1187"/>
      <c r="B6" s="929"/>
      <c r="C6" s="1186"/>
      <c r="D6" s="2442"/>
      <c r="E6" s="615"/>
      <c r="F6" s="2442"/>
      <c r="G6" s="2445"/>
      <c r="H6" s="167"/>
      <c r="I6" s="1591"/>
      <c r="J6" s="1606"/>
      <c r="K6" s="1606"/>
      <c r="L6" s="1607"/>
      <c r="M6" s="2432"/>
      <c r="N6" s="1824"/>
      <c r="O6" s="2434"/>
      <c r="Q6" s="292"/>
      <c r="IT6" s="2429"/>
    </row>
    <row r="7" spans="1:254" ht="39.75" customHeight="1" thickBot="1">
      <c r="A7" s="1177"/>
      <c r="B7" s="929"/>
      <c r="C7" s="1179"/>
      <c r="D7" s="2443"/>
      <c r="E7" s="615"/>
      <c r="F7" s="2443"/>
      <c r="G7" s="2446"/>
      <c r="H7" s="167"/>
      <c r="I7" s="1608"/>
      <c r="J7" s="929"/>
      <c r="K7" s="1610"/>
      <c r="L7" s="1609"/>
      <c r="M7" s="1245">
        <v>2016</v>
      </c>
      <c r="N7" s="1824"/>
      <c r="O7" s="2434"/>
      <c r="Q7" s="292"/>
      <c r="IT7" s="2429"/>
    </row>
    <row r="8" spans="1:254" ht="12.75">
      <c r="A8" s="1211" t="s">
        <v>427</v>
      </c>
      <c r="B8" s="1212" t="s">
        <v>612</v>
      </c>
      <c r="C8" s="135">
        <f>Drift!P47</f>
        <v>79796</v>
      </c>
      <c r="D8" s="136">
        <f>SUM(Motpart!D13:L13)</f>
        <v>14189</v>
      </c>
      <c r="E8" s="136">
        <f>Drift!W47</f>
        <v>17561</v>
      </c>
      <c r="F8" s="136">
        <f>Motpart!Y13</f>
        <v>313</v>
      </c>
      <c r="G8" s="146">
        <f>Drift!V47</f>
        <v>7757</v>
      </c>
      <c r="H8" s="168"/>
      <c r="I8" s="2304" t="s">
        <v>1071</v>
      </c>
      <c r="J8" s="2305">
        <v>597</v>
      </c>
      <c r="K8" s="1598"/>
      <c r="L8" s="1599"/>
      <c r="M8" s="1246">
        <f>(C8-F8-G8)*1000/J8</f>
        <v>120144.05360134003</v>
      </c>
      <c r="N8" s="1825"/>
      <c r="O8" s="1247" t="s">
        <v>1078</v>
      </c>
      <c r="P8" s="104"/>
      <c r="Q8" s="292"/>
    </row>
    <row r="9" spans="1:254" s="1409" customFormat="1" ht="11.25">
      <c r="A9" s="1213" t="s">
        <v>342</v>
      </c>
      <c r="B9" s="1214" t="s">
        <v>391</v>
      </c>
      <c r="C9" s="405">
        <f>C8-G8-D8</f>
        <v>57850</v>
      </c>
      <c r="D9" s="1188"/>
      <c r="E9" s="1194"/>
      <c r="F9" s="1194"/>
      <c r="G9" s="1200"/>
      <c r="H9" s="169">
        <v>850</v>
      </c>
      <c r="I9" s="1592" t="str">
        <f>I8</f>
        <v>Invånarantal 1-5 år</v>
      </c>
      <c r="J9" s="929">
        <v>597351</v>
      </c>
      <c r="K9" s="1596"/>
      <c r="L9" s="1597"/>
      <c r="M9" s="1248">
        <f>C9*1000/J8</f>
        <v>96901.172529313233</v>
      </c>
      <c r="N9" s="1825"/>
      <c r="O9" s="1247" t="s">
        <v>1079</v>
      </c>
      <c r="P9" s="2440"/>
      <c r="Q9" s="2447"/>
      <c r="R9" s="2447"/>
      <c r="S9" s="2447"/>
      <c r="T9" s="2447"/>
      <c r="U9" s="2447"/>
      <c r="V9" s="1405"/>
    </row>
    <row r="10" spans="1:254" s="1405" customFormat="1" ht="18.75">
      <c r="A10" s="1213" t="s">
        <v>340</v>
      </c>
      <c r="B10" s="1215" t="s">
        <v>392</v>
      </c>
      <c r="C10" s="96">
        <f>Drift!C47+Drift!D47</f>
        <v>41978</v>
      </c>
      <c r="D10" s="1188"/>
      <c r="E10" s="1195"/>
      <c r="F10" s="1195"/>
      <c r="G10" s="1200"/>
      <c r="H10" s="169">
        <v>851</v>
      </c>
      <c r="I10" s="1592"/>
      <c r="J10" s="1593"/>
      <c r="K10" s="1264"/>
      <c r="L10" s="1594"/>
      <c r="M10" s="1248">
        <f>IF(C10=0,0,C10*100/C9)</f>
        <v>72.563526361279173</v>
      </c>
      <c r="N10" s="1825"/>
      <c r="O10" s="1247" t="s">
        <v>393</v>
      </c>
      <c r="P10" s="2447"/>
      <c r="Q10" s="2447"/>
      <c r="R10" s="2447"/>
      <c r="S10" s="2447"/>
      <c r="T10" s="2447"/>
      <c r="U10" s="2447"/>
    </row>
    <row r="11" spans="1:254" s="1405" customFormat="1" ht="11.25">
      <c r="A11" s="1213" t="s">
        <v>343</v>
      </c>
      <c r="B11" s="1215" t="s">
        <v>609</v>
      </c>
      <c r="C11" s="304">
        <v>8483</v>
      </c>
      <c r="D11" s="1189"/>
      <c r="E11" s="276">
        <v>257</v>
      </c>
      <c r="F11" s="1195"/>
      <c r="G11" s="303">
        <v>226</v>
      </c>
      <c r="H11" s="169"/>
      <c r="I11" s="929"/>
      <c r="J11" s="1249"/>
      <c r="K11" s="1245"/>
      <c r="L11" s="1595"/>
      <c r="M11" s="1248">
        <f>(C11-E11)*1000/J8</f>
        <v>13778.89447236181</v>
      </c>
      <c r="N11" s="1825"/>
      <c r="O11" s="1247" t="s">
        <v>1080</v>
      </c>
      <c r="P11" s="2447"/>
      <c r="Q11" s="2447"/>
      <c r="R11" s="2447"/>
      <c r="S11" s="2447"/>
      <c r="T11" s="2447"/>
      <c r="U11" s="2447"/>
    </row>
    <row r="12" spans="1:254" s="1405" customFormat="1" ht="11.25">
      <c r="A12" s="1213" t="s">
        <v>496</v>
      </c>
      <c r="B12" s="1215" t="s">
        <v>549</v>
      </c>
      <c r="C12" s="1192"/>
      <c r="D12" s="1190"/>
      <c r="E12" s="97">
        <f>Drift!R47</f>
        <v>4259</v>
      </c>
      <c r="F12" s="1196"/>
      <c r="G12" s="1427"/>
      <c r="H12" s="183" t="s">
        <v>625</v>
      </c>
      <c r="I12" s="1255"/>
      <c r="J12" s="1593"/>
      <c r="K12" s="1596"/>
      <c r="L12" s="1597"/>
      <c r="M12" s="1248">
        <f>(Motpart!G13+Motpart!K13)*1000/J8</f>
        <v>547.7386934673367</v>
      </c>
      <c r="N12" s="1826"/>
      <c r="O12" s="1247" t="s">
        <v>1081</v>
      </c>
      <c r="P12" s="2447"/>
      <c r="Q12" s="2447"/>
      <c r="R12" s="2447"/>
      <c r="S12" s="2447"/>
      <c r="T12" s="2447"/>
      <c r="U12" s="2447"/>
    </row>
    <row r="13" spans="1:254" s="1405" customFormat="1" ht="11.25">
      <c r="A13" s="1213" t="s">
        <v>497</v>
      </c>
      <c r="B13" s="1215" t="s">
        <v>498</v>
      </c>
      <c r="C13" s="1193"/>
      <c r="D13" s="1190"/>
      <c r="E13" s="276">
        <v>392</v>
      </c>
      <c r="F13" s="1196"/>
      <c r="G13" s="1427"/>
      <c r="H13" s="184" t="s">
        <v>626</v>
      </c>
      <c r="I13" s="2307"/>
      <c r="J13" s="2306"/>
      <c r="K13" s="1596"/>
      <c r="L13" s="1597"/>
      <c r="M13" s="1248">
        <f>F8*1000/J8</f>
        <v>524.28810720268007</v>
      </c>
      <c r="N13" s="1825"/>
      <c r="O13" s="1247" t="s">
        <v>1082</v>
      </c>
      <c r="P13" s="2447"/>
      <c r="Q13" s="2447"/>
      <c r="R13" s="2447"/>
      <c r="S13" s="2447"/>
      <c r="T13" s="2447"/>
      <c r="U13" s="2447"/>
    </row>
    <row r="14" spans="1:254" s="1405" customFormat="1" ht="11.25">
      <c r="A14" s="1216" t="s">
        <v>642</v>
      </c>
      <c r="B14" s="1217"/>
      <c r="C14" s="1193"/>
      <c r="D14" s="1191"/>
      <c r="E14" s="1199"/>
      <c r="F14" s="1197"/>
      <c r="G14" s="1427"/>
      <c r="H14" s="183" t="s">
        <v>627</v>
      </c>
      <c r="I14" s="1255"/>
      <c r="J14" s="1593"/>
      <c r="K14" s="1596"/>
      <c r="L14" s="1597"/>
      <c r="M14" s="1248">
        <f>((Motpart!D13+Motpart!E13+Motpart!F13+Motpart!J13)-((Motpart!D13+Motpart!E13+Motpart!F13+Motpart!J13)*0.06))*1000/J8</f>
        <v>21796.348408710219</v>
      </c>
      <c r="N14" s="1825"/>
      <c r="O14" s="1247" t="s">
        <v>1083</v>
      </c>
      <c r="P14" s="2447"/>
      <c r="Q14" s="2447"/>
      <c r="R14" s="2447"/>
      <c r="S14" s="2447"/>
      <c r="T14" s="2447"/>
      <c r="U14" s="2447"/>
    </row>
    <row r="15" spans="1:254" s="1410" customFormat="1" ht="12" thickBot="1">
      <c r="A15" s="1216" t="s">
        <v>338</v>
      </c>
      <c r="B15" s="1217"/>
      <c r="C15" s="1193"/>
      <c r="D15" s="1191"/>
      <c r="E15" s="1191"/>
      <c r="F15" s="1198"/>
      <c r="G15" s="1201"/>
      <c r="H15" s="170"/>
      <c r="I15" s="1605"/>
      <c r="J15" s="1256"/>
      <c r="K15" s="1250"/>
      <c r="L15" s="1603"/>
      <c r="M15" s="1251">
        <f>IF(C9=0,0,(E12-E13)*100/C9)</f>
        <v>6.684528954191876</v>
      </c>
      <c r="N15" s="1252"/>
      <c r="O15" s="1258" t="s">
        <v>588</v>
      </c>
      <c r="P15" s="1405"/>
      <c r="Q15" s="1405"/>
      <c r="R15" s="1405"/>
      <c r="S15" s="1405"/>
      <c r="T15" s="1405"/>
      <c r="U15" s="1405"/>
    </row>
    <row r="16" spans="1:254" ht="12.75">
      <c r="A16" s="1218" t="s">
        <v>761</v>
      </c>
      <c r="B16" s="1219" t="s">
        <v>613</v>
      </c>
      <c r="C16" s="94">
        <f>Drift!P50</f>
        <v>19807</v>
      </c>
      <c r="D16" s="95">
        <f>SUM(Motpart!D15:L15)</f>
        <v>2153</v>
      </c>
      <c r="E16" s="99">
        <f>Drift!W50</f>
        <v>6401</v>
      </c>
      <c r="F16" s="95">
        <f>Motpart!Y15</f>
        <v>139</v>
      </c>
      <c r="G16" s="147">
        <f>Drift!V50</f>
        <v>2528</v>
      </c>
      <c r="H16" s="167"/>
      <c r="I16" s="2304" t="s">
        <v>1072</v>
      </c>
      <c r="J16" s="2305">
        <v>825</v>
      </c>
      <c r="K16" s="1604"/>
      <c r="L16" s="1599"/>
      <c r="M16" s="1253">
        <f>(C16-G16-F16)*1000/J16</f>
        <v>20775.757575757576</v>
      </c>
      <c r="N16" s="1429"/>
      <c r="O16" s="1822" t="s">
        <v>1136</v>
      </c>
      <c r="P16" s="104"/>
      <c r="Q16" s="292"/>
    </row>
    <row r="17" spans="1:254" ht="12.75">
      <c r="A17" s="1213" t="s">
        <v>408</v>
      </c>
      <c r="B17" s="1220" t="s">
        <v>391</v>
      </c>
      <c r="C17" s="405">
        <f>C16-G16-D16</f>
        <v>15126</v>
      </c>
      <c r="D17" s="1202"/>
      <c r="E17" s="1203"/>
      <c r="F17" s="1203"/>
      <c r="G17" s="1200"/>
      <c r="H17" s="171" t="s">
        <v>297</v>
      </c>
      <c r="I17" s="1592" t="str">
        <f>I16</f>
        <v>Invånarantal 6-12 år</v>
      </c>
      <c r="J17" s="929">
        <v>824638</v>
      </c>
      <c r="K17" s="1596"/>
      <c r="L17" s="1597"/>
      <c r="M17" s="1248">
        <f>C17*1000/J16</f>
        <v>18334.545454545456</v>
      </c>
      <c r="N17" s="1429"/>
      <c r="O17" s="1247" t="s">
        <v>1137</v>
      </c>
      <c r="P17" s="2448"/>
      <c r="Q17" s="2335"/>
      <c r="R17" s="2335"/>
      <c r="S17" s="2335"/>
      <c r="T17" s="2335"/>
      <c r="U17" s="2335"/>
    </row>
    <row r="18" spans="1:254" ht="18.75">
      <c r="A18" s="1213" t="s">
        <v>409</v>
      </c>
      <c r="B18" s="1221" t="s">
        <v>392</v>
      </c>
      <c r="C18" s="96">
        <f>Drift!C50+Drift!D50</f>
        <v>10974</v>
      </c>
      <c r="D18" s="1202"/>
      <c r="E18" s="1195"/>
      <c r="F18" s="1195"/>
      <c r="G18" s="1200"/>
      <c r="H18" s="169" t="s">
        <v>654</v>
      </c>
      <c r="I18" s="1592"/>
      <c r="J18" s="1593"/>
      <c r="K18" s="1264"/>
      <c r="L18" s="1594"/>
      <c r="M18" s="1248">
        <f>IF(C18=0,0,(C18*100/C17))</f>
        <v>72.55057516858389</v>
      </c>
      <c r="N18" s="1429"/>
      <c r="O18" s="1247" t="s">
        <v>403</v>
      </c>
      <c r="P18" s="2335"/>
      <c r="Q18" s="2335"/>
      <c r="R18" s="2335"/>
      <c r="S18" s="2335"/>
      <c r="T18" s="2335"/>
      <c r="U18" s="2335"/>
    </row>
    <row r="19" spans="1:254" ht="12.75">
      <c r="A19" s="1213" t="s">
        <v>410</v>
      </c>
      <c r="B19" s="1215" t="s">
        <v>609</v>
      </c>
      <c r="C19" s="304">
        <v>2518</v>
      </c>
      <c r="D19" s="1202"/>
      <c r="E19" s="276">
        <v>69</v>
      </c>
      <c r="F19" s="1197"/>
      <c r="G19" s="303">
        <v>65</v>
      </c>
      <c r="H19" s="167"/>
      <c r="I19" s="1592"/>
      <c r="J19" s="1249"/>
      <c r="K19" s="1245"/>
      <c r="L19" s="1595"/>
      <c r="M19" s="1254">
        <f>(C19-E19)*1000/J16</f>
        <v>2968.4848484848485</v>
      </c>
      <c r="N19" s="1429"/>
      <c r="O19" s="1247" t="s">
        <v>1138</v>
      </c>
      <c r="P19" s="2335"/>
      <c r="Q19" s="2335"/>
      <c r="R19" s="2335"/>
      <c r="S19" s="2335"/>
      <c r="T19" s="2335"/>
      <c r="U19" s="2335"/>
    </row>
    <row r="20" spans="1:254" ht="12.75">
      <c r="A20" s="1213" t="s">
        <v>628</v>
      </c>
      <c r="B20" s="1215" t="s">
        <v>549</v>
      </c>
      <c r="C20" s="1192"/>
      <c r="D20" s="1190"/>
      <c r="E20" s="100">
        <f>Drift!R50</f>
        <v>2678</v>
      </c>
      <c r="F20" s="1196"/>
      <c r="G20" s="1427"/>
      <c r="H20" s="470" t="s">
        <v>655</v>
      </c>
      <c r="I20" s="1255"/>
      <c r="J20" s="1593"/>
      <c r="K20" s="1596"/>
      <c r="L20" s="1597"/>
      <c r="M20" s="1248">
        <f>IF(D16=0,0,(Motpart!G15+Motpart!K15)*1000/J16)</f>
        <v>186.66666666666666</v>
      </c>
      <c r="N20" s="1429"/>
      <c r="O20" s="1247" t="s">
        <v>1139</v>
      </c>
      <c r="P20" s="2335"/>
      <c r="Q20" s="2335"/>
      <c r="R20" s="2335"/>
      <c r="S20" s="2335"/>
      <c r="T20" s="2335"/>
      <c r="U20" s="2335"/>
    </row>
    <row r="21" spans="1:254" ht="12.75">
      <c r="A21" s="1213" t="s">
        <v>629</v>
      </c>
      <c r="B21" s="1215" t="s">
        <v>498</v>
      </c>
      <c r="C21" s="1193"/>
      <c r="D21" s="1190"/>
      <c r="E21" s="276">
        <v>123</v>
      </c>
      <c r="F21" s="1196"/>
      <c r="G21" s="1427"/>
      <c r="H21" s="470" t="s">
        <v>656</v>
      </c>
      <c r="I21" s="1255"/>
      <c r="J21" s="1593"/>
      <c r="K21" s="1596"/>
      <c r="L21" s="1597"/>
      <c r="M21" s="1248">
        <f>IF(F16=0,0,(F16*1000/J16))</f>
        <v>168.4848484848485</v>
      </c>
      <c r="N21" s="1429"/>
      <c r="O21" s="1247" t="s">
        <v>1140</v>
      </c>
      <c r="P21" s="2335"/>
      <c r="Q21" s="2335"/>
      <c r="R21" s="2335"/>
      <c r="S21" s="2335"/>
      <c r="T21" s="2335"/>
      <c r="U21" s="2335"/>
      <c r="IT21" s="292"/>
    </row>
    <row r="22" spans="1:254" ht="12.75">
      <c r="A22" s="1216" t="s">
        <v>641</v>
      </c>
      <c r="B22" s="1222"/>
      <c r="C22" s="1193"/>
      <c r="D22" s="1191"/>
      <c r="E22" s="1199"/>
      <c r="F22" s="1197"/>
      <c r="G22" s="1427"/>
      <c r="H22" s="470" t="s">
        <v>657</v>
      </c>
      <c r="I22" s="1255"/>
      <c r="J22" s="1593"/>
      <c r="K22" s="1596"/>
      <c r="L22" s="1597"/>
      <c r="M22" s="1248">
        <f>IF(D16=0,0,((Motpart!D15+Motpart!E15+Motpart!F15+Motpart!I15+Motpart!J15)-((Motpart!D15+Motpart!E15+Motpart!F15+Motpart!J15)*0.06))*1000/J16)</f>
        <v>2280.2666666666669</v>
      </c>
      <c r="N22" s="1429"/>
      <c r="O22" s="1247" t="s">
        <v>1141</v>
      </c>
      <c r="P22" s="2335"/>
      <c r="Q22" s="2335"/>
      <c r="R22" s="2335"/>
      <c r="S22" s="2335"/>
      <c r="T22" s="2335"/>
      <c r="U22" s="2335"/>
      <c r="IT22" s="292"/>
    </row>
    <row r="23" spans="1:254" ht="13.5" thickBot="1">
      <c r="A23" s="1216" t="s">
        <v>630</v>
      </c>
      <c r="B23" s="1222"/>
      <c r="C23" s="1193"/>
      <c r="D23" s="1191"/>
      <c r="E23" s="1191"/>
      <c r="F23" s="1191"/>
      <c r="G23" s="1201"/>
      <c r="H23" s="471"/>
      <c r="I23" s="706"/>
      <c r="J23" s="1256"/>
      <c r="K23" s="1250"/>
      <c r="L23" s="1603"/>
      <c r="M23" s="1257">
        <f>IF(E20=0,0,(E20-E21)*100/C17)</f>
        <v>16.8914451937062</v>
      </c>
      <c r="N23" s="1429"/>
      <c r="O23" s="1258" t="s">
        <v>592</v>
      </c>
      <c r="P23" s="292"/>
      <c r="Q23" s="292"/>
      <c r="IT23" s="292"/>
    </row>
    <row r="24" spans="1:254" ht="12.75">
      <c r="A24" s="1218" t="s">
        <v>414</v>
      </c>
      <c r="B24" s="1223" t="s">
        <v>614</v>
      </c>
      <c r="C24" s="94">
        <f>Drift!P53</f>
        <v>7691</v>
      </c>
      <c r="D24" s="95">
        <f>SUM(Motpart!D17:L17)</f>
        <v>849</v>
      </c>
      <c r="E24" s="95">
        <f>Drift!W53</f>
        <v>1280</v>
      </c>
      <c r="F24" s="95">
        <f>Motpart!Y17</f>
        <v>44</v>
      </c>
      <c r="G24" s="147">
        <f>Drift!V53</f>
        <v>957</v>
      </c>
      <c r="H24" s="183"/>
      <c r="I24" s="2304" t="s">
        <v>1073</v>
      </c>
      <c r="J24" s="2305">
        <v>124</v>
      </c>
      <c r="K24" s="1598"/>
      <c r="L24" s="1599"/>
      <c r="M24" s="1253">
        <f>(C24-G24-F24)*1000/J24</f>
        <v>53951.612903225803</v>
      </c>
      <c r="N24" s="1259"/>
      <c r="O24" s="1822" t="s">
        <v>1130</v>
      </c>
      <c r="P24" s="104"/>
      <c r="Q24" s="292"/>
    </row>
    <row r="25" spans="1:254" ht="12.75">
      <c r="A25" s="1213" t="s">
        <v>411</v>
      </c>
      <c r="B25" s="1224" t="s">
        <v>391</v>
      </c>
      <c r="C25" s="405">
        <f>C24-G24-D24</f>
        <v>5885</v>
      </c>
      <c r="D25" s="1202"/>
      <c r="E25" s="1203"/>
      <c r="F25" s="1203"/>
      <c r="G25" s="1200"/>
      <c r="H25" s="470" t="s">
        <v>658</v>
      </c>
      <c r="I25" s="1592" t="str">
        <f>I24</f>
        <v>Invånarantal 6 år</v>
      </c>
      <c r="J25" s="929">
        <v>123976</v>
      </c>
      <c r="K25" s="1596"/>
      <c r="L25" s="1597"/>
      <c r="M25" s="1248">
        <f>C25*1000/J24</f>
        <v>47459.677419354841</v>
      </c>
      <c r="N25" s="1429"/>
      <c r="O25" s="1247" t="s">
        <v>1131</v>
      </c>
      <c r="P25" s="2440"/>
      <c r="Q25" s="2335"/>
      <c r="R25" s="2335"/>
      <c r="S25" s="2335"/>
      <c r="T25" s="2335"/>
      <c r="U25" s="2335"/>
    </row>
    <row r="26" spans="1:254" ht="12.75">
      <c r="A26" s="1213" t="s">
        <v>412</v>
      </c>
      <c r="B26" s="1225" t="s">
        <v>577</v>
      </c>
      <c r="C26" s="98">
        <f>Drift!C53+Drift!D53</f>
        <v>3875</v>
      </c>
      <c r="D26" s="1202"/>
      <c r="E26" s="1195"/>
      <c r="F26" s="1195"/>
      <c r="G26" s="1200"/>
      <c r="H26" s="183" t="s">
        <v>414</v>
      </c>
      <c r="I26" s="1255"/>
      <c r="J26" s="1593"/>
      <c r="K26" s="1264"/>
      <c r="L26" s="1594"/>
      <c r="M26" s="1251">
        <f>IF(C26=0,0,C26*100/C25)</f>
        <v>65.845369583687344</v>
      </c>
      <c r="N26" s="1429"/>
      <c r="O26" s="1247" t="s">
        <v>404</v>
      </c>
      <c r="P26" s="2335"/>
      <c r="Q26" s="2335"/>
      <c r="R26" s="2335"/>
      <c r="S26" s="2335"/>
      <c r="T26" s="2335"/>
      <c r="U26" s="2335"/>
    </row>
    <row r="27" spans="1:254" ht="12.75">
      <c r="A27" s="1216" t="s">
        <v>413</v>
      </c>
      <c r="B27" s="1215" t="s">
        <v>609</v>
      </c>
      <c r="C27" s="304">
        <v>1128</v>
      </c>
      <c r="D27" s="1202"/>
      <c r="E27" s="276">
        <v>25</v>
      </c>
      <c r="F27" s="1197"/>
      <c r="G27" s="303">
        <v>20</v>
      </c>
      <c r="H27" s="470"/>
      <c r="I27" s="1255"/>
      <c r="J27" s="929"/>
      <c r="K27" s="1245"/>
      <c r="L27" s="1595"/>
      <c r="M27" s="1248">
        <f>(C27-E27)*1000/J24</f>
        <v>8895.1612903225814</v>
      </c>
      <c r="N27" s="1429"/>
      <c r="O27" s="1247" t="s">
        <v>1132</v>
      </c>
      <c r="P27" s="2335"/>
      <c r="Q27" s="2335"/>
      <c r="R27" s="2335"/>
      <c r="S27" s="2335"/>
      <c r="T27" s="2335"/>
      <c r="U27" s="2335"/>
    </row>
    <row r="28" spans="1:254" ht="12.75">
      <c r="A28" s="1216" t="s">
        <v>631</v>
      </c>
      <c r="B28" s="1226"/>
      <c r="C28" s="1202"/>
      <c r="D28" s="1202"/>
      <c r="E28" s="1202"/>
      <c r="F28" s="1197"/>
      <c r="G28" s="1427"/>
      <c r="H28" s="183" t="s">
        <v>659</v>
      </c>
      <c r="I28" s="1255"/>
      <c r="J28" s="1593"/>
      <c r="K28" s="1596"/>
      <c r="L28" s="1597"/>
      <c r="M28" s="1251">
        <f>(Motpart!G17+Motpart!K17)*1000/J24</f>
        <v>346.77419354838707</v>
      </c>
      <c r="N28" s="1429"/>
      <c r="O28" s="1247" t="s">
        <v>1133</v>
      </c>
      <c r="P28" s="2335"/>
      <c r="Q28" s="2335"/>
      <c r="R28" s="2335"/>
      <c r="S28" s="2335"/>
      <c r="T28" s="2335"/>
      <c r="U28" s="2335"/>
    </row>
    <row r="29" spans="1:254" ht="12.75">
      <c r="A29" s="1216" t="s">
        <v>632</v>
      </c>
      <c r="B29" s="1227"/>
      <c r="C29" s="1202"/>
      <c r="D29" s="1202"/>
      <c r="E29" s="1202"/>
      <c r="F29" s="1197"/>
      <c r="G29" s="1427"/>
      <c r="H29" s="469" t="s">
        <v>660</v>
      </c>
      <c r="I29" s="1255"/>
      <c r="J29" s="1593"/>
      <c r="K29" s="1596"/>
      <c r="L29" s="1597"/>
      <c r="M29" s="1260">
        <f>F24*1000/J24</f>
        <v>354.83870967741933</v>
      </c>
      <c r="N29" s="1429"/>
      <c r="O29" s="1247" t="s">
        <v>1134</v>
      </c>
      <c r="P29" s="2335"/>
      <c r="Q29" s="2335"/>
      <c r="R29" s="2335"/>
      <c r="S29" s="2335"/>
      <c r="T29" s="2335"/>
      <c r="U29" s="2335"/>
    </row>
    <row r="30" spans="1:254" ht="13.5" thickBot="1">
      <c r="A30" s="1216" t="s">
        <v>640</v>
      </c>
      <c r="B30" s="1228"/>
      <c r="C30" s="1202"/>
      <c r="D30" s="1202"/>
      <c r="E30" s="1202"/>
      <c r="F30" s="1197"/>
      <c r="G30" s="1428"/>
      <c r="H30" s="472" t="s">
        <v>661</v>
      </c>
      <c r="I30" s="706"/>
      <c r="J30" s="1600"/>
      <c r="K30" s="1601"/>
      <c r="L30" s="1602"/>
      <c r="M30" s="1261">
        <f>(Motpart!D17+Motpart!E17+Motpart!F17+Motpart!I17+Motpart!J17-(Motpart!D17+Motpart!E17+Motpart!F17+Motpart!J17)*0.06)*1000/J24</f>
        <v>6113.8709677419356</v>
      </c>
      <c r="N30" s="1262"/>
      <c r="O30" s="1258" t="s">
        <v>1135</v>
      </c>
      <c r="P30" s="292"/>
      <c r="Q30" s="292"/>
    </row>
    <row r="31" spans="1:254" ht="12.75">
      <c r="A31" s="1218" t="s">
        <v>428</v>
      </c>
      <c r="B31" s="1229" t="s">
        <v>615</v>
      </c>
      <c r="C31" s="94">
        <f>Drift!P54</f>
        <v>123183</v>
      </c>
      <c r="D31" s="95">
        <f>SUM(Motpart!D18:L18)</f>
        <v>15489</v>
      </c>
      <c r="E31" s="95">
        <f>Drift!W54</f>
        <v>24156</v>
      </c>
      <c r="F31" s="95">
        <f>Motpart!Y18</f>
        <v>1227</v>
      </c>
      <c r="G31" s="147">
        <f>Drift!V54</f>
        <v>14117</v>
      </c>
      <c r="H31" s="473"/>
      <c r="I31" s="2304" t="s">
        <v>1074</v>
      </c>
      <c r="J31" s="2305">
        <v>1026</v>
      </c>
      <c r="K31" s="1598"/>
      <c r="L31" s="1599"/>
      <c r="M31" s="1263">
        <f>SUM(M32:M34,M36:M38)</f>
        <v>87564.327485380127</v>
      </c>
      <c r="N31" s="1259"/>
      <c r="O31" s="1822" t="s">
        <v>1118</v>
      </c>
      <c r="P31" s="104"/>
      <c r="Q31" s="292"/>
    </row>
    <row r="32" spans="1:254" ht="12.75">
      <c r="A32" s="1213" t="s">
        <v>415</v>
      </c>
      <c r="B32" s="1230" t="s">
        <v>559</v>
      </c>
      <c r="C32" s="304">
        <f>54862+13</f>
        <v>54875</v>
      </c>
      <c r="D32" s="1202"/>
      <c r="E32" s="276">
        <v>5816</v>
      </c>
      <c r="F32" s="1203"/>
      <c r="G32" s="303">
        <v>5555</v>
      </c>
      <c r="H32" s="169" t="s">
        <v>662</v>
      </c>
      <c r="I32" s="1592" t="str">
        <f>I31</f>
        <v>Invånarantal 7-15 år</v>
      </c>
      <c r="J32" s="929">
        <v>1025536</v>
      </c>
      <c r="K32" s="1596"/>
      <c r="L32" s="1597"/>
      <c r="M32" s="1248">
        <f t="shared" ref="M32:M37" si="0">(C32-E32)*1000/$J$31</f>
        <v>47815.789473684214</v>
      </c>
      <c r="N32" s="1429"/>
      <c r="O32" s="1247" t="s">
        <v>1119</v>
      </c>
      <c r="P32" s="2440"/>
      <c r="Q32" s="2335"/>
      <c r="R32" s="2335"/>
      <c r="S32" s="2335"/>
      <c r="T32" s="2335"/>
      <c r="U32" s="2335"/>
    </row>
    <row r="33" spans="1:21" ht="12.75">
      <c r="A33" s="1213" t="s">
        <v>416</v>
      </c>
      <c r="B33" s="1230" t="s">
        <v>1002</v>
      </c>
      <c r="C33" s="304">
        <v>4142</v>
      </c>
      <c r="D33" s="1202"/>
      <c r="E33" s="276">
        <v>178</v>
      </c>
      <c r="F33" s="1195"/>
      <c r="G33" s="303">
        <v>121</v>
      </c>
      <c r="H33" s="169" t="s">
        <v>663</v>
      </c>
      <c r="I33" s="1592"/>
      <c r="J33" s="1593"/>
      <c r="K33" s="1264"/>
      <c r="L33" s="1594"/>
      <c r="M33" s="1248">
        <f t="shared" si="0"/>
        <v>3863.5477582846006</v>
      </c>
      <c r="N33" s="1429"/>
      <c r="O33" s="1247" t="s">
        <v>1120</v>
      </c>
      <c r="P33" s="2335"/>
      <c r="Q33" s="2335"/>
      <c r="R33" s="2335"/>
      <c r="S33" s="2335"/>
      <c r="T33" s="2335"/>
      <c r="U33" s="2335"/>
    </row>
    <row r="34" spans="1:21" ht="12.75">
      <c r="A34" s="1213" t="s">
        <v>417</v>
      </c>
      <c r="B34" s="1230" t="s">
        <v>582</v>
      </c>
      <c r="C34" s="304">
        <f>6243+2</f>
        <v>6245</v>
      </c>
      <c r="D34" s="1202"/>
      <c r="E34" s="276">
        <v>1022</v>
      </c>
      <c r="F34" s="1195"/>
      <c r="G34" s="303">
        <v>861</v>
      </c>
      <c r="H34" s="169"/>
      <c r="I34" s="1592"/>
      <c r="J34" s="929"/>
      <c r="K34" s="1245"/>
      <c r="L34" s="1595"/>
      <c r="M34" s="1248">
        <f t="shared" si="0"/>
        <v>5090.6432748538009</v>
      </c>
      <c r="N34" s="1429"/>
      <c r="O34" s="1247" t="s">
        <v>1121</v>
      </c>
      <c r="P34" s="2335"/>
      <c r="Q34" s="2335"/>
      <c r="R34" s="2335"/>
      <c r="S34" s="2335"/>
      <c r="T34" s="2335"/>
      <c r="U34" s="2335"/>
    </row>
    <row r="35" spans="1:21" ht="12.75">
      <c r="A35" s="1213" t="s">
        <v>418</v>
      </c>
      <c r="B35" s="1230" t="s">
        <v>560</v>
      </c>
      <c r="C35" s="304">
        <v>3106</v>
      </c>
      <c r="D35" s="1202"/>
      <c r="E35" s="276">
        <v>33</v>
      </c>
      <c r="F35" s="1195"/>
      <c r="G35" s="303">
        <v>13</v>
      </c>
      <c r="H35" s="169" t="s">
        <v>664</v>
      </c>
      <c r="I35" s="929"/>
      <c r="J35" s="1593"/>
      <c r="K35" s="1596"/>
      <c r="L35" s="1597"/>
      <c r="M35" s="1248">
        <f t="shared" si="0"/>
        <v>2995.1267056530214</v>
      </c>
      <c r="N35" s="1429"/>
      <c r="O35" s="1247" t="s">
        <v>1122</v>
      </c>
      <c r="P35" s="2335"/>
      <c r="Q35" s="2335"/>
      <c r="R35" s="2335"/>
      <c r="S35" s="2335"/>
      <c r="T35" s="2335"/>
      <c r="U35" s="2335"/>
    </row>
    <row r="36" spans="1:21" ht="12.75">
      <c r="A36" s="1213" t="s">
        <v>419</v>
      </c>
      <c r="B36" s="1231" t="s">
        <v>860</v>
      </c>
      <c r="C36" s="304">
        <v>2825</v>
      </c>
      <c r="D36" s="1202"/>
      <c r="E36" s="276">
        <v>207</v>
      </c>
      <c r="F36" s="1194"/>
      <c r="G36" s="303">
        <v>161</v>
      </c>
      <c r="H36" s="169" t="s">
        <v>665</v>
      </c>
      <c r="I36" s="1592"/>
      <c r="J36" s="1593"/>
      <c r="K36" s="1596"/>
      <c r="L36" s="1597"/>
      <c r="M36" s="1248">
        <f t="shared" si="0"/>
        <v>2551.6569200779727</v>
      </c>
      <c r="N36" s="1429"/>
      <c r="O36" s="1247" t="s">
        <v>1123</v>
      </c>
      <c r="P36" s="2335"/>
      <c r="Q36" s="2335"/>
      <c r="R36" s="2335"/>
      <c r="S36" s="2335"/>
      <c r="T36" s="2335"/>
      <c r="U36" s="2335"/>
    </row>
    <row r="37" spans="1:21" s="229" customFormat="1" ht="12.75">
      <c r="A37" s="1213" t="s">
        <v>262</v>
      </c>
      <c r="B37" s="1232" t="s">
        <v>610</v>
      </c>
      <c r="C37" s="304">
        <f>16454+4</f>
        <v>16458</v>
      </c>
      <c r="D37" s="1202"/>
      <c r="E37" s="276">
        <v>1073</v>
      </c>
      <c r="F37" s="1111"/>
      <c r="G37" s="303">
        <v>955</v>
      </c>
      <c r="H37" s="184" t="s">
        <v>666</v>
      </c>
      <c r="I37" s="1255"/>
      <c r="J37" s="1593"/>
      <c r="K37" s="1596"/>
      <c r="L37" s="1597"/>
      <c r="M37" s="1248">
        <f t="shared" si="0"/>
        <v>14995.126705653021</v>
      </c>
      <c r="N37" s="1429"/>
      <c r="O37" s="1247" t="s">
        <v>1124</v>
      </c>
      <c r="P37" s="2335"/>
      <c r="Q37" s="2335"/>
      <c r="R37" s="2335"/>
      <c r="S37" s="2335"/>
      <c r="T37" s="2335"/>
      <c r="U37" s="2335"/>
    </row>
    <row r="38" spans="1:21" s="229" customFormat="1" ht="12.75">
      <c r="A38" s="1213" t="s">
        <v>420</v>
      </c>
      <c r="B38" s="1230" t="s">
        <v>492</v>
      </c>
      <c r="C38" s="304">
        <f>16570+4</f>
        <v>16574</v>
      </c>
      <c r="D38" s="1202"/>
      <c r="E38" s="276">
        <v>13767</v>
      </c>
      <c r="F38" s="1111"/>
      <c r="G38" s="303">
        <v>6451</v>
      </c>
      <c r="H38" s="169"/>
      <c r="I38" s="1086"/>
      <c r="J38" s="1249"/>
      <c r="K38" s="1264"/>
      <c r="L38" s="1594"/>
      <c r="M38" s="1248">
        <f>((C38+C39-G38)*1000/J31)</f>
        <v>13247.563352826512</v>
      </c>
      <c r="N38" s="1429"/>
      <c r="O38" s="1247" t="s">
        <v>1125</v>
      </c>
      <c r="P38" s="2335"/>
      <c r="Q38" s="2335"/>
      <c r="R38" s="2335"/>
      <c r="S38" s="2335"/>
      <c r="T38" s="2335"/>
      <c r="U38" s="2335"/>
    </row>
    <row r="39" spans="1:21" s="229" customFormat="1" ht="12.75">
      <c r="A39" s="1213" t="s">
        <v>421</v>
      </c>
      <c r="B39" s="1233" t="s">
        <v>561</v>
      </c>
      <c r="C39" s="304">
        <v>3469</v>
      </c>
      <c r="D39" s="1189"/>
      <c r="E39" s="1202"/>
      <c r="F39" s="1202"/>
      <c r="G39" s="1205"/>
      <c r="H39" s="183"/>
      <c r="I39" s="1086"/>
      <c r="J39" s="1249"/>
      <c r="K39" s="1264"/>
      <c r="L39" s="1594"/>
      <c r="M39" s="1251">
        <f>(M31*J31/1000+D31-F31-(Motpart!D18+Motpart!E18+Motpart!F18+Motpart!J18)*0.06)*1000/J31+M35</f>
        <v>103647.9337231969</v>
      </c>
      <c r="N39" s="1429"/>
      <c r="O39" s="1247" t="s">
        <v>1126</v>
      </c>
      <c r="P39" s="2335"/>
      <c r="Q39" s="2335"/>
      <c r="R39" s="2335"/>
      <c r="S39" s="2335"/>
      <c r="T39" s="2335"/>
      <c r="U39" s="2335"/>
    </row>
    <row r="40" spans="1:21" ht="12.75">
      <c r="A40" s="1234" t="s">
        <v>633</v>
      </c>
      <c r="B40" s="1235"/>
      <c r="C40" s="2309"/>
      <c r="D40" s="1191"/>
      <c r="E40" s="1197"/>
      <c r="F40" s="1191"/>
      <c r="G40" s="2308"/>
      <c r="H40" s="171"/>
      <c r="I40" s="1086"/>
      <c r="J40" s="1249"/>
      <c r="K40" s="1264"/>
      <c r="L40" s="1264"/>
      <c r="M40" s="1248">
        <f>(Motpart!G18+Motpart!K18)*1000/J31</f>
        <v>1299.2202729044834</v>
      </c>
      <c r="N40" s="1429"/>
      <c r="O40" s="1247" t="s">
        <v>1127</v>
      </c>
      <c r="P40" s="2335"/>
      <c r="Q40" s="2335"/>
      <c r="R40" s="2335"/>
      <c r="S40" s="2335"/>
      <c r="T40" s="2335"/>
      <c r="U40" s="2335"/>
    </row>
    <row r="41" spans="1:21" ht="12.75">
      <c r="A41" s="1234" t="s">
        <v>634</v>
      </c>
      <c r="B41" s="1235"/>
      <c r="C41" s="1193"/>
      <c r="D41" s="1191"/>
      <c r="E41" s="1191"/>
      <c r="F41" s="1191"/>
      <c r="G41" s="1201"/>
      <c r="H41" s="171"/>
      <c r="I41" s="1086"/>
      <c r="J41" s="1249"/>
      <c r="K41" s="1264"/>
      <c r="L41" s="1264"/>
      <c r="M41" s="1251">
        <f>F31*1000/J31</f>
        <v>1195.906432748538</v>
      </c>
      <c r="N41" s="1429"/>
      <c r="O41" s="1247" t="s">
        <v>1128</v>
      </c>
      <c r="P41" s="2335"/>
      <c r="Q41" s="2335"/>
      <c r="R41" s="2335"/>
      <c r="S41" s="2335"/>
      <c r="T41" s="2335"/>
      <c r="U41" s="2335"/>
    </row>
    <row r="42" spans="1:21" ht="12.75">
      <c r="A42" s="1213" t="s">
        <v>635</v>
      </c>
      <c r="B42" s="1233"/>
      <c r="C42" s="1193"/>
      <c r="D42" s="1191"/>
      <c r="E42" s="1191"/>
      <c r="F42" s="1191"/>
      <c r="G42" s="1201"/>
      <c r="H42" s="171"/>
      <c r="I42" s="1086"/>
      <c r="J42" s="1249"/>
      <c r="K42" s="1264"/>
      <c r="L42" s="1264"/>
      <c r="M42" s="1260">
        <f>((Motpart!D18+Motpart!E18+Motpart!F18+Motpart!J18-(Motpart!D18+Motpart!E18+Motpart!F18+Motpart!J18)*0.06))*1000/J31</f>
        <v>12722.982456140351</v>
      </c>
      <c r="N42" s="1429"/>
      <c r="O42" s="1247" t="s">
        <v>1129</v>
      </c>
      <c r="P42" s="2335"/>
      <c r="Q42" s="2335"/>
      <c r="R42" s="2335"/>
      <c r="S42" s="2335"/>
      <c r="T42" s="2335"/>
      <c r="U42" s="2335"/>
    </row>
    <row r="43" spans="1:21" ht="13.5" thickBot="1">
      <c r="A43" s="1236"/>
      <c r="B43" s="1237"/>
      <c r="C43" s="1206"/>
      <c r="D43" s="1204"/>
      <c r="E43" s="1204"/>
      <c r="F43" s="1204"/>
      <c r="G43" s="1207"/>
      <c r="H43" s="170"/>
      <c r="I43" s="1256"/>
      <c r="J43" s="1256"/>
      <c r="K43" s="1250"/>
      <c r="L43" s="1250"/>
      <c r="M43" s="1261"/>
      <c r="N43" s="1429"/>
      <c r="O43" s="1258"/>
      <c r="P43" s="292"/>
      <c r="Q43" s="292"/>
    </row>
    <row r="44" spans="1:21" ht="12.75">
      <c r="A44" s="1218" t="s">
        <v>429</v>
      </c>
      <c r="B44" s="1229" t="s">
        <v>653</v>
      </c>
      <c r="C44" s="94">
        <f>Drift!P55</f>
        <v>5371</v>
      </c>
      <c r="D44" s="95">
        <f>SUM(Motpart!D19:L19)</f>
        <v>548</v>
      </c>
      <c r="E44" s="95">
        <f>Drift!W55</f>
        <v>985</v>
      </c>
      <c r="F44" s="95">
        <f>Motpart!Y19</f>
        <v>286</v>
      </c>
      <c r="G44" s="147">
        <f>Drift!V55</f>
        <v>585</v>
      </c>
      <c r="H44" s="173"/>
      <c r="I44" s="2304" t="s">
        <v>1075</v>
      </c>
      <c r="J44" s="2305">
        <v>1026</v>
      </c>
      <c r="K44" s="1598"/>
      <c r="L44" s="1599"/>
      <c r="M44" s="1251">
        <f>SUM(M45:M47,M49:M51)</f>
        <v>3670.5653021442495</v>
      </c>
      <c r="N44" s="1259"/>
      <c r="O44" s="1822" t="s">
        <v>1105</v>
      </c>
      <c r="P44" s="104"/>
      <c r="Q44" s="292"/>
    </row>
    <row r="45" spans="1:21" ht="12.75">
      <c r="A45" s="1213" t="s">
        <v>422</v>
      </c>
      <c r="B45" s="1230" t="s">
        <v>562</v>
      </c>
      <c r="C45" s="304">
        <v>2391</v>
      </c>
      <c r="D45" s="1202"/>
      <c r="E45" s="276">
        <v>276</v>
      </c>
      <c r="F45" s="1195"/>
      <c r="G45" s="303">
        <v>265</v>
      </c>
      <c r="H45" s="167" t="s">
        <v>667</v>
      </c>
      <c r="I45" s="1592" t="str">
        <f>I44</f>
        <v>Invånarantal 6-15 år</v>
      </c>
      <c r="J45" s="929">
        <v>1025536</v>
      </c>
      <c r="K45" s="1596"/>
      <c r="L45" s="1597"/>
      <c r="M45" s="1260">
        <f t="shared" ref="M45:M50" si="1">(C45-E45)*1000/$J$44</f>
        <v>2061.4035087719299</v>
      </c>
      <c r="N45" s="1429"/>
      <c r="O45" s="1247" t="s">
        <v>1106</v>
      </c>
      <c r="P45" s="2335"/>
      <c r="Q45" s="2335"/>
      <c r="R45" s="2335"/>
      <c r="S45" s="2335"/>
      <c r="T45" s="2335"/>
      <c r="U45" s="2335"/>
    </row>
    <row r="46" spans="1:21" ht="12.75">
      <c r="A46" s="1213" t="s">
        <v>430</v>
      </c>
      <c r="B46" s="1230" t="s">
        <v>1002</v>
      </c>
      <c r="C46" s="304">
        <v>78</v>
      </c>
      <c r="D46" s="1202"/>
      <c r="E46" s="276">
        <v>3</v>
      </c>
      <c r="F46" s="1195"/>
      <c r="G46" s="303">
        <v>2</v>
      </c>
      <c r="H46" s="171" t="s">
        <v>668</v>
      </c>
      <c r="I46" s="1592"/>
      <c r="J46" s="1593"/>
      <c r="K46" s="1264"/>
      <c r="L46" s="1594"/>
      <c r="M46" s="1260">
        <f t="shared" si="1"/>
        <v>73.099415204678365</v>
      </c>
      <c r="N46" s="1429"/>
      <c r="O46" s="1247" t="s">
        <v>1107</v>
      </c>
      <c r="P46" s="2335"/>
      <c r="Q46" s="2335"/>
      <c r="R46" s="2335"/>
      <c r="S46" s="2335"/>
      <c r="T46" s="2335"/>
      <c r="U46" s="2335"/>
    </row>
    <row r="47" spans="1:21" ht="12.75">
      <c r="A47" s="1213" t="s">
        <v>431</v>
      </c>
      <c r="B47" s="1230" t="s">
        <v>582</v>
      </c>
      <c r="C47" s="304">
        <v>79</v>
      </c>
      <c r="D47" s="1202"/>
      <c r="E47" s="276">
        <v>11</v>
      </c>
      <c r="F47" s="1194"/>
      <c r="G47" s="303">
        <v>8</v>
      </c>
      <c r="H47" s="171"/>
      <c r="I47" s="1592"/>
      <c r="J47" s="1249"/>
      <c r="K47" s="1245"/>
      <c r="L47" s="1595"/>
      <c r="M47" s="1260">
        <f t="shared" si="1"/>
        <v>66.276803118908376</v>
      </c>
      <c r="N47" s="1429"/>
      <c r="O47" s="1247" t="s">
        <v>1108</v>
      </c>
      <c r="P47" s="2335"/>
      <c r="Q47" s="2335"/>
      <c r="R47" s="2335"/>
      <c r="S47" s="2335"/>
      <c r="T47" s="2335"/>
      <c r="U47" s="2335"/>
    </row>
    <row r="48" spans="1:21" ht="12.75">
      <c r="A48" s="1213" t="s">
        <v>425</v>
      </c>
      <c r="B48" s="1230" t="s">
        <v>560</v>
      </c>
      <c r="C48" s="304">
        <v>457</v>
      </c>
      <c r="D48" s="1202"/>
      <c r="E48" s="276">
        <v>9</v>
      </c>
      <c r="F48" s="1111"/>
      <c r="G48" s="303">
        <v>2</v>
      </c>
      <c r="H48" s="169" t="s">
        <v>669</v>
      </c>
      <c r="I48" s="1592"/>
      <c r="J48" s="1593"/>
      <c r="K48" s="1596"/>
      <c r="L48" s="1597"/>
      <c r="M48" s="1260">
        <f t="shared" si="1"/>
        <v>436.64717348927877</v>
      </c>
      <c r="N48" s="1429"/>
      <c r="O48" s="1247" t="s">
        <v>1109</v>
      </c>
      <c r="P48" s="2335"/>
      <c r="Q48" s="2335"/>
      <c r="R48" s="2335"/>
      <c r="S48" s="2335"/>
      <c r="T48" s="2335"/>
      <c r="U48" s="2335"/>
    </row>
    <row r="49" spans="1:21" ht="12.75">
      <c r="A49" s="1213" t="s">
        <v>432</v>
      </c>
      <c r="B49" s="1231" t="s">
        <v>860</v>
      </c>
      <c r="C49" s="304">
        <v>60</v>
      </c>
      <c r="D49" s="1202"/>
      <c r="E49" s="276">
        <v>2</v>
      </c>
      <c r="F49" s="1208"/>
      <c r="G49" s="303">
        <v>2</v>
      </c>
      <c r="H49" s="171" t="s">
        <v>670</v>
      </c>
      <c r="I49" s="1592"/>
      <c r="J49" s="1593"/>
      <c r="K49" s="1596"/>
      <c r="L49" s="1597"/>
      <c r="M49" s="1260">
        <f t="shared" si="1"/>
        <v>56.530214424951268</v>
      </c>
      <c r="N49" s="1429"/>
      <c r="O49" s="1247" t="s">
        <v>1110</v>
      </c>
      <c r="P49" s="2335"/>
      <c r="Q49" s="2335"/>
      <c r="R49" s="2335"/>
      <c r="S49" s="2335"/>
      <c r="T49" s="2335"/>
      <c r="U49" s="2335"/>
    </row>
    <row r="50" spans="1:21" ht="12.75">
      <c r="A50" s="1213" t="s">
        <v>433</v>
      </c>
      <c r="B50" s="1232" t="s">
        <v>610</v>
      </c>
      <c r="C50" s="304">
        <v>420</v>
      </c>
      <c r="D50" s="1202"/>
      <c r="E50" s="276">
        <v>27</v>
      </c>
      <c r="F50" s="1194"/>
      <c r="G50" s="303">
        <v>25</v>
      </c>
      <c r="H50" s="169" t="s">
        <v>671</v>
      </c>
      <c r="I50" s="1592"/>
      <c r="J50" s="1593"/>
      <c r="K50" s="1596"/>
      <c r="L50" s="1597"/>
      <c r="M50" s="1260">
        <f t="shared" si="1"/>
        <v>383.04093567251459</v>
      </c>
      <c r="N50" s="1429"/>
      <c r="O50" s="1247" t="s">
        <v>1111</v>
      </c>
      <c r="P50" s="2335"/>
      <c r="Q50" s="2335"/>
      <c r="R50" s="2335"/>
      <c r="S50" s="2335"/>
      <c r="T50" s="2335"/>
      <c r="U50" s="2335"/>
    </row>
    <row r="51" spans="1:21" ht="12.75">
      <c r="A51" s="1213" t="s">
        <v>434</v>
      </c>
      <c r="B51" s="1230" t="s">
        <v>492</v>
      </c>
      <c r="C51" s="304">
        <v>1185</v>
      </c>
      <c r="D51" s="1504"/>
      <c r="E51" s="276">
        <v>355</v>
      </c>
      <c r="F51" s="1194"/>
      <c r="G51" s="303">
        <v>281</v>
      </c>
      <c r="H51" s="167" t="s">
        <v>672</v>
      </c>
      <c r="I51" s="1592"/>
      <c r="J51" s="1593"/>
      <c r="K51" s="1596"/>
      <c r="L51" s="1597"/>
      <c r="M51" s="1260">
        <f>(C51+C52-G51)*1000/$J$44</f>
        <v>1030.2144249512671</v>
      </c>
      <c r="N51" s="1429"/>
      <c r="O51" s="1247" t="s">
        <v>1112</v>
      </c>
      <c r="P51" s="2335"/>
      <c r="Q51" s="2335"/>
      <c r="R51" s="2335"/>
      <c r="S51" s="2335"/>
      <c r="T51" s="2335"/>
      <c r="U51" s="2335"/>
    </row>
    <row r="52" spans="1:21" ht="12.75">
      <c r="A52" s="1213" t="s">
        <v>435</v>
      </c>
      <c r="B52" s="1233" t="s">
        <v>504</v>
      </c>
      <c r="C52" s="304">
        <v>153</v>
      </c>
      <c r="D52" s="1505"/>
      <c r="E52" s="1202"/>
      <c r="F52" s="1202"/>
      <c r="G52" s="1205"/>
      <c r="H52" s="171"/>
      <c r="I52" s="1429"/>
      <c r="J52" s="1249"/>
      <c r="K52" s="1264"/>
      <c r="L52" s="1594"/>
      <c r="M52" s="1248">
        <f>((M44*J44/1000+D44-F44-(Motpart!D19+Motpart!E19+Motpart!F19+Motpart!J19)*0.06))*1000/J44+M48</f>
        <v>4346.9590643274851</v>
      </c>
      <c r="N52" s="1429"/>
      <c r="O52" s="1247" t="s">
        <v>1113</v>
      </c>
      <c r="P52" s="2335"/>
      <c r="Q52" s="2335"/>
      <c r="R52" s="2335"/>
      <c r="S52" s="2335"/>
      <c r="T52" s="2335"/>
      <c r="U52" s="2335"/>
    </row>
    <row r="53" spans="1:21" ht="12.75">
      <c r="A53" s="1236" t="s">
        <v>636</v>
      </c>
      <c r="B53" s="1233"/>
      <c r="C53" s="2309"/>
      <c r="D53" s="1202"/>
      <c r="E53" s="1197"/>
      <c r="F53" s="1202"/>
      <c r="G53" s="2308"/>
      <c r="H53" s="171"/>
      <c r="I53" s="1086"/>
      <c r="J53" s="1249"/>
      <c r="K53" s="1264"/>
      <c r="L53" s="1264"/>
      <c r="M53" s="1251">
        <f>(Motpart!G19+Motpart!K19)*1000/J44</f>
        <v>259.25925925925924</v>
      </c>
      <c r="N53" s="1429"/>
      <c r="O53" s="1247" t="s">
        <v>1114</v>
      </c>
      <c r="P53" s="2335"/>
      <c r="Q53" s="2335"/>
      <c r="R53" s="2335"/>
      <c r="S53" s="2335"/>
      <c r="T53" s="2335"/>
      <c r="U53" s="2335"/>
    </row>
    <row r="54" spans="1:21" ht="12.75">
      <c r="A54" s="1236" t="s">
        <v>637</v>
      </c>
      <c r="B54" s="1233"/>
      <c r="C54" s="1202"/>
      <c r="D54" s="1202"/>
      <c r="E54" s="1202"/>
      <c r="F54" s="1202"/>
      <c r="G54" s="1205"/>
      <c r="H54" s="169"/>
      <c r="I54" s="1086"/>
      <c r="J54" s="1249"/>
      <c r="K54" s="1264"/>
      <c r="L54" s="1264"/>
      <c r="M54" s="1260">
        <f>F44*1000/J44</f>
        <v>278.75243664717351</v>
      </c>
      <c r="N54" s="1429"/>
      <c r="O54" s="1247" t="s">
        <v>1115</v>
      </c>
      <c r="P54" s="2335"/>
      <c r="Q54" s="2335"/>
      <c r="R54" s="2335"/>
      <c r="S54" s="2335"/>
      <c r="T54" s="2335"/>
      <c r="U54" s="2335"/>
    </row>
    <row r="55" spans="1:21" ht="12.75">
      <c r="A55" s="1236" t="s">
        <v>638</v>
      </c>
      <c r="B55" s="1238"/>
      <c r="C55" s="1202"/>
      <c r="D55" s="1202"/>
      <c r="E55" s="1202"/>
      <c r="F55" s="1202"/>
      <c r="G55" s="1205"/>
      <c r="H55" s="167"/>
      <c r="I55" s="1086"/>
      <c r="J55" s="1249"/>
      <c r="K55" s="1264"/>
      <c r="L55" s="1264"/>
      <c r="M55" s="1260">
        <f>Motpart!H19*1000/J44</f>
        <v>2.9239766081871346</v>
      </c>
      <c r="N55" s="1429"/>
      <c r="O55" s="1247" t="s">
        <v>1116</v>
      </c>
      <c r="P55" s="2335"/>
      <c r="Q55" s="2335"/>
      <c r="R55" s="2335"/>
      <c r="S55" s="2335"/>
      <c r="T55" s="2335"/>
      <c r="U55" s="2335"/>
    </row>
    <row r="56" spans="1:21" ht="12.75">
      <c r="A56" s="1216" t="s">
        <v>639</v>
      </c>
      <c r="B56" s="1233"/>
      <c r="C56" s="1191"/>
      <c r="D56" s="1191"/>
      <c r="E56" s="1191"/>
      <c r="F56" s="1191"/>
      <c r="G56" s="1201"/>
      <c r="H56" s="1430"/>
      <c r="I56" s="1431"/>
      <c r="J56" s="1249"/>
      <c r="K56" s="1264"/>
      <c r="L56" s="1264"/>
      <c r="M56" s="1260">
        <f>(Motpart!D19+Motpart!E19+Motpart!F19+Motpart!J19-(Motpart!D19+Motpart!E19+Motpart!F19+Motpart!J19)*0.06)*1000/J44</f>
        <v>244.61988304093566</v>
      </c>
      <c r="N56" s="1429"/>
      <c r="O56" s="1247" t="s">
        <v>1117</v>
      </c>
      <c r="P56" s="2335"/>
      <c r="Q56" s="2335"/>
      <c r="R56" s="2335"/>
      <c r="S56" s="2335"/>
      <c r="T56" s="2335"/>
      <c r="U56" s="2335"/>
    </row>
    <row r="57" spans="1:21" ht="13.5" thickBot="1">
      <c r="A57" s="1236"/>
      <c r="B57" s="1239"/>
      <c r="C57" s="1204"/>
      <c r="D57" s="1204"/>
      <c r="E57" s="1204"/>
      <c r="F57" s="1204"/>
      <c r="G57" s="1209"/>
      <c r="H57" s="185"/>
      <c r="I57" s="1265"/>
      <c r="J57" s="1256"/>
      <c r="K57" s="1250"/>
      <c r="L57" s="1250"/>
      <c r="M57" s="1261"/>
      <c r="N57" s="1262"/>
      <c r="O57" s="1258"/>
      <c r="P57" s="292"/>
      <c r="Q57" s="292"/>
    </row>
    <row r="58" spans="1:21" ht="12.75">
      <c r="A58" s="1218" t="s">
        <v>436</v>
      </c>
      <c r="B58" s="1229" t="s">
        <v>616</v>
      </c>
      <c r="C58" s="94">
        <f>Drift!P56</f>
        <v>51086</v>
      </c>
      <c r="D58" s="95">
        <f>SUM(Motpart!D20:L20)</f>
        <v>18474</v>
      </c>
      <c r="E58" s="95">
        <f>Drift!W56</f>
        <v>14306</v>
      </c>
      <c r="F58" s="95">
        <f>Motpart!Y20</f>
        <v>6717</v>
      </c>
      <c r="G58" s="147">
        <f>Drift!V56</f>
        <v>3390</v>
      </c>
      <c r="H58" s="167"/>
      <c r="I58" s="2304" t="s">
        <v>1076</v>
      </c>
      <c r="J58" s="2305">
        <v>317</v>
      </c>
      <c r="K58" s="1598"/>
      <c r="L58" s="1599"/>
      <c r="M58" s="1263">
        <f>SUM(M59:M61,M63:M65)</f>
        <v>86637.223974763416</v>
      </c>
      <c r="N58" s="1429"/>
      <c r="O58" s="1822" t="s">
        <v>1084</v>
      </c>
      <c r="P58" s="104"/>
      <c r="Q58" s="292"/>
    </row>
    <row r="59" spans="1:21" ht="12.75">
      <c r="A59" s="1213" t="s">
        <v>437</v>
      </c>
      <c r="B59" s="1230" t="s">
        <v>562</v>
      </c>
      <c r="C59" s="304">
        <f>15590+16</f>
        <v>15606</v>
      </c>
      <c r="D59" s="1202"/>
      <c r="E59" s="276">
        <v>1559</v>
      </c>
      <c r="F59" s="1194"/>
      <c r="G59" s="303">
        <v>1403</v>
      </c>
      <c r="H59" s="171" t="s">
        <v>673</v>
      </c>
      <c r="I59" s="1592" t="str">
        <f>I58</f>
        <v>Invånarantal 16-18 år</v>
      </c>
      <c r="J59" s="929">
        <v>317452</v>
      </c>
      <c r="K59" s="1596"/>
      <c r="L59" s="1597"/>
      <c r="M59" s="1260">
        <f t="shared" ref="M59:M64" si="2">(C59-E59)*1000/$J$58</f>
        <v>44312.302839116717</v>
      </c>
      <c r="N59" s="1429"/>
      <c r="O59" s="1247" t="s">
        <v>1085</v>
      </c>
      <c r="P59" s="2440"/>
      <c r="Q59" s="2335"/>
      <c r="R59" s="2335"/>
      <c r="S59" s="2335"/>
      <c r="T59" s="2335"/>
      <c r="U59" s="2335"/>
    </row>
    <row r="60" spans="1:21" ht="12.75">
      <c r="A60" s="1213" t="s">
        <v>438</v>
      </c>
      <c r="B60" s="1230" t="s">
        <v>1002</v>
      </c>
      <c r="C60" s="304">
        <f>2415+2</f>
        <v>2417</v>
      </c>
      <c r="D60" s="1202"/>
      <c r="E60" s="276">
        <v>225</v>
      </c>
      <c r="F60" s="1194"/>
      <c r="G60" s="303">
        <v>70</v>
      </c>
      <c r="H60" s="171" t="s">
        <v>674</v>
      </c>
      <c r="I60" s="1592"/>
      <c r="J60" s="1593"/>
      <c r="K60" s="1264"/>
      <c r="L60" s="1594"/>
      <c r="M60" s="1260">
        <f t="shared" si="2"/>
        <v>6914.8264984227126</v>
      </c>
      <c r="N60" s="1429"/>
      <c r="O60" s="1247" t="s">
        <v>1086</v>
      </c>
      <c r="P60" s="2335"/>
      <c r="Q60" s="2335"/>
      <c r="R60" s="2335"/>
      <c r="S60" s="2335"/>
      <c r="T60" s="2335"/>
      <c r="U60" s="2335"/>
    </row>
    <row r="61" spans="1:21" ht="12.75">
      <c r="A61" s="1213" t="s">
        <v>439</v>
      </c>
      <c r="B61" s="1230" t="s">
        <v>582</v>
      </c>
      <c r="C61" s="304">
        <f>1361+1</f>
        <v>1362</v>
      </c>
      <c r="D61" s="1202"/>
      <c r="E61" s="276">
        <v>204</v>
      </c>
      <c r="F61" s="1194"/>
      <c r="G61" s="303">
        <v>96</v>
      </c>
      <c r="H61" s="169"/>
      <c r="I61" s="1592"/>
      <c r="J61" s="929"/>
      <c r="K61" s="1245"/>
      <c r="L61" s="1595"/>
      <c r="M61" s="1260">
        <f t="shared" si="2"/>
        <v>3652.9968454258674</v>
      </c>
      <c r="N61" s="1429"/>
      <c r="O61" s="1247" t="s">
        <v>1087</v>
      </c>
      <c r="P61" s="2335"/>
      <c r="Q61" s="2335"/>
      <c r="R61" s="2335"/>
      <c r="S61" s="2335"/>
      <c r="T61" s="2335"/>
      <c r="U61" s="2335"/>
    </row>
    <row r="62" spans="1:21" ht="12.75">
      <c r="A62" s="1213" t="s">
        <v>278</v>
      </c>
      <c r="B62" s="1230" t="s">
        <v>560</v>
      </c>
      <c r="C62" s="304">
        <f>1273+1</f>
        <v>1274</v>
      </c>
      <c r="D62" s="1202"/>
      <c r="E62" s="276">
        <v>102</v>
      </c>
      <c r="F62" s="1194"/>
      <c r="G62" s="303">
        <v>6</v>
      </c>
      <c r="H62" s="167" t="s">
        <v>675</v>
      </c>
      <c r="I62" s="1592"/>
      <c r="J62" s="1593"/>
      <c r="K62" s="1596"/>
      <c r="L62" s="1597"/>
      <c r="M62" s="1260">
        <f t="shared" si="2"/>
        <v>3697.1608832807569</v>
      </c>
      <c r="N62" s="1429"/>
      <c r="O62" s="1247" t="s">
        <v>1088</v>
      </c>
      <c r="P62" s="2335"/>
      <c r="Q62" s="2335"/>
      <c r="R62" s="2335"/>
      <c r="S62" s="2335"/>
      <c r="T62" s="2335"/>
      <c r="U62" s="2335"/>
    </row>
    <row r="63" spans="1:21" ht="12.75">
      <c r="A63" s="1213" t="s">
        <v>440</v>
      </c>
      <c r="B63" s="1231" t="s">
        <v>860</v>
      </c>
      <c r="C63" s="304">
        <v>655</v>
      </c>
      <c r="D63" s="1202"/>
      <c r="E63" s="276">
        <v>32</v>
      </c>
      <c r="F63" s="1194"/>
      <c r="G63" s="303">
        <v>18</v>
      </c>
      <c r="H63" s="171" t="s">
        <v>676</v>
      </c>
      <c r="I63" s="1592"/>
      <c r="J63" s="1593"/>
      <c r="K63" s="1596"/>
      <c r="L63" s="1597"/>
      <c r="M63" s="1260">
        <f t="shared" si="2"/>
        <v>1965.2996845425866</v>
      </c>
      <c r="N63" s="1429"/>
      <c r="O63" s="1247" t="s">
        <v>1089</v>
      </c>
      <c r="P63" s="2335"/>
      <c r="Q63" s="2335"/>
      <c r="R63" s="2335"/>
      <c r="S63" s="2335"/>
      <c r="T63" s="2335"/>
      <c r="U63" s="2335"/>
    </row>
    <row r="64" spans="1:21" ht="12.75">
      <c r="A64" s="1213" t="s">
        <v>441</v>
      </c>
      <c r="B64" s="1232" t="s">
        <v>610</v>
      </c>
      <c r="C64" s="304">
        <f>5194+5</f>
        <v>5199</v>
      </c>
      <c r="D64" s="1202"/>
      <c r="E64" s="276">
        <v>211</v>
      </c>
      <c r="F64" s="1194"/>
      <c r="G64" s="303">
        <v>154</v>
      </c>
      <c r="H64" s="171" t="s">
        <v>677</v>
      </c>
      <c r="I64" s="1592"/>
      <c r="J64" s="1593"/>
      <c r="K64" s="1596"/>
      <c r="L64" s="1597"/>
      <c r="M64" s="1260">
        <f t="shared" si="2"/>
        <v>15735.015772870662</v>
      </c>
      <c r="N64" s="1429"/>
      <c r="O64" s="1247" t="s">
        <v>1090</v>
      </c>
      <c r="P64" s="2335"/>
      <c r="Q64" s="2335"/>
      <c r="R64" s="2335"/>
      <c r="S64" s="2335"/>
      <c r="T64" s="2335"/>
      <c r="U64" s="2335"/>
    </row>
    <row r="65" spans="1:21" ht="12.75">
      <c r="A65" s="1213" t="s">
        <v>442</v>
      </c>
      <c r="B65" s="1240" t="s">
        <v>492</v>
      </c>
      <c r="C65" s="304">
        <f>5026+5</f>
        <v>5031</v>
      </c>
      <c r="D65" s="1202"/>
      <c r="E65" s="276">
        <v>4714</v>
      </c>
      <c r="F65" s="1194"/>
      <c r="G65" s="303">
        <v>1643</v>
      </c>
      <c r="H65" s="171" t="s">
        <v>678</v>
      </c>
      <c r="I65" s="1592"/>
      <c r="J65" s="1593"/>
      <c r="K65" s="1596"/>
      <c r="L65" s="1597"/>
      <c r="M65" s="1260">
        <f>(C65+C66-G65)*1000/$J$58</f>
        <v>14056.782334384858</v>
      </c>
      <c r="N65" s="1429"/>
      <c r="O65" s="1247" t="s">
        <v>1091</v>
      </c>
      <c r="P65" s="2335"/>
      <c r="Q65" s="2335"/>
      <c r="R65" s="2335"/>
      <c r="S65" s="2335"/>
      <c r="T65" s="2335"/>
      <c r="U65" s="2335"/>
    </row>
    <row r="66" spans="1:21" ht="12.75">
      <c r="A66" s="1213" t="s">
        <v>443</v>
      </c>
      <c r="B66" s="1241" t="s">
        <v>504</v>
      </c>
      <c r="C66" s="304">
        <f>1067+1</f>
        <v>1068</v>
      </c>
      <c r="D66" s="1189"/>
      <c r="E66" s="1202"/>
      <c r="F66" s="1202"/>
      <c r="G66" s="1205"/>
      <c r="H66" s="171"/>
      <c r="I66" s="1429"/>
      <c r="J66" s="1249"/>
      <c r="K66" s="1264"/>
      <c r="L66" s="1594"/>
      <c r="M66" s="1260">
        <f>(M58*J58/1000+D58-F58-(Motpart!D20+Motpart!E20+Motpart!F20+Motpart!J20)*0.06)*1000/J58+M62</f>
        <v>125714.32176656151</v>
      </c>
      <c r="N66" s="1429"/>
      <c r="O66" s="1247" t="s">
        <v>1092</v>
      </c>
      <c r="P66" s="2335"/>
      <c r="Q66" s="2335"/>
      <c r="R66" s="2335"/>
      <c r="S66" s="2335"/>
      <c r="T66" s="2335"/>
      <c r="U66" s="2335"/>
    </row>
    <row r="67" spans="1:21" ht="12.75">
      <c r="A67" s="1213" t="s">
        <v>643</v>
      </c>
      <c r="B67" s="1233"/>
      <c r="C67" s="2309"/>
      <c r="D67" s="1191"/>
      <c r="E67" s="1197"/>
      <c r="F67" s="1191"/>
      <c r="G67" s="2308"/>
      <c r="H67" s="171"/>
      <c r="I67" s="1086"/>
      <c r="J67" s="1249"/>
      <c r="K67" s="1264"/>
      <c r="L67" s="1264"/>
      <c r="M67" s="1260">
        <f>(Motpart!G20+Motpart!K20)*1000/J58</f>
        <v>28246.056782334384</v>
      </c>
      <c r="N67" s="1429"/>
      <c r="O67" s="1247" t="s">
        <v>1093</v>
      </c>
      <c r="P67" s="2335"/>
      <c r="Q67" s="2335"/>
      <c r="R67" s="2335"/>
      <c r="S67" s="2335"/>
      <c r="T67" s="2335"/>
      <c r="U67" s="2335"/>
    </row>
    <row r="68" spans="1:21" ht="12.75">
      <c r="A68" s="1234" t="s">
        <v>644</v>
      </c>
      <c r="B68" s="1233"/>
      <c r="C68" s="1202"/>
      <c r="D68" s="1191"/>
      <c r="E68" s="1202"/>
      <c r="F68" s="1202"/>
      <c r="G68" s="1205"/>
      <c r="H68" s="169"/>
      <c r="I68" s="1086"/>
      <c r="J68" s="1249"/>
      <c r="K68" s="1264"/>
      <c r="L68" s="1264"/>
      <c r="M68" s="1260">
        <f>F58*1000/J58</f>
        <v>21189.274447949527</v>
      </c>
      <c r="N68" s="1429"/>
      <c r="O68" s="1247" t="s">
        <v>1094</v>
      </c>
      <c r="P68" s="2335"/>
      <c r="Q68" s="2335"/>
      <c r="R68" s="2335"/>
      <c r="S68" s="2335"/>
      <c r="T68" s="2335"/>
      <c r="U68" s="2335"/>
    </row>
    <row r="69" spans="1:21" ht="12.75">
      <c r="A69" s="1234" t="s">
        <v>645</v>
      </c>
      <c r="B69" s="1238"/>
      <c r="C69" s="1202"/>
      <c r="D69" s="1191"/>
      <c r="E69" s="1202"/>
      <c r="F69" s="1202"/>
      <c r="G69" s="1205"/>
      <c r="H69" s="167"/>
      <c r="I69" s="1086"/>
      <c r="J69" s="1249"/>
      <c r="K69" s="1264"/>
      <c r="L69" s="1264"/>
      <c r="M69" s="1260">
        <f>Motpart!H20*1000/J58</f>
        <v>1239.7476340694006</v>
      </c>
      <c r="N69" s="1429"/>
      <c r="O69" s="1247" t="s">
        <v>1095</v>
      </c>
      <c r="P69" s="2335"/>
      <c r="Q69" s="2335"/>
      <c r="R69" s="2335"/>
      <c r="S69" s="2335"/>
      <c r="T69" s="2335"/>
      <c r="U69" s="2335"/>
    </row>
    <row r="70" spans="1:21" ht="12.75">
      <c r="A70" s="1234" t="s">
        <v>646</v>
      </c>
      <c r="B70" s="1233"/>
      <c r="C70" s="1191"/>
      <c r="D70" s="1191"/>
      <c r="E70" s="1191"/>
      <c r="F70" s="1191"/>
      <c r="G70" s="1201"/>
      <c r="H70" s="1430"/>
      <c r="I70" s="1431"/>
      <c r="J70" s="1249"/>
      <c r="K70" s="1264"/>
      <c r="L70" s="1264"/>
      <c r="M70" s="1260">
        <f>((Motpart!D20+Motpart!E20+Motpart!F20+Motpart!J20)-(Motpart!D20+Motpart!E20+Motpart!F20+Motpart!J20)*0.06)*1000/J58</f>
        <v>26764.794952681386</v>
      </c>
      <c r="N70" s="1429"/>
      <c r="O70" s="1247" t="s">
        <v>1096</v>
      </c>
      <c r="P70" s="2335"/>
      <c r="Q70" s="2335"/>
      <c r="R70" s="2335"/>
      <c r="S70" s="2335"/>
      <c r="T70" s="2335"/>
      <c r="U70" s="2335"/>
    </row>
    <row r="71" spans="1:21" ht="13.5" thickBot="1">
      <c r="A71" s="1242"/>
      <c r="B71" s="1243"/>
      <c r="C71" s="1206"/>
      <c r="D71" s="1204"/>
      <c r="E71" s="1204"/>
      <c r="F71" s="1191"/>
      <c r="G71" s="1207"/>
      <c r="H71" s="170"/>
      <c r="I71" s="1256"/>
      <c r="J71" s="1256"/>
      <c r="K71" s="1250"/>
      <c r="L71" s="1250"/>
      <c r="M71" s="1261"/>
      <c r="N71" s="1262"/>
      <c r="O71" s="1258"/>
      <c r="P71" s="292"/>
      <c r="Q71" s="292"/>
    </row>
    <row r="72" spans="1:21" ht="12.75">
      <c r="A72" s="1218" t="s">
        <v>444</v>
      </c>
      <c r="B72" s="1229" t="s">
        <v>617</v>
      </c>
      <c r="C72" s="94">
        <f>Drift!P57</f>
        <v>3527</v>
      </c>
      <c r="D72" s="95">
        <f>SUM(Motpart!D21:L21)</f>
        <v>962</v>
      </c>
      <c r="E72" s="95">
        <f>Drift!W57</f>
        <v>795</v>
      </c>
      <c r="F72" s="95">
        <f>Motpart!Y21</f>
        <v>513</v>
      </c>
      <c r="G72" s="147">
        <f>Drift!V57</f>
        <v>172</v>
      </c>
      <c r="H72" s="167"/>
      <c r="I72" s="2304" t="s">
        <v>1076</v>
      </c>
      <c r="J72" s="2305">
        <v>317</v>
      </c>
      <c r="K72" s="1598"/>
      <c r="L72" s="1599"/>
      <c r="M72" s="1263">
        <f>SUM(M73:M75,M77:M79)</f>
        <v>6681.3880126182967</v>
      </c>
      <c r="N72" s="1429"/>
      <c r="O72" s="1822" t="s">
        <v>1084</v>
      </c>
      <c r="P72" s="104"/>
      <c r="Q72" s="292"/>
    </row>
    <row r="73" spans="1:21" ht="12.75">
      <c r="A73" s="1213" t="s">
        <v>445</v>
      </c>
      <c r="B73" s="1230" t="s">
        <v>562</v>
      </c>
      <c r="C73" s="304">
        <v>1136</v>
      </c>
      <c r="D73" s="1202"/>
      <c r="E73" s="276">
        <v>79</v>
      </c>
      <c r="F73" s="1194"/>
      <c r="G73" s="303">
        <v>72</v>
      </c>
      <c r="H73" s="184" t="s">
        <v>679</v>
      </c>
      <c r="I73" s="1592" t="str">
        <f>I72</f>
        <v>Invånarantal 16-18 år</v>
      </c>
      <c r="J73" s="929">
        <v>317452</v>
      </c>
      <c r="K73" s="1596"/>
      <c r="L73" s="1596"/>
      <c r="M73" s="1260">
        <f t="shared" ref="M73:M78" si="3">(C73-E73)*1000/$J$72</f>
        <v>3334.384858044164</v>
      </c>
      <c r="N73" s="1429"/>
      <c r="O73" s="1247" t="s">
        <v>1085</v>
      </c>
      <c r="P73" s="2440"/>
      <c r="Q73" s="2335"/>
      <c r="R73" s="2335"/>
      <c r="S73" s="2335"/>
      <c r="T73" s="2335"/>
      <c r="U73" s="2335"/>
    </row>
    <row r="74" spans="1:21" ht="12.75">
      <c r="A74" s="1213" t="s">
        <v>446</v>
      </c>
      <c r="B74" s="1230" t="s">
        <v>1002</v>
      </c>
      <c r="C74" s="304">
        <v>94</v>
      </c>
      <c r="D74" s="1202"/>
      <c r="E74" s="276">
        <v>15</v>
      </c>
      <c r="F74" s="1194"/>
      <c r="G74" s="303">
        <v>5</v>
      </c>
      <c r="H74" s="183" t="s">
        <v>680</v>
      </c>
      <c r="I74" s="929"/>
      <c r="J74" s="1593"/>
      <c r="K74" s="1264"/>
      <c r="L74" s="1264"/>
      <c r="M74" s="1260">
        <f t="shared" si="3"/>
        <v>249.21135646687696</v>
      </c>
      <c r="N74" s="1429"/>
      <c r="O74" s="1247" t="s">
        <v>1086</v>
      </c>
      <c r="P74" s="2335"/>
      <c r="Q74" s="2335"/>
      <c r="R74" s="2335"/>
      <c r="S74" s="2335"/>
      <c r="T74" s="2335"/>
      <c r="U74" s="2335"/>
    </row>
    <row r="75" spans="1:21" ht="12.75">
      <c r="A75" s="1213" t="s">
        <v>447</v>
      </c>
      <c r="B75" s="1230" t="s">
        <v>582</v>
      </c>
      <c r="C75" s="304">
        <v>43</v>
      </c>
      <c r="D75" s="1202"/>
      <c r="E75" s="276">
        <v>4</v>
      </c>
      <c r="F75" s="1194"/>
      <c r="G75" s="303">
        <v>1</v>
      </c>
      <c r="H75" s="1611"/>
      <c r="I75" s="929"/>
      <c r="J75" s="929"/>
      <c r="K75" s="1245"/>
      <c r="L75" s="1245"/>
      <c r="M75" s="1260">
        <f t="shared" si="3"/>
        <v>123.02839116719242</v>
      </c>
      <c r="N75" s="1429"/>
      <c r="O75" s="1247" t="s">
        <v>1087</v>
      </c>
      <c r="P75" s="2335"/>
      <c r="Q75" s="2335"/>
      <c r="R75" s="2335"/>
      <c r="S75" s="2335"/>
      <c r="T75" s="2335"/>
      <c r="U75" s="2335"/>
    </row>
    <row r="76" spans="1:21" ht="12.75">
      <c r="A76" s="1213" t="s">
        <v>448</v>
      </c>
      <c r="B76" s="1230" t="s">
        <v>560</v>
      </c>
      <c r="C76" s="304">
        <v>254</v>
      </c>
      <c r="D76" s="1202"/>
      <c r="E76" s="276">
        <v>6</v>
      </c>
      <c r="F76" s="1194"/>
      <c r="G76" s="303">
        <v>1</v>
      </c>
      <c r="H76" s="1611" t="s">
        <v>681</v>
      </c>
      <c r="I76" s="929"/>
      <c r="J76" s="1593"/>
      <c r="K76" s="1596"/>
      <c r="L76" s="1596"/>
      <c r="M76" s="1260">
        <f t="shared" si="3"/>
        <v>782.33438485804413</v>
      </c>
      <c r="N76" s="1429"/>
      <c r="O76" s="1247" t="s">
        <v>1088</v>
      </c>
      <c r="P76" s="2335"/>
      <c r="Q76" s="2335"/>
      <c r="R76" s="2335"/>
      <c r="S76" s="2335"/>
      <c r="T76" s="2335"/>
      <c r="U76" s="2335"/>
    </row>
    <row r="77" spans="1:21" ht="12.75">
      <c r="A77" s="1213" t="s">
        <v>449</v>
      </c>
      <c r="B77" s="1231" t="s">
        <v>860</v>
      </c>
      <c r="C77" s="304">
        <v>51</v>
      </c>
      <c r="D77" s="1202"/>
      <c r="E77" s="276">
        <v>1</v>
      </c>
      <c r="F77" s="1194"/>
      <c r="G77" s="303">
        <v>0</v>
      </c>
      <c r="H77" s="1611" t="s">
        <v>682</v>
      </c>
      <c r="I77" s="929"/>
      <c r="J77" s="1593"/>
      <c r="K77" s="1596"/>
      <c r="L77" s="1596"/>
      <c r="M77" s="1260">
        <f t="shared" si="3"/>
        <v>157.72870662460568</v>
      </c>
      <c r="N77" s="1429"/>
      <c r="O77" s="1247" t="s">
        <v>1089</v>
      </c>
      <c r="P77" s="2335"/>
      <c r="Q77" s="2335"/>
      <c r="R77" s="2335"/>
      <c r="S77" s="2335"/>
      <c r="T77" s="2335"/>
      <c r="U77" s="2335"/>
    </row>
    <row r="78" spans="1:21" ht="12.75">
      <c r="A78" s="1213" t="s">
        <v>450</v>
      </c>
      <c r="B78" s="1232" t="s">
        <v>610</v>
      </c>
      <c r="C78" s="304">
        <v>299</v>
      </c>
      <c r="D78" s="1202"/>
      <c r="E78" s="276">
        <v>4</v>
      </c>
      <c r="F78" s="1194"/>
      <c r="G78" s="303">
        <v>3</v>
      </c>
      <c r="H78" s="1611" t="s">
        <v>683</v>
      </c>
      <c r="I78" s="929"/>
      <c r="J78" s="1593"/>
      <c r="K78" s="1596"/>
      <c r="L78" s="1596"/>
      <c r="M78" s="1260">
        <f t="shared" si="3"/>
        <v>930.59936908517352</v>
      </c>
      <c r="N78" s="1429"/>
      <c r="O78" s="1247" t="s">
        <v>1090</v>
      </c>
      <c r="P78" s="2335"/>
      <c r="Q78" s="2335"/>
      <c r="R78" s="2335"/>
      <c r="S78" s="2335"/>
      <c r="T78" s="2335"/>
      <c r="U78" s="2335"/>
    </row>
    <row r="79" spans="1:21" ht="12.75">
      <c r="A79" s="1213" t="s">
        <v>451</v>
      </c>
      <c r="B79" s="1230" t="s">
        <v>492</v>
      </c>
      <c r="C79" s="304">
        <v>603</v>
      </c>
      <c r="D79" s="1202"/>
      <c r="E79" s="276">
        <v>158</v>
      </c>
      <c r="F79" s="1194"/>
      <c r="G79" s="303">
        <v>90</v>
      </c>
      <c r="H79" s="184" t="s">
        <v>684</v>
      </c>
      <c r="I79" s="929"/>
      <c r="J79" s="1593"/>
      <c r="K79" s="1596"/>
      <c r="L79" s="1596"/>
      <c r="M79" s="1260">
        <f>(C79+C80-G79)*1000/$J$72</f>
        <v>1886.435331230284</v>
      </c>
      <c r="N79" s="1429"/>
      <c r="O79" s="1247" t="s">
        <v>1091</v>
      </c>
      <c r="P79" s="2335"/>
      <c r="Q79" s="2335"/>
      <c r="R79" s="2335"/>
      <c r="S79" s="2335"/>
      <c r="T79" s="2335"/>
      <c r="U79" s="2335"/>
    </row>
    <row r="80" spans="1:21" ht="12.75">
      <c r="A80" s="1213" t="s">
        <v>452</v>
      </c>
      <c r="B80" s="1244" t="s">
        <v>504</v>
      </c>
      <c r="C80" s="304">
        <v>85</v>
      </c>
      <c r="D80" s="1189"/>
      <c r="E80" s="1202"/>
      <c r="F80" s="1202"/>
      <c r="G80" s="1205"/>
      <c r="H80" s="183"/>
      <c r="I80" s="1086"/>
      <c r="J80" s="1249"/>
      <c r="K80" s="1264"/>
      <c r="L80" s="1264"/>
      <c r="M80" s="1251">
        <f>((M72*J72/1000+D72-F72-(Motpart!D21+Motpart!E21+Motpart!F21+Motpart!J21)*0.06))/J72*1000+M76</f>
        <v>8833.3753943217653</v>
      </c>
      <c r="N80" s="1429"/>
      <c r="O80" s="1247" t="s">
        <v>1092</v>
      </c>
      <c r="P80" s="2335"/>
      <c r="Q80" s="2335"/>
      <c r="R80" s="2335"/>
      <c r="S80" s="2335"/>
      <c r="T80" s="2335"/>
      <c r="U80" s="2335"/>
    </row>
    <row r="81" spans="1:21" ht="12.75">
      <c r="A81" s="1234" t="s">
        <v>647</v>
      </c>
      <c r="B81" s="1233"/>
      <c r="C81" s="2309"/>
      <c r="D81" s="1191"/>
      <c r="E81" s="1197"/>
      <c r="F81" s="1191"/>
      <c r="G81" s="2308"/>
      <c r="H81" s="169"/>
      <c r="I81" s="1086"/>
      <c r="J81" s="1249"/>
      <c r="K81" s="1264"/>
      <c r="L81" s="1264"/>
      <c r="M81" s="1260">
        <f>(Motpart!G21+Motpart!K21)*1000/J72</f>
        <v>2078.8643533123027</v>
      </c>
      <c r="N81" s="1429"/>
      <c r="O81" s="1247" t="s">
        <v>1093</v>
      </c>
      <c r="P81" s="2335"/>
      <c r="Q81" s="2335"/>
      <c r="R81" s="2335"/>
      <c r="S81" s="2335"/>
      <c r="T81" s="2335"/>
      <c r="U81" s="2335"/>
    </row>
    <row r="82" spans="1:21" ht="12.75">
      <c r="A82" s="1234" t="s">
        <v>648</v>
      </c>
      <c r="B82" s="1233"/>
      <c r="C82" s="1202"/>
      <c r="D82" s="1191"/>
      <c r="E82" s="1202"/>
      <c r="F82" s="1202"/>
      <c r="G82" s="1205"/>
      <c r="H82" s="167"/>
      <c r="I82" s="1086"/>
      <c r="J82" s="1249"/>
      <c r="K82" s="1264"/>
      <c r="L82" s="1264"/>
      <c r="M82" s="1260">
        <f>F72*1000/J72</f>
        <v>1618.2965299684543</v>
      </c>
      <c r="N82" s="1429"/>
      <c r="O82" s="1247" t="s">
        <v>1094</v>
      </c>
      <c r="P82" s="2335"/>
      <c r="Q82" s="2335"/>
      <c r="R82" s="2335"/>
      <c r="S82" s="2335"/>
      <c r="T82" s="2335"/>
      <c r="U82" s="2335"/>
    </row>
    <row r="83" spans="1:21" ht="12.75">
      <c r="A83" s="1234" t="s">
        <v>649</v>
      </c>
      <c r="B83" s="1238"/>
      <c r="C83" s="1202"/>
      <c r="D83" s="1191"/>
      <c r="E83" s="1202"/>
      <c r="F83" s="1202"/>
      <c r="G83" s="1205"/>
      <c r="H83" s="171"/>
      <c r="I83" s="1086"/>
      <c r="J83" s="1249"/>
      <c r="K83" s="1264"/>
      <c r="L83" s="1264"/>
      <c r="M83" s="1248">
        <f>Motpart!H21*1000/J72</f>
        <v>173.50157728706625</v>
      </c>
      <c r="N83" s="1429"/>
      <c r="O83" s="1247" t="s">
        <v>1095</v>
      </c>
      <c r="P83" s="2335"/>
      <c r="Q83" s="2335"/>
      <c r="R83" s="2335"/>
      <c r="S83" s="2335"/>
      <c r="T83" s="2335"/>
      <c r="U83" s="2335"/>
    </row>
    <row r="84" spans="1:21" ht="12.75">
      <c r="A84" s="1213" t="s">
        <v>650</v>
      </c>
      <c r="B84" s="1233"/>
      <c r="C84" s="1191"/>
      <c r="D84" s="1191"/>
      <c r="E84" s="1191"/>
      <c r="F84" s="1191"/>
      <c r="G84" s="1201"/>
      <c r="H84" s="1430"/>
      <c r="I84" s="1431"/>
      <c r="J84" s="1249"/>
      <c r="K84" s="1264"/>
      <c r="L84" s="1264"/>
      <c r="M84" s="1248">
        <f>((Motpart!D21+Motpart!E21+Motpart!F21+Motpart!J21)-(Motpart!D21+Motpart!E21+Motpart!F21+Motpart!J21)*0.06)*1000/J72</f>
        <v>732.42902208201895</v>
      </c>
      <c r="N84" s="1429"/>
      <c r="O84" s="1247" t="s">
        <v>1097</v>
      </c>
      <c r="P84" s="2335"/>
      <c r="Q84" s="2335"/>
      <c r="R84" s="2335"/>
      <c r="S84" s="2335"/>
      <c r="T84" s="2335"/>
      <c r="U84" s="2335"/>
    </row>
    <row r="85" spans="1:21" ht="13.5" thickBot="1">
      <c r="A85" s="1236"/>
      <c r="B85" s="1243"/>
      <c r="C85" s="1206"/>
      <c r="D85" s="1204"/>
      <c r="E85" s="1204"/>
      <c r="F85" s="1204"/>
      <c r="G85" s="1207"/>
      <c r="H85" s="170"/>
      <c r="I85" s="1256"/>
      <c r="J85" s="1256"/>
      <c r="K85" s="1250"/>
      <c r="L85" s="1264"/>
      <c r="M85" s="1251"/>
      <c r="N85" s="1262"/>
      <c r="O85" s="1258"/>
      <c r="P85" s="292"/>
      <c r="Q85" s="292"/>
    </row>
    <row r="86" spans="1:21" ht="12.75" customHeight="1">
      <c r="A86" s="1218" t="s">
        <v>453</v>
      </c>
      <c r="B86" s="1229" t="s">
        <v>619</v>
      </c>
      <c r="C86" s="182">
        <f>Drift!P60</f>
        <v>1132</v>
      </c>
      <c r="D86" s="95">
        <f>SUM(Motpart!D22:L22)</f>
        <v>303</v>
      </c>
      <c r="E86" s="181">
        <f>Drift!W60</f>
        <v>165</v>
      </c>
      <c r="F86" s="95">
        <f>Motpart!Y22</f>
        <v>39</v>
      </c>
      <c r="G86" s="148">
        <f>Drift!V60</f>
        <v>50</v>
      </c>
      <c r="H86" s="172"/>
      <c r="I86" s="2304" t="s">
        <v>611</v>
      </c>
      <c r="J86" s="2305">
        <v>5835</v>
      </c>
      <c r="K86" s="1266"/>
      <c r="L86" s="1266"/>
      <c r="M86" s="1263">
        <f>SUM(M87:M91)</f>
        <v>132.13367609254499</v>
      </c>
      <c r="N86" s="1429"/>
      <c r="O86" s="1247" t="s">
        <v>1098</v>
      </c>
      <c r="P86" s="104"/>
    </row>
    <row r="87" spans="1:21" ht="12.75" customHeight="1">
      <c r="A87" s="1213" t="s">
        <v>454</v>
      </c>
      <c r="B87" s="1230" t="s">
        <v>562</v>
      </c>
      <c r="C87" s="304">
        <v>439</v>
      </c>
      <c r="D87" s="1202"/>
      <c r="E87" s="276">
        <v>16</v>
      </c>
      <c r="F87" s="1194"/>
      <c r="G87" s="303">
        <v>10</v>
      </c>
      <c r="H87" s="171"/>
      <c r="I87" s="1592" t="str">
        <f>I86</f>
        <v>Invånarantal 19 - 64</v>
      </c>
      <c r="J87" s="929">
        <v>5834958</v>
      </c>
      <c r="K87" s="1264"/>
      <c r="L87" s="1264"/>
      <c r="M87" s="1260">
        <f>(C87-E87)*1000/$J$86</f>
        <v>72.493573264781489</v>
      </c>
      <c r="N87" s="1429"/>
      <c r="O87" s="1247" t="s">
        <v>1099</v>
      </c>
      <c r="P87" s="2335"/>
      <c r="Q87" s="2335"/>
      <c r="R87" s="2335"/>
      <c r="S87" s="2335"/>
      <c r="T87" s="2335"/>
      <c r="U87" s="2335"/>
    </row>
    <row r="88" spans="1:21" ht="12.75" customHeight="1">
      <c r="A88" s="1213" t="s">
        <v>455</v>
      </c>
      <c r="B88" s="1230" t="s">
        <v>1002</v>
      </c>
      <c r="C88" s="304">
        <v>28</v>
      </c>
      <c r="D88" s="1202"/>
      <c r="E88" s="276">
        <v>1</v>
      </c>
      <c r="F88" s="1194"/>
      <c r="G88" s="303">
        <v>0</v>
      </c>
      <c r="H88" s="171"/>
      <c r="I88" s="1267"/>
      <c r="J88" s="1267"/>
      <c r="K88" s="1264"/>
      <c r="L88" s="1264"/>
      <c r="M88" s="1260">
        <f>(C88-E88)*1000/$J$86</f>
        <v>4.6272493573264786</v>
      </c>
      <c r="N88" s="1429"/>
      <c r="O88" s="1247" t="s">
        <v>1100</v>
      </c>
      <c r="P88" s="2335"/>
      <c r="Q88" s="2335"/>
      <c r="R88" s="2335"/>
      <c r="S88" s="2335"/>
      <c r="T88" s="2335"/>
      <c r="U88" s="2335"/>
    </row>
    <row r="89" spans="1:21" ht="15.75" customHeight="1">
      <c r="A89" s="1213" t="s">
        <v>456</v>
      </c>
      <c r="B89" s="1240" t="s">
        <v>860</v>
      </c>
      <c r="C89" s="304">
        <v>5</v>
      </c>
      <c r="D89" s="1202"/>
      <c r="E89" s="276">
        <v>0</v>
      </c>
      <c r="F89" s="1194"/>
      <c r="G89" s="303">
        <v>0</v>
      </c>
      <c r="H89" s="171"/>
      <c r="I89" s="1268"/>
      <c r="J89" s="1268"/>
      <c r="K89" s="1269"/>
      <c r="L89" s="1269"/>
      <c r="M89" s="1260">
        <f>(C89-E89)*1000/$J$86</f>
        <v>0.85689802913453295</v>
      </c>
      <c r="N89" s="1429"/>
      <c r="O89" s="1247" t="s">
        <v>1101</v>
      </c>
      <c r="P89" s="2335"/>
      <c r="Q89" s="2335"/>
      <c r="R89" s="2335"/>
      <c r="S89" s="2335"/>
      <c r="T89" s="2335"/>
      <c r="U89" s="2335"/>
    </row>
    <row r="90" spans="1:21" ht="12.75" customHeight="1">
      <c r="A90" s="1213" t="s">
        <v>457</v>
      </c>
      <c r="B90" s="1232" t="s">
        <v>610</v>
      </c>
      <c r="C90" s="304">
        <v>110</v>
      </c>
      <c r="D90" s="1202"/>
      <c r="E90" s="276">
        <v>3</v>
      </c>
      <c r="F90" s="1194"/>
      <c r="G90" s="303">
        <v>2</v>
      </c>
      <c r="H90" s="171"/>
      <c r="I90" s="1249"/>
      <c r="J90" s="1249"/>
      <c r="K90" s="1264"/>
      <c r="L90" s="1264"/>
      <c r="M90" s="1260">
        <f>(C90-E90)*1000/$J$86</f>
        <v>18.337617823479007</v>
      </c>
      <c r="N90" s="1429"/>
      <c r="O90" s="1247" t="s">
        <v>1102</v>
      </c>
      <c r="P90" s="2335"/>
      <c r="Q90" s="2335"/>
      <c r="R90" s="2335"/>
      <c r="S90" s="2335"/>
      <c r="T90" s="2335"/>
      <c r="U90" s="2335"/>
    </row>
    <row r="91" spans="1:21" ht="12.75" customHeight="1">
      <c r="A91" s="1213" t="s">
        <v>458</v>
      </c>
      <c r="B91" s="1230" t="s">
        <v>492</v>
      </c>
      <c r="C91" s="304">
        <v>214</v>
      </c>
      <c r="D91" s="1202"/>
      <c r="E91" s="276">
        <v>97</v>
      </c>
      <c r="F91" s="1194"/>
      <c r="G91" s="303">
        <v>38</v>
      </c>
      <c r="H91" s="171"/>
      <c r="I91" s="1249"/>
      <c r="J91" s="1249"/>
      <c r="K91" s="1264"/>
      <c r="L91" s="1264"/>
      <c r="M91" s="1260">
        <f>(C91+C92-G91)*1000/J86</f>
        <v>35.818337617823481</v>
      </c>
      <c r="N91" s="1429"/>
      <c r="O91" s="1247" t="s">
        <v>1103</v>
      </c>
      <c r="P91" s="2335"/>
      <c r="Q91" s="2335"/>
      <c r="R91" s="2335"/>
      <c r="S91" s="2335"/>
      <c r="T91" s="2335"/>
      <c r="U91" s="2335"/>
    </row>
    <row r="92" spans="1:21" ht="12.75" customHeight="1">
      <c r="A92" s="1213" t="s">
        <v>459</v>
      </c>
      <c r="B92" s="1244" t="s">
        <v>561</v>
      </c>
      <c r="C92" s="304">
        <v>33</v>
      </c>
      <c r="D92" s="1189"/>
      <c r="E92" s="1202"/>
      <c r="F92" s="1202"/>
      <c r="G92" s="1205"/>
      <c r="H92" s="171"/>
      <c r="I92" s="1249"/>
      <c r="J92" s="1249"/>
      <c r="K92" s="1264"/>
      <c r="L92" s="1264"/>
      <c r="M92" s="1270"/>
      <c r="N92" s="1429"/>
      <c r="O92" s="1754"/>
      <c r="P92" s="2335"/>
      <c r="Q92" s="2335"/>
      <c r="R92" s="2335"/>
      <c r="S92" s="2335"/>
      <c r="T92" s="2335"/>
      <c r="U92" s="2335"/>
    </row>
    <row r="93" spans="1:21" ht="12.75" customHeight="1">
      <c r="A93" s="1213"/>
      <c r="B93" s="1244"/>
      <c r="C93" s="2309"/>
      <c r="D93" s="1191"/>
      <c r="E93" s="1197"/>
      <c r="F93" s="1191"/>
      <c r="G93" s="2308"/>
      <c r="H93" s="169"/>
      <c r="I93" s="1249"/>
      <c r="J93" s="1249"/>
      <c r="K93" s="1264"/>
      <c r="L93" s="1264"/>
      <c r="M93" s="1270"/>
      <c r="N93" s="1429"/>
      <c r="O93" s="1247"/>
      <c r="P93" s="2335"/>
      <c r="Q93" s="2335"/>
      <c r="R93" s="2335"/>
      <c r="S93" s="2335"/>
      <c r="T93" s="2335"/>
      <c r="U93" s="2335"/>
    </row>
    <row r="94" spans="1:21" ht="12.75" customHeight="1" thickBot="1">
      <c r="A94" s="1236"/>
      <c r="B94" s="1237"/>
      <c r="C94" s="1206"/>
      <c r="D94" s="1204"/>
      <c r="E94" s="1204"/>
      <c r="F94" s="1204"/>
      <c r="G94" s="1207"/>
      <c r="H94" s="185"/>
      <c r="I94" s="1265"/>
      <c r="J94" s="1256"/>
      <c r="K94" s="1250"/>
      <c r="L94" s="1250"/>
      <c r="M94" s="1271"/>
      <c r="N94" s="1262"/>
      <c r="O94" s="1258"/>
    </row>
    <row r="95" spans="1:21" ht="12.75" customHeight="1">
      <c r="A95" s="1218" t="s">
        <v>460</v>
      </c>
      <c r="B95" s="1229" t="s">
        <v>620</v>
      </c>
      <c r="C95" s="94">
        <f>Drift!P61</f>
        <v>4326</v>
      </c>
      <c r="D95" s="1210">
        <f>SUM(Motpart!D23:L23)</f>
        <v>1498</v>
      </c>
      <c r="E95" s="181">
        <f>Drift!W61</f>
        <v>1713</v>
      </c>
      <c r="F95" s="95">
        <f>Motpart!Y23</f>
        <v>201</v>
      </c>
      <c r="G95" s="148">
        <f>Drift!V61</f>
        <v>284</v>
      </c>
      <c r="H95" s="172"/>
      <c r="I95" s="2304" t="s">
        <v>611</v>
      </c>
      <c r="J95" s="2305">
        <v>5835</v>
      </c>
      <c r="K95" s="1266"/>
      <c r="L95" s="1266"/>
      <c r="M95" s="1263">
        <f>SUM(M96:M100)</f>
        <v>425.53556126820911</v>
      </c>
      <c r="N95" s="1429"/>
      <c r="O95" s="1247" t="s">
        <v>1098</v>
      </c>
      <c r="P95" s="104"/>
    </row>
    <row r="96" spans="1:21" ht="12.75" customHeight="1">
      <c r="A96" s="1213" t="s">
        <v>461</v>
      </c>
      <c r="B96" s="1230" t="s">
        <v>562</v>
      </c>
      <c r="C96" s="304">
        <v>1464</v>
      </c>
      <c r="D96" s="1202"/>
      <c r="E96" s="276">
        <v>142</v>
      </c>
      <c r="F96" s="1194"/>
      <c r="G96" s="303">
        <v>97</v>
      </c>
      <c r="H96" s="171"/>
      <c r="I96" s="1592" t="str">
        <f>I95</f>
        <v>Invånarantal 19 - 64</v>
      </c>
      <c r="J96" s="929">
        <v>5834958</v>
      </c>
      <c r="K96" s="1264"/>
      <c r="L96" s="1264"/>
      <c r="M96" s="1260">
        <f>(C96-E96)*1000/$J$95</f>
        <v>226.56383890317053</v>
      </c>
      <c r="N96" s="1429"/>
      <c r="O96" s="1247" t="s">
        <v>1099</v>
      </c>
      <c r="P96" s="2335"/>
      <c r="Q96" s="2335"/>
      <c r="R96" s="2335"/>
      <c r="S96" s="2335"/>
      <c r="T96" s="2335"/>
      <c r="U96" s="2335"/>
    </row>
    <row r="97" spans="1:21" ht="12.75" customHeight="1">
      <c r="A97" s="1213" t="s">
        <v>462</v>
      </c>
      <c r="B97" s="1230" t="s">
        <v>1002</v>
      </c>
      <c r="C97" s="304">
        <v>121</v>
      </c>
      <c r="D97" s="1202"/>
      <c r="E97" s="276">
        <v>14</v>
      </c>
      <c r="F97" s="1194"/>
      <c r="G97" s="303">
        <v>3</v>
      </c>
      <c r="H97" s="169"/>
      <c r="I97" s="1267"/>
      <c r="J97" s="1267"/>
      <c r="K97" s="1264"/>
      <c r="L97" s="1264"/>
      <c r="M97" s="1260">
        <f>(C97-E97)*1000/$J$95</f>
        <v>18.337617823479007</v>
      </c>
      <c r="N97" s="1429"/>
      <c r="O97" s="1247" t="s">
        <v>1100</v>
      </c>
      <c r="P97" s="2335"/>
      <c r="Q97" s="2335"/>
      <c r="R97" s="2335"/>
      <c r="S97" s="2335"/>
      <c r="T97" s="2335"/>
      <c r="U97" s="2335"/>
    </row>
    <row r="98" spans="1:21" ht="15.75" customHeight="1">
      <c r="A98" s="1213" t="s">
        <v>463</v>
      </c>
      <c r="B98" s="1231" t="s">
        <v>860</v>
      </c>
      <c r="C98" s="304">
        <v>9</v>
      </c>
      <c r="D98" s="1202"/>
      <c r="E98" s="276">
        <v>1</v>
      </c>
      <c r="F98" s="1194"/>
      <c r="G98" s="303">
        <v>1</v>
      </c>
      <c r="H98" s="167"/>
      <c r="I98" s="1268"/>
      <c r="J98" s="1268"/>
      <c r="K98" s="1269"/>
      <c r="L98" s="1269"/>
      <c r="M98" s="1260">
        <f>(C98-E98)*1000/$J$95</f>
        <v>1.3710368466152527</v>
      </c>
      <c r="N98" s="1429"/>
      <c r="O98" s="1247" t="s">
        <v>1101</v>
      </c>
      <c r="P98" s="2335"/>
      <c r="Q98" s="2335"/>
      <c r="R98" s="2335"/>
      <c r="S98" s="2335"/>
      <c r="T98" s="2335"/>
      <c r="U98" s="2335"/>
    </row>
    <row r="99" spans="1:21" ht="12.75" customHeight="1">
      <c r="A99" s="1213" t="s">
        <v>464</v>
      </c>
      <c r="B99" s="1232" t="s">
        <v>610</v>
      </c>
      <c r="C99" s="304">
        <v>360</v>
      </c>
      <c r="D99" s="1202"/>
      <c r="E99" s="276">
        <v>22</v>
      </c>
      <c r="F99" s="1194"/>
      <c r="G99" s="303">
        <v>17</v>
      </c>
      <c r="H99" s="171"/>
      <c r="I99" s="1249"/>
      <c r="J99" s="1249"/>
      <c r="K99" s="1264"/>
      <c r="L99" s="1264"/>
      <c r="M99" s="1260">
        <f>(C99-E99)*1000/$J$95</f>
        <v>57.926306769494431</v>
      </c>
      <c r="N99" s="1429"/>
      <c r="O99" s="1247" t="s">
        <v>1102</v>
      </c>
      <c r="P99" s="2335"/>
      <c r="Q99" s="2335"/>
      <c r="R99" s="2335"/>
      <c r="S99" s="2335"/>
      <c r="T99" s="2335"/>
      <c r="U99" s="2335"/>
    </row>
    <row r="100" spans="1:21" ht="12.75" customHeight="1">
      <c r="A100" s="1213" t="s">
        <v>465</v>
      </c>
      <c r="B100" s="1230" t="s">
        <v>492</v>
      </c>
      <c r="C100" s="304">
        <v>777</v>
      </c>
      <c r="D100" s="1202"/>
      <c r="E100" s="276">
        <v>1269</v>
      </c>
      <c r="F100" s="1194"/>
      <c r="G100" s="303">
        <v>166</v>
      </c>
      <c r="H100" s="169"/>
      <c r="I100" s="1272"/>
      <c r="J100" s="1249"/>
      <c r="K100" s="1264"/>
      <c r="L100" s="1264"/>
      <c r="M100" s="1260">
        <f>(C100+C101-G100)*1000/J95</f>
        <v>121.33676092544987</v>
      </c>
      <c r="N100" s="1429"/>
      <c r="O100" s="1247" t="s">
        <v>1103</v>
      </c>
      <c r="P100" s="2335"/>
      <c r="Q100" s="2335"/>
      <c r="R100" s="2335"/>
      <c r="S100" s="2335"/>
      <c r="T100" s="2335"/>
      <c r="U100" s="2335"/>
    </row>
    <row r="101" spans="1:21" ht="12.75" customHeight="1">
      <c r="A101" s="1213" t="s">
        <v>466</v>
      </c>
      <c r="B101" s="1230" t="s">
        <v>561</v>
      </c>
      <c r="C101" s="304">
        <v>97</v>
      </c>
      <c r="D101" s="1189"/>
      <c r="E101" s="1202"/>
      <c r="F101" s="1202"/>
      <c r="G101" s="1205"/>
      <c r="H101" s="169"/>
      <c r="I101" s="1249"/>
      <c r="J101" s="1249"/>
      <c r="K101" s="1264"/>
      <c r="L101" s="1264"/>
      <c r="M101" s="1270">
        <f>(((M95*J95/1000)+D95-F95+IF(OR(J95=0,J95=""),C96+C97+C98+C99+C100+C101-E96-E97-E98-E99-G100)+((M86*J86/1000)+D86-F86))+IF(OR(J86=0,J86=""),C87+C88+C89+C90+C91+C92-E87-E88-E89-E90-G91))/(J86)*1000</f>
        <v>825.19280205655537</v>
      </c>
      <c r="N101" s="1429"/>
      <c r="O101" s="1247" t="s">
        <v>1104</v>
      </c>
      <c r="P101" s="2335"/>
      <c r="Q101" s="2335"/>
      <c r="R101" s="2335"/>
      <c r="S101" s="2335"/>
      <c r="T101" s="2335"/>
      <c r="U101" s="2335"/>
    </row>
    <row r="102" spans="1:21" ht="12.75" customHeight="1" thickBot="1">
      <c r="A102" s="1242"/>
      <c r="B102" s="1510"/>
      <c r="C102" s="2310"/>
      <c r="D102" s="1204"/>
      <c r="E102" s="2311"/>
      <c r="F102" s="1204"/>
      <c r="G102" s="2312"/>
      <c r="H102" s="1509"/>
      <c r="I102" s="1575"/>
      <c r="J102" s="1256"/>
      <c r="K102" s="1250"/>
      <c r="L102" s="1250"/>
      <c r="M102" s="1271"/>
      <c r="N102" s="1262"/>
      <c r="O102" s="1258"/>
      <c r="P102" s="1498"/>
      <c r="Q102" s="1498"/>
      <c r="R102" s="1498"/>
      <c r="S102" s="1498"/>
      <c r="T102" s="1498"/>
      <c r="U102" s="1498"/>
    </row>
    <row r="103" spans="1:21" ht="12.75">
      <c r="A103" s="160"/>
      <c r="B103" s="293"/>
      <c r="C103" s="294"/>
      <c r="D103" s="295"/>
      <c r="E103" s="294"/>
      <c r="F103" s="295"/>
      <c r="G103" s="294"/>
      <c r="H103" s="296"/>
      <c r="I103" s="295"/>
      <c r="J103" s="295"/>
      <c r="K103" s="295"/>
      <c r="L103" s="247"/>
      <c r="M103" s="297"/>
      <c r="N103" s="298"/>
      <c r="O103" s="299"/>
    </row>
  </sheetData>
  <customSheetViews>
    <customSheetView guid="{27C9E95B-0E2B-454F-B637-1CECC9579A10}" showGridLines="0" hiddenRows="1" hiddenColumns="1" showRuler="0">
      <pane ySplit="7" topLeftCell="A8" activePane="bottomLeft" state="frozen"/>
      <selection pane="bottomLeft" activeCell="G72" sqref="G72"/>
      <pageMargins left="0.70866141732283472" right="0.70866141732283472" top="0.74803149606299213" bottom="0.74803149606299213" header="0.31496062992125984" footer="0.31496062992125984"/>
      <pageSetup paperSize="9" scale="96" orientation="landscape" r:id="rId1"/>
      <headerFooter alignWithMargins="0"/>
    </customSheetView>
    <customSheetView guid="{99FBDEB7-DD08-4F57-81F4-3C180403E153}" showGridLines="0" hiddenRows="1">
      <pane ySplit="7" topLeftCell="A9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scale="96" orientation="landscape" r:id="rId2"/>
    </customSheetView>
    <customSheetView guid="{97D6DB71-3F4C-4C5F-8C5B-51E3EBF78932}" showPageBreaks="1" showGridLines="0" hiddenRows="1">
      <pane ySplit="7" topLeftCell="A8" activePane="bottomLeft" state="frozen"/>
      <selection pane="bottomLeft" activeCell="E93" sqref="E93"/>
      <pageMargins left="0.70866141732283472" right="0.70866141732283472" top="0.74803149606299213" bottom="0.74803149606299213" header="0.31496062992125984" footer="0.31496062992125984"/>
      <pageSetup paperSize="9" scale="96" orientation="landscape" r:id="rId3"/>
    </customSheetView>
  </customSheetViews>
  <mergeCells count="16">
    <mergeCell ref="P73:U84"/>
    <mergeCell ref="P87:U93"/>
    <mergeCell ref="P96:U101"/>
    <mergeCell ref="D5:D7"/>
    <mergeCell ref="F5:F7"/>
    <mergeCell ref="G5:G7"/>
    <mergeCell ref="P9:U14"/>
    <mergeCell ref="P17:U22"/>
    <mergeCell ref="P25:U29"/>
    <mergeCell ref="P32:U42"/>
    <mergeCell ref="P45:U56"/>
    <mergeCell ref="IT6:IT7"/>
    <mergeCell ref="M4:M6"/>
    <mergeCell ref="O4:O7"/>
    <mergeCell ref="I4:L5"/>
    <mergeCell ref="P59:U70"/>
  </mergeCells>
  <phoneticPr fontId="90" type="noConversion"/>
  <conditionalFormatting sqref="G32 G32:G38 G45:G51 G59:G65 G73:G79 G87:G91 G96:G100">
    <cfRule type="expression" dxfId="36" priority="59" stopIfTrue="1">
      <formula>G32&gt;E32</formula>
    </cfRule>
  </conditionalFormatting>
  <conditionalFormatting sqref="G33:G38">
    <cfRule type="expression" dxfId="35" priority="58" stopIfTrue="1">
      <formula>G33&gt;E33</formula>
    </cfRule>
  </conditionalFormatting>
  <conditionalFormatting sqref="G46:G51">
    <cfRule type="expression" dxfId="34" priority="47" stopIfTrue="1">
      <formula>G46&gt;E46</formula>
    </cfRule>
  </conditionalFormatting>
  <conditionalFormatting sqref="E53">
    <cfRule type="expression" dxfId="33" priority="16" stopIfTrue="1">
      <formula>ABS(E53/E43)&gt;0.03</formula>
    </cfRule>
  </conditionalFormatting>
  <conditionalFormatting sqref="G27">
    <cfRule type="expression" dxfId="32" priority="22" stopIfTrue="1">
      <formula>G27&gt;E27</formula>
    </cfRule>
  </conditionalFormatting>
  <conditionalFormatting sqref="G19">
    <cfRule type="expression" dxfId="31" priority="21" stopIfTrue="1">
      <formula>G19&gt;E19</formula>
    </cfRule>
  </conditionalFormatting>
  <conditionalFormatting sqref="G11">
    <cfRule type="expression" dxfId="30" priority="20" stopIfTrue="1">
      <formula>G11&gt;E11</formula>
    </cfRule>
  </conditionalFormatting>
  <conditionalFormatting sqref="C40">
    <cfRule type="expression" dxfId="29" priority="19" stopIfTrue="1">
      <formula>ABS(C40/C31)&gt;0.03</formula>
    </cfRule>
  </conditionalFormatting>
  <conditionalFormatting sqref="E40">
    <cfRule type="expression" dxfId="28" priority="18" stopIfTrue="1">
      <formula>ABS(E40/E31)&gt;0.03</formula>
    </cfRule>
  </conditionalFormatting>
  <conditionalFormatting sqref="G40">
    <cfRule type="expression" dxfId="27" priority="17" stopIfTrue="1">
      <formula>ABS(G40/G31)&gt;0.03</formula>
    </cfRule>
  </conditionalFormatting>
  <conditionalFormatting sqref="G53">
    <cfRule type="expression" dxfId="26" priority="15" stopIfTrue="1">
      <formula>ABS(G53/G43)&gt;0.03</formula>
    </cfRule>
  </conditionalFormatting>
  <conditionalFormatting sqref="C53">
    <cfRule type="expression" dxfId="25" priority="14" stopIfTrue="1">
      <formula>ABS(C53/C44)&gt;0.03</formula>
    </cfRule>
  </conditionalFormatting>
  <conditionalFormatting sqref="C67">
    <cfRule type="expression" dxfId="24" priority="13" stopIfTrue="1">
      <formula>ABS(C67/C57)&gt;0.03</formula>
    </cfRule>
  </conditionalFormatting>
  <conditionalFormatting sqref="E67">
    <cfRule type="expression" dxfId="23" priority="12" stopIfTrue="1">
      <formula>ABS(E67/E57)&gt;0.03</formula>
    </cfRule>
  </conditionalFormatting>
  <conditionalFormatting sqref="G67">
    <cfRule type="expression" dxfId="22" priority="11" stopIfTrue="1">
      <formula>ABS(G67/G57)&gt;0.03</formula>
    </cfRule>
  </conditionalFormatting>
  <conditionalFormatting sqref="C81">
    <cfRule type="expression" dxfId="21" priority="10" stopIfTrue="1">
      <formula>ABS(C81/C71)&gt;0.03</formula>
    </cfRule>
  </conditionalFormatting>
  <conditionalFormatting sqref="E81">
    <cfRule type="expression" dxfId="20" priority="9" stopIfTrue="1">
      <formula>ABS(E81/E71)&gt;0.03</formula>
    </cfRule>
  </conditionalFormatting>
  <conditionalFormatting sqref="G81">
    <cfRule type="expression" dxfId="19" priority="8" stopIfTrue="1">
      <formula>ABS(G81/G71)&gt;0.03</formula>
    </cfRule>
  </conditionalFormatting>
  <conditionalFormatting sqref="C93">
    <cfRule type="expression" dxfId="18" priority="7" stopIfTrue="1">
      <formula>ABS(C93/C85)&gt;0.03</formula>
    </cfRule>
  </conditionalFormatting>
  <conditionalFormatting sqref="E93">
    <cfRule type="expression" dxfId="17" priority="6" stopIfTrue="1">
      <formula>ABS(E93/E85)&gt;0.03</formula>
    </cfRule>
  </conditionalFormatting>
  <conditionalFormatting sqref="G93">
    <cfRule type="expression" dxfId="16" priority="5" stopIfTrue="1">
      <formula>ABS(G93/G85)&gt;0.03</formula>
    </cfRule>
  </conditionalFormatting>
  <conditionalFormatting sqref="C102">
    <cfRule type="expression" dxfId="15" priority="4" stopIfTrue="1">
      <formula>ABS(C102/C94)&gt;0.03</formula>
    </cfRule>
  </conditionalFormatting>
  <conditionalFormatting sqref="E102">
    <cfRule type="expression" dxfId="14" priority="3" stopIfTrue="1">
      <formula>ABS(E102/E94)&gt;0.03</formula>
    </cfRule>
  </conditionalFormatting>
  <conditionalFormatting sqref="G102">
    <cfRule type="expression" dxfId="13" priority="2" stopIfTrue="1">
      <formula>ABS(G102/G94)&gt;0.03</formula>
    </cfRule>
  </conditionalFormatting>
  <dataValidations count="2">
    <dataValidation type="decimal" operator="lessThan" allowBlank="1" showInputMessage="1" showErrorMessage="1" error="Beloppen ska vara i 1000 tal kronor" sqref="C65488:C65489 G65516:K65516 L65532 C65479:C65481 C65463:C65464 E65463:F65464 E65471:F65472 C65471:C65472 E65479:F65481 E65488:F65489">
      <formula1>99999999</formula1>
    </dataValidation>
    <dataValidation type="decimal" operator="lessThan" allowBlank="1" showInputMessage="1" showErrorMessage="1" error="Beloppet ska vara i 1000 tal kronor" sqref="C11 G96:G100 E96:E100 E11 G87:G91 E87:E91 C87:C92 G73:G79 E73:E79 C73:C80 G59:G65 E59:E65 C59:C66 G45:G51 E45:E51 C45:C52 G32:G38 E32:E38 C32:C39 G27 E27 C27 C19 E21 E19 G19 G11 E13 C96:C101">
      <formula1>99999999</formula1>
    </dataValidation>
  </dataValidations>
  <pageMargins left="0.47" right="0.47" top="0.74803149606299213" bottom="0.74803149606299213" header="0.31" footer="0.31496062992125984"/>
  <pageSetup paperSize="9" scale="96" orientation="landscape" r:id="rId4"/>
  <ignoredErrors>
    <ignoredError sqref="A8:A102" numberStoredAsText="1"/>
    <ignoredError sqref="C32:C38 C59:C6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84</vt:i4>
      </vt:variant>
    </vt:vector>
  </HeadingPairs>
  <TitlesOfParts>
    <vt:vector size="96" baseType="lpstr">
      <vt:lpstr>Kn Information</vt:lpstr>
      <vt:lpstr>RR</vt:lpstr>
      <vt:lpstr>BR</vt:lpstr>
      <vt:lpstr>Verks int o kostn</vt:lpstr>
      <vt:lpstr>Skatter, bidrag o fin poster</vt:lpstr>
      <vt:lpstr>Investeringar</vt:lpstr>
      <vt:lpstr>Drift</vt:lpstr>
      <vt:lpstr>Motpart</vt:lpstr>
      <vt:lpstr>Pedagogisk verksamhet</vt:lpstr>
      <vt:lpstr>Äldre o personer funktionsn</vt:lpstr>
      <vt:lpstr>IFO</vt:lpstr>
      <vt:lpstr>Felkontroll</vt:lpstr>
      <vt:lpstr>'Skatter, bidrag o fin poster'!_GoBack</vt:lpstr>
      <vt:lpstr>Affärsverksamhet</vt:lpstr>
      <vt:lpstr>Balanskravsutredningen</vt:lpstr>
      <vt:lpstr>Barnomsorg</vt:lpstr>
      <vt:lpstr>Barnomsorgen</vt:lpstr>
      <vt:lpstr>Bidrag_o_transfer.</vt:lpstr>
      <vt:lpstr>Block_1</vt:lpstr>
      <vt:lpstr>Block_2</vt:lpstr>
      <vt:lpstr>Block_3</vt:lpstr>
      <vt:lpstr>Block_5</vt:lpstr>
      <vt:lpstr>Block_6</vt:lpstr>
      <vt:lpstr>BR</vt:lpstr>
      <vt:lpstr>Drift</vt:lpstr>
      <vt:lpstr>EKchef</vt:lpstr>
      <vt:lpstr>Ekcheftel</vt:lpstr>
      <vt:lpstr>Epost1RS</vt:lpstr>
      <vt:lpstr>Epost2RS</vt:lpstr>
      <vt:lpstr>Epostaldre</vt:lpstr>
      <vt:lpstr>EpostAO</vt:lpstr>
      <vt:lpstr>EpostEkchef</vt:lpstr>
      <vt:lpstr>Epostforskola</vt:lpstr>
      <vt:lpstr>Epostgrund</vt:lpstr>
      <vt:lpstr>Epostgymn</vt:lpstr>
      <vt:lpstr>Eposthandik</vt:lpstr>
      <vt:lpstr>Epostifo</vt:lpstr>
      <vt:lpstr>EpostPV</vt:lpstr>
      <vt:lpstr>epostpvchef</vt:lpstr>
      <vt:lpstr>epostvochef</vt:lpstr>
      <vt:lpstr>Epostvux</vt:lpstr>
      <vt:lpstr>Extraordinära_RR</vt:lpstr>
      <vt:lpstr>Fritidshem</vt:lpstr>
      <vt:lpstr>Förskola</vt:lpstr>
      <vt:lpstr>Förskoleklass</vt:lpstr>
      <vt:lpstr>Grundskola</vt:lpstr>
      <vt:lpstr>Grundsärskola</vt:lpstr>
      <vt:lpstr>Grundvux</vt:lpstr>
      <vt:lpstr>Gymnasieskola</vt:lpstr>
      <vt:lpstr>Gymnasiesärskola</vt:lpstr>
      <vt:lpstr>Gymnvux</vt:lpstr>
      <vt:lpstr>inv7_15</vt:lpstr>
      <vt:lpstr>invanare</vt:lpstr>
      <vt:lpstr>Investeringar</vt:lpstr>
      <vt:lpstr>Invånare</vt:lpstr>
      <vt:lpstr>Kontaktpers1RS</vt:lpstr>
      <vt:lpstr>Kontaktpers2RS</vt:lpstr>
      <vt:lpstr>Kontaktpersaldre</vt:lpstr>
      <vt:lpstr>KontaktpersAO</vt:lpstr>
      <vt:lpstr>Kontaktpersforskola</vt:lpstr>
      <vt:lpstr>Kontaktpersgrund</vt:lpstr>
      <vt:lpstr>Kontaktpersgymn</vt:lpstr>
      <vt:lpstr>Kontaktpershandik</vt:lpstr>
      <vt:lpstr>Kontaktpersifo</vt:lpstr>
      <vt:lpstr>KontaktpersPV</vt:lpstr>
      <vt:lpstr>Kontaktpersvux</vt:lpstr>
      <vt:lpstr>Kontakttel1RS</vt:lpstr>
      <vt:lpstr>Kontakttel2RS</vt:lpstr>
      <vt:lpstr>Kontakttelaldre</vt:lpstr>
      <vt:lpstr>KontakttelAO</vt:lpstr>
      <vt:lpstr>Kontakttelforskola</vt:lpstr>
      <vt:lpstr>Kontakttelgrund</vt:lpstr>
      <vt:lpstr>Kontakttelgymn</vt:lpstr>
      <vt:lpstr>Kontakttelhandik</vt:lpstr>
      <vt:lpstr>Kontakttelifo</vt:lpstr>
      <vt:lpstr>Kontakttelpv</vt:lpstr>
      <vt:lpstr>Kontakttelpvchef</vt:lpstr>
      <vt:lpstr>Kontakttelvux</vt:lpstr>
      <vt:lpstr>Kontakttevochef</vt:lpstr>
      <vt:lpstr>Köp_huvudvht</vt:lpstr>
      <vt:lpstr>Pvchef</vt:lpstr>
      <vt:lpstr>Skatter_bidrag_finpost</vt:lpstr>
      <vt:lpstr>Spec_intäkter</vt:lpstr>
      <vt:lpstr>Spec_VoO</vt:lpstr>
      <vt:lpstr>Utbildning</vt:lpstr>
      <vt:lpstr>Drift!Utskriftsområde</vt:lpstr>
      <vt:lpstr>Investeringar!Utskriftsområde</vt:lpstr>
      <vt:lpstr>'Kn Information'!Utskriftsområde</vt:lpstr>
      <vt:lpstr>Motpart!Utskriftsområde</vt:lpstr>
      <vt:lpstr>RR!Utskriftsområde</vt:lpstr>
      <vt:lpstr>'Äldre o personer funktionsn'!Utskriftsområde</vt:lpstr>
      <vt:lpstr>Drift!Utskriftsrubriker</vt:lpstr>
      <vt:lpstr>Motpart!Utskriftsrubriker</vt:lpstr>
      <vt:lpstr>Vht_int</vt:lpstr>
      <vt:lpstr>Vht_kostn</vt:lpstr>
      <vt:lpstr>VOchef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Wizell</dc:creator>
  <cp:lastModifiedBy>Glanzelius Marie NR/OEM-Ö</cp:lastModifiedBy>
  <cp:lastPrinted>2014-09-29T14:15:21Z</cp:lastPrinted>
  <dcterms:created xsi:type="dcterms:W3CDTF">2008-10-17T09:37:32Z</dcterms:created>
  <dcterms:modified xsi:type="dcterms:W3CDTF">2017-08-30T12:06:57Z</dcterms:modified>
</cp:coreProperties>
</file>