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\RS2019\Rikstotal\2020-08-31\"/>
    </mc:Choice>
  </mc:AlternateContent>
  <workbookProtection workbookAlgorithmName="SHA-512" workbookHashValue="b0xZ5LX6ML3+nhMFR+Eo07V4pyS799sF4n9IMQ9ml462W+SttUjOVssGo/v/0diMhfZQFumEV7jFUPnoy+MZGw==" workbookSaltValue="lfs7Ktq+LbaNL9hj1v0viQ==" workbookSpinCount="100000" lockStructure="1"/>
  <bookViews>
    <workbookView xWindow="0" yWindow="2805" windowWidth="12285" windowHeight="2190" tabRatio="806"/>
  </bookViews>
  <sheets>
    <sheet name="Kn Information" sheetId="2" r:id="rId1"/>
    <sheet name="RR" sheetId="17" r:id="rId2"/>
    <sheet name="BR" sheetId="4" r:id="rId3"/>
    <sheet name="Verks int o kostn" sheetId="19" r:id="rId4"/>
    <sheet name="Skatter, bidrag o fin poster" sheetId="20" r:id="rId5"/>
    <sheet name="Investeringar" sheetId="7" r:id="rId6"/>
    <sheet name="Drift" sheetId="8" r:id="rId7"/>
    <sheet name="Motpart" sheetId="9" r:id="rId8"/>
    <sheet name="Pedagogisk verksamhet" sheetId="10" r:id="rId9"/>
    <sheet name="Äldre o personer funktionsn" sheetId="11" r:id="rId10"/>
    <sheet name="IFO" sheetId="12" r:id="rId11"/>
  </sheets>
  <definedNames>
    <definedName name="_GoBack" localSheetId="4">'Skatter, bidrag o fin poster'!$C$9</definedName>
    <definedName name="_HSL1">#REF!</definedName>
    <definedName name="_HSL2">#REF!</definedName>
    <definedName name="Affärsverksamhet">Drift!$Z$91</definedName>
    <definedName name="Balanskravsutredningen">RR!$G$30</definedName>
    <definedName name="Barn_o_ungdomsvård">IFO!$P$22</definedName>
    <definedName name="Barnomsorg">Drift!$Z$44</definedName>
    <definedName name="Bidrag_o_transfer.">Motpart!$N$47</definedName>
    <definedName name="Block_1">Drift!$Z$11</definedName>
    <definedName name="Block_2">Drift!$Z$18</definedName>
    <definedName name="Block_3">Drift!$Z$31</definedName>
    <definedName name="Block_6">Drift!$Z$86</definedName>
    <definedName name="BR">BR!$A$88</definedName>
    <definedName name="Datum">"2015-10-16"</definedName>
    <definedName name="Datumföre">"2016-10-17"</definedName>
    <definedName name="Drift">Drift!$A$117</definedName>
    <definedName name="EKchef">'Kn Information'!$B$16</definedName>
    <definedName name="Ekcheftel">'Kn Information'!$C$16</definedName>
    <definedName name="Epost1RS">'Kn Information'!$D$14</definedName>
    <definedName name="Epost2RS">'Kn Information'!$D$15</definedName>
    <definedName name="Epostaldre">'Kn Information'!$D$31</definedName>
    <definedName name="EpostAO">'Kn Information'!$D$32</definedName>
    <definedName name="EpostEkchef">'Kn Information'!$D$16</definedName>
    <definedName name="Epostforskola">'Kn Information'!$D$22</definedName>
    <definedName name="Epostgrund">'Kn Information'!$D$23</definedName>
    <definedName name="Epostgymn">'Kn Information'!$D$24</definedName>
    <definedName name="Eposthandik">'Kn Information'!$D$33</definedName>
    <definedName name="Epostifo">'Kn Information'!$D$34</definedName>
    <definedName name="EpostPV">'Kn Information'!$D$21</definedName>
    <definedName name="epostpvchef">'Kn Information'!$D$26</definedName>
    <definedName name="epostvochef">'Kn Information'!$D$35</definedName>
    <definedName name="Epostvux">'Kn Information'!$D$25</definedName>
    <definedName name="Extraordinära_RR">RR!$G$17</definedName>
    <definedName name="Familjerätt">IFO!$P$33</definedName>
    <definedName name="Fritidshem">'Pedagogisk verksamhet'!$R$17</definedName>
    <definedName name="Funktionsnedsättning">'Äldre o personer funktionsn'!$T$22</definedName>
    <definedName name="Förskola">'Pedagogisk verksamhet'!$R$9</definedName>
    <definedName name="Förskoleklass">'Pedagogisk verksamhet'!$R$25</definedName>
    <definedName name="Förändring_anläggningstillgångar">Investeringar!$I$16</definedName>
    <definedName name="Grundskola">'Pedagogisk verksamhet'!$R$32</definedName>
    <definedName name="Grundsärskola">'Pedagogisk verksamhet'!$R$45</definedName>
    <definedName name="Grundvux">'Pedagogisk verksamhet'!$R$87</definedName>
    <definedName name="Gymnasieskola">'Pedagogisk verksamhet'!$R$59</definedName>
    <definedName name="Gymnasiesärskola">'Pedagogisk verksamhet'!$R$73</definedName>
    <definedName name="Gymnvux">'Pedagogisk verksamhet'!$R$96</definedName>
    <definedName name="inv19_64">1</definedName>
    <definedName name="inv7_15">'Kn Information'!$B$5</definedName>
    <definedName name="invanare">'Kn Information'!$B$4</definedName>
    <definedName name="Investeringar">Investeringar!$G$68</definedName>
    <definedName name="Invånare">'Kn Information'!$B$4</definedName>
    <definedName name="Jämförelsestörande_RR">RR!$G$23</definedName>
    <definedName name="Kontaktpers1RS">'Kn Information'!$B$14</definedName>
    <definedName name="Kontaktpers2RS">'Kn Information'!$B$15</definedName>
    <definedName name="Kontaktpersaldre">'Kn Information'!$B$32</definedName>
    <definedName name="KontaktpersAO">'Kn Information'!$B$31</definedName>
    <definedName name="Kontaktpersforskola">'Kn Information'!$B$22</definedName>
    <definedName name="Kontaktpersgrund">'Kn Information'!$B$23</definedName>
    <definedName name="Kontaktpersgymn">'Kn Information'!$B$24</definedName>
    <definedName name="Kontaktpershandik">'Kn Information'!$B$33</definedName>
    <definedName name="Kontaktpersifo">'Kn Information'!$B$34</definedName>
    <definedName name="KontaktpersPV">'Kn Information'!$B$21</definedName>
    <definedName name="Kontaktpersvux">'Kn Information'!$B$25</definedName>
    <definedName name="Kontakttel1RS">'Kn Information'!$C$14</definedName>
    <definedName name="Kontakttel2RS">'Kn Information'!$C$15</definedName>
    <definedName name="Kontakttelaldre">'Kn Information'!$C$32</definedName>
    <definedName name="KontakttelAO">'Kn Information'!$C$31</definedName>
    <definedName name="Kontakttelforskola">'Kn Information'!$C$22</definedName>
    <definedName name="Kontakttelgrund">'Kn Information'!$C$23</definedName>
    <definedName name="Kontakttelgymn">'Kn Information'!$C$24</definedName>
    <definedName name="Kontakttelhandik">'Kn Information'!$C$33</definedName>
    <definedName name="Kontakttelifo">'Kn Information'!$C$34</definedName>
    <definedName name="Kontakttelpv">'Kn Information'!$C$21</definedName>
    <definedName name="Kontakttelpvchef">'Kn Information'!$C$26</definedName>
    <definedName name="Kontakttelvux">'Kn Information'!$C$25</definedName>
    <definedName name="Kontakttevochef">'Kn Information'!$C$35</definedName>
    <definedName name="Kontrollblad_1">#REF!</definedName>
    <definedName name="Kontrollblad_10">#REF!</definedName>
    <definedName name="Kontrollblad_11">#REF!</definedName>
    <definedName name="Kontrollblad_12">#REF!</definedName>
    <definedName name="Kontrollblad_13">#REF!</definedName>
    <definedName name="Kontrollblad_14">#REF!</definedName>
    <definedName name="Kontrollblad_15">#REF!</definedName>
    <definedName name="Kontrollblad_16">#REF!</definedName>
    <definedName name="Kontrollblad_17">#REF!</definedName>
    <definedName name="Kontrollblad_18">#REF!</definedName>
    <definedName name="Kontrollblad_19">#REF!</definedName>
    <definedName name="Kontrollblad_2">#REF!</definedName>
    <definedName name="Kontrollblad_3">#REF!</definedName>
    <definedName name="Kontrollblad_4">#REF!</definedName>
    <definedName name="Kontrollblad_5">#REF!</definedName>
    <definedName name="Kontrollblad_6">#REF!</definedName>
    <definedName name="Kontrollblad_7">#REF!</definedName>
    <definedName name="Kontrollblad_8">#REF!</definedName>
    <definedName name="Kontrollblad_9">#REF!</definedName>
    <definedName name="Köp_huvudvht">Motpart!$C$47</definedName>
    <definedName name="LSS">'Äldre o personer funktionsn'!$T$32</definedName>
    <definedName name="Pvchef">'Kn Information'!$B$26</definedName>
    <definedName name="Skatter_bidrag_finpost">'Skatter, bidrag o fin poster'!$H$35</definedName>
    <definedName name="solver_cvg" localSheetId="5" hidden="1">0.0001</definedName>
    <definedName name="solver_drv" localSheetId="5" hidden="1">1</definedName>
    <definedName name="solver_est" localSheetId="5" hidden="1">1</definedName>
    <definedName name="solver_itr" localSheetId="5" hidden="1">100</definedName>
    <definedName name="solver_lin" localSheetId="5" hidden="1">2</definedName>
    <definedName name="solver_neg" localSheetId="5" hidden="1">2</definedName>
    <definedName name="solver_num" localSheetId="5" hidden="1">0</definedName>
    <definedName name="solver_nwt" localSheetId="5" hidden="1">1</definedName>
    <definedName name="solver_opt" localSheetId="5" hidden="1">Investeringar!$D$22</definedName>
    <definedName name="solver_pre" localSheetId="5" hidden="1">0.000001</definedName>
    <definedName name="solver_scl" localSheetId="5" hidden="1">2</definedName>
    <definedName name="solver_sho" localSheetId="5" hidden="1">2</definedName>
    <definedName name="solver_tim" localSheetId="5" hidden="1">100</definedName>
    <definedName name="solver_tol" localSheetId="5" hidden="1">0.05</definedName>
    <definedName name="solver_typ" localSheetId="5" hidden="1">1</definedName>
    <definedName name="solver_val" localSheetId="5" hidden="1">0</definedName>
    <definedName name="Spec_intäkter">Motpart!$Y$47</definedName>
    <definedName name="Spec_VoO">'Äldre o personer funktionsn'!$R$46</definedName>
    <definedName name="Tillägg_1_Invest">Investeringar!$G$81</definedName>
    <definedName name="Tillägg_2_Invest">Investeringar!$G$97</definedName>
    <definedName name="Utbildning">Drift!$Z$52</definedName>
    <definedName name="_xlnm.Print_Area" localSheetId="6">Drift!$A$1:$AH$126</definedName>
    <definedName name="_xlnm.Print_Area" localSheetId="5">Investeringar!$A$1:$M$104</definedName>
    <definedName name="_xlnm.Print_Area" localSheetId="0">'Kn Information'!$A$1:$E$50</definedName>
    <definedName name="_xlnm.Print_Area" localSheetId="7">Motpart!$A$1:$AD$51</definedName>
    <definedName name="_xlnm.Print_Area" localSheetId="1">RR!$A$1:$K$56</definedName>
    <definedName name="_xlnm.Print_Area" localSheetId="9">'Äldre o personer funktionsn'!$A$1:$U$59</definedName>
    <definedName name="_xlnm.Print_Titles" localSheetId="6">Drift!$A:$B,Drift!$1:$10</definedName>
    <definedName name="_xlnm.Print_Titles" localSheetId="7">Motpart!$A:$B,Motpart!$1:$8</definedName>
    <definedName name="Vht_int">'Verks int o kostn'!$F$34</definedName>
    <definedName name="Vht_kostn">'Verks int o kostn'!$F$77</definedName>
    <definedName name="VOchef">'Kn Information'!$B$35</definedName>
    <definedName name="Vuxna_missb.">IFO!$P$13</definedName>
    <definedName name="Z_27C9E95B_0E2B_454F_B637_1CECC9579A10_.wvu.Cols" localSheetId="6" hidden="1">Drift!$AG:$IV</definedName>
    <definedName name="Z_27C9E95B_0E2B_454F_B637_1CECC9579A10_.wvu.Cols" localSheetId="10" hidden="1">IFO!#REF!</definedName>
    <definedName name="Z_27C9E95B_0E2B_454F_B637_1CECC9579A10_.wvu.Cols" localSheetId="5" hidden="1">Investeringar!$M:$IV</definedName>
    <definedName name="Z_27C9E95B_0E2B_454F_B637_1CECC9579A10_.wvu.Cols" localSheetId="0" hidden="1">'Kn Information'!$F:$IV</definedName>
    <definedName name="Z_27C9E95B_0E2B_454F_B637_1CECC9579A10_.wvu.Cols" localSheetId="7" hidden="1">Motpart!$AE:$IV</definedName>
    <definedName name="Z_27C9E95B_0E2B_454F_B637_1CECC9579A10_.wvu.Cols" localSheetId="8" hidden="1">'Pedagogisk verksamhet'!$H:$H,'Pedagogisk verksamhet'!$Y:$IV</definedName>
    <definedName name="Z_27C9E95B_0E2B_454F_B637_1CECC9579A10_.wvu.Cols" localSheetId="1" hidden="1">RR!$L:$IV</definedName>
    <definedName name="Z_27C9E95B_0E2B_454F_B637_1CECC9579A10_.wvu.Cols" localSheetId="4" hidden="1">'Skatter, bidrag o fin poster'!$U:$IV</definedName>
    <definedName name="Z_27C9E95B_0E2B_454F_B637_1CECC9579A10_.wvu.Cols" localSheetId="9" hidden="1">'Äldre o personer funktionsn'!$V:$IV</definedName>
    <definedName name="Z_27C9E95B_0E2B_454F_B637_1CECC9579A10_.wvu.Rows" localSheetId="2" hidden="1">BR!$94:$65536,BR!#REF!,BR!$89:$89</definedName>
    <definedName name="Z_27C9E95B_0E2B_454F_B637_1CECC9579A10_.wvu.Rows" localSheetId="6" hidden="1">Drift!$303:$65536,Drift!$127:$302</definedName>
    <definedName name="Z_27C9E95B_0E2B_454F_B637_1CECC9579A10_.wvu.Rows" localSheetId="10" hidden="1">IFO!$39:$65536,IFO!$38:$38</definedName>
    <definedName name="Z_27C9E95B_0E2B_454F_B637_1CECC9579A10_.wvu.Rows" localSheetId="5" hidden="1">Investeringar!$118:$65536,Investeringar!$105:$114</definedName>
    <definedName name="Z_27C9E95B_0E2B_454F_B637_1CECC9579A10_.wvu.Rows" localSheetId="0" hidden="1">'Kn Information'!$51:$65536</definedName>
    <definedName name="Z_27C9E95B_0E2B_454F_B637_1CECC9579A10_.wvu.Rows" localSheetId="7" hidden="1">Motpart!$53:$65536</definedName>
    <definedName name="Z_27C9E95B_0E2B_454F_B637_1CECC9579A10_.wvu.Rows" localSheetId="8" hidden="1">'Pedagogisk verksamhet'!$105:$65536</definedName>
    <definedName name="Z_27C9E95B_0E2B_454F_B637_1CECC9579A10_.wvu.Rows" localSheetId="1" hidden="1">RR!$66:$65544,RR!$58:$58</definedName>
    <definedName name="Z_27C9E95B_0E2B_454F_B637_1CECC9579A10_.wvu.Rows" localSheetId="4" hidden="1">'Skatter, bidrag o fin poster'!$45:$65536,'Skatter, bidrag o fin poster'!$44:$44</definedName>
    <definedName name="Z_27C9E95B_0E2B_454F_B637_1CECC9579A10_.wvu.Rows" localSheetId="3" hidden="1">'Verks int o kostn'!#REF!,'Verks int o kostn'!#REF!</definedName>
    <definedName name="Z_27C9E95B_0E2B_454F_B637_1CECC9579A10_.wvu.Rows" localSheetId="9" hidden="1">'Äldre o personer funktionsn'!$61:$65536</definedName>
    <definedName name="Z_97D6DB71_3F4C_4C5F_8C5B_51E3EBF78932_.wvu.Cols" localSheetId="2" hidden="1">BR!#REF!</definedName>
    <definedName name="Z_97D6DB71_3F4C_4C5F_8C5B_51E3EBF78932_.wvu.Cols" localSheetId="6" hidden="1">Drift!#REF!</definedName>
    <definedName name="Z_97D6DB71_3F4C_4C5F_8C5B_51E3EBF78932_.wvu.Cols" localSheetId="10" hidden="1">IFO!#REF!</definedName>
    <definedName name="Z_97D6DB71_3F4C_4C5F_8C5B_51E3EBF78932_.wvu.Cols" localSheetId="5" hidden="1">Investeringar!#REF!</definedName>
    <definedName name="Z_97D6DB71_3F4C_4C5F_8C5B_51E3EBF78932_.wvu.Cols" localSheetId="0" hidden="1">'Kn Information'!#REF!</definedName>
    <definedName name="Z_97D6DB71_3F4C_4C5F_8C5B_51E3EBF78932_.wvu.Cols" localSheetId="7" hidden="1">Motpart!#REF!</definedName>
    <definedName name="Z_97D6DB71_3F4C_4C5F_8C5B_51E3EBF78932_.wvu.Cols" localSheetId="1" hidden="1">RR!#REF!</definedName>
    <definedName name="Z_97D6DB71_3F4C_4C5F_8C5B_51E3EBF78932_.wvu.Cols" localSheetId="4" hidden="1">'Skatter, bidrag o fin poster'!#REF!</definedName>
    <definedName name="Z_97D6DB71_3F4C_4C5F_8C5B_51E3EBF78932_.wvu.Cols" localSheetId="3" hidden="1">'Verks int o kostn'!#REF!</definedName>
    <definedName name="Z_97D6DB71_3F4C_4C5F_8C5B_51E3EBF78932_.wvu.Cols" localSheetId="9" hidden="1">'Äldre o personer funktionsn'!#REF!</definedName>
    <definedName name="Z_97D6DB71_3F4C_4C5F_8C5B_51E3EBF78932_.wvu.PrintTitles" localSheetId="6" hidden="1">Drift!$A:$B,Drift!$1:$10</definedName>
    <definedName name="Z_97D6DB71_3F4C_4C5F_8C5B_51E3EBF78932_.wvu.Rows" localSheetId="2" hidden="1">BR!#REF!,BR!#REF!,BR!$89:$89</definedName>
    <definedName name="Z_97D6DB71_3F4C_4C5F_8C5B_51E3EBF78932_.wvu.Rows" localSheetId="6" hidden="1">Drift!#REF!,Drift!$127:$302</definedName>
    <definedName name="Z_97D6DB71_3F4C_4C5F_8C5B_51E3EBF78932_.wvu.Rows" localSheetId="10" hidden="1">IFO!#REF!,IFO!$38:$38</definedName>
    <definedName name="Z_97D6DB71_3F4C_4C5F_8C5B_51E3EBF78932_.wvu.Rows" localSheetId="5" hidden="1">Investeringar!#REF!,Investeringar!$105:$114</definedName>
    <definedName name="Z_97D6DB71_3F4C_4C5F_8C5B_51E3EBF78932_.wvu.Rows" localSheetId="0" hidden="1">'Kn Information'!#REF!</definedName>
    <definedName name="Z_97D6DB71_3F4C_4C5F_8C5B_51E3EBF78932_.wvu.Rows" localSheetId="7" hidden="1">Motpart!#REF!</definedName>
    <definedName name="Z_97D6DB71_3F4C_4C5F_8C5B_51E3EBF78932_.wvu.Rows" localSheetId="8" hidden="1">'Pedagogisk verksamhet'!#REF!</definedName>
    <definedName name="Z_97D6DB71_3F4C_4C5F_8C5B_51E3EBF78932_.wvu.Rows" localSheetId="1" hidden="1">RR!#REF!,RR!$58:$58</definedName>
    <definedName name="Z_97D6DB71_3F4C_4C5F_8C5B_51E3EBF78932_.wvu.Rows" localSheetId="4" hidden="1">'Skatter, bidrag o fin poster'!#REF!,'Skatter, bidrag o fin poster'!$44:$44</definedName>
    <definedName name="Z_97D6DB71_3F4C_4C5F_8C5B_51E3EBF78932_.wvu.Rows" localSheetId="3" hidden="1">'Verks int o kostn'!#REF!</definedName>
    <definedName name="Z_97D6DB71_3F4C_4C5F_8C5B_51E3EBF78932_.wvu.Rows" localSheetId="9" hidden="1">'Äldre o personer funktionsn'!#REF!</definedName>
    <definedName name="Z_99FBDEB7_DD08_4F57_81F4_3C180403E153_.wvu.Cols" localSheetId="2" hidden="1">BR!#REF!</definedName>
    <definedName name="Z_99FBDEB7_DD08_4F57_81F4_3C180403E153_.wvu.Cols" localSheetId="6" hidden="1">Drift!#REF!</definedName>
    <definedName name="Z_99FBDEB7_DD08_4F57_81F4_3C180403E153_.wvu.Cols" localSheetId="10" hidden="1">IFO!#REF!</definedName>
    <definedName name="Z_99FBDEB7_DD08_4F57_81F4_3C180403E153_.wvu.Cols" localSheetId="5" hidden="1">Investeringar!#REF!</definedName>
    <definedName name="Z_99FBDEB7_DD08_4F57_81F4_3C180403E153_.wvu.Cols" localSheetId="0" hidden="1">'Kn Information'!#REF!</definedName>
    <definedName name="Z_99FBDEB7_DD08_4F57_81F4_3C180403E153_.wvu.Cols" localSheetId="7" hidden="1">Motpart!#REF!</definedName>
    <definedName name="Z_99FBDEB7_DD08_4F57_81F4_3C180403E153_.wvu.Cols" localSheetId="1" hidden="1">RR!#REF!</definedName>
    <definedName name="Z_99FBDEB7_DD08_4F57_81F4_3C180403E153_.wvu.Cols" localSheetId="4" hidden="1">'Skatter, bidrag o fin poster'!#REF!</definedName>
    <definedName name="Z_99FBDEB7_DD08_4F57_81F4_3C180403E153_.wvu.Cols" localSheetId="3" hidden="1">'Verks int o kostn'!#REF!</definedName>
    <definedName name="Z_99FBDEB7_DD08_4F57_81F4_3C180403E153_.wvu.Cols" localSheetId="9" hidden="1">'Äldre o personer funktionsn'!#REF!</definedName>
    <definedName name="Z_99FBDEB7_DD08_4F57_81F4_3C180403E153_.wvu.Rows" localSheetId="2" hidden="1">BR!#REF!,BR!#REF!,BR!$89:$89</definedName>
    <definedName name="Z_99FBDEB7_DD08_4F57_81F4_3C180403E153_.wvu.Rows" localSheetId="6" hidden="1">Drift!#REF!,Drift!$127:$302</definedName>
    <definedName name="Z_99FBDEB7_DD08_4F57_81F4_3C180403E153_.wvu.Rows" localSheetId="10" hidden="1">IFO!#REF!,IFO!$38:$38</definedName>
    <definedName name="Z_99FBDEB7_DD08_4F57_81F4_3C180403E153_.wvu.Rows" localSheetId="5" hidden="1">Investeringar!#REF!,Investeringar!$105:$114</definedName>
    <definedName name="Z_99FBDEB7_DD08_4F57_81F4_3C180403E153_.wvu.Rows" localSheetId="0" hidden="1">'Kn Information'!#REF!</definedName>
    <definedName name="Z_99FBDEB7_DD08_4F57_81F4_3C180403E153_.wvu.Rows" localSheetId="7" hidden="1">Motpart!#REF!</definedName>
    <definedName name="Z_99FBDEB7_DD08_4F57_81F4_3C180403E153_.wvu.Rows" localSheetId="8" hidden="1">'Pedagogisk verksamhet'!#REF!</definedName>
    <definedName name="Z_99FBDEB7_DD08_4F57_81F4_3C180403E153_.wvu.Rows" localSheetId="1" hidden="1">RR!#REF!,RR!$58:$58</definedName>
    <definedName name="Z_99FBDEB7_DD08_4F57_81F4_3C180403E153_.wvu.Rows" localSheetId="4" hidden="1">'Skatter, bidrag o fin poster'!#REF!,'Skatter, bidrag o fin poster'!$44:$44</definedName>
    <definedName name="Z_99FBDEB7_DD08_4F57_81F4_3C180403E153_.wvu.Rows" localSheetId="3" hidden="1">'Verks int o kostn'!#REF!</definedName>
    <definedName name="Z_99FBDEB7_DD08_4F57_81F4_3C180403E153_.wvu.Rows" localSheetId="9" hidden="1">'Äldre o personer funktionsn'!#REF!</definedName>
    <definedName name="Z_FA98FB86_76DB_4A0E_BD94_632DC6B7BC81_.wvu.Cols" localSheetId="6" hidden="1">Drift!$AG:$IV</definedName>
    <definedName name="Z_FA98FB86_76DB_4A0E_BD94_632DC6B7BC81_.wvu.Cols" localSheetId="10" hidden="1">IFO!#REF!</definedName>
    <definedName name="Z_FA98FB86_76DB_4A0E_BD94_632DC6B7BC81_.wvu.Cols" localSheetId="5" hidden="1">Investeringar!$M:$IV</definedName>
    <definedName name="Z_FA98FB86_76DB_4A0E_BD94_632DC6B7BC81_.wvu.Cols" localSheetId="0" hidden="1">'Kn Information'!$F:$IV</definedName>
    <definedName name="Z_FA98FB86_76DB_4A0E_BD94_632DC6B7BC81_.wvu.Cols" localSheetId="7" hidden="1">Motpart!$AE:$IV</definedName>
    <definedName name="Z_FA98FB86_76DB_4A0E_BD94_632DC6B7BC81_.wvu.Cols" localSheetId="8" hidden="1">'Pedagogisk verksamhet'!$H:$H,'Pedagogisk verksamhet'!$Y:$IV</definedName>
    <definedName name="Z_FA98FB86_76DB_4A0E_BD94_632DC6B7BC81_.wvu.Cols" localSheetId="1" hidden="1">RR!$L:$IV</definedName>
    <definedName name="Z_FA98FB86_76DB_4A0E_BD94_632DC6B7BC81_.wvu.Cols" localSheetId="4" hidden="1">'Skatter, bidrag o fin poster'!$U:$IV</definedName>
    <definedName name="Z_FA98FB86_76DB_4A0E_BD94_632DC6B7BC81_.wvu.Cols" localSheetId="9" hidden="1">'Äldre o personer funktionsn'!$V:$IV</definedName>
    <definedName name="Z_FA98FB86_76DB_4A0E_BD94_632DC6B7BC81_.wvu.Rows" localSheetId="2" hidden="1">BR!$94:$65536,BR!#REF!,BR!$89:$89</definedName>
    <definedName name="Z_FA98FB86_76DB_4A0E_BD94_632DC6B7BC81_.wvu.Rows" localSheetId="6" hidden="1">Drift!$303:$65536,Drift!$127:$302</definedName>
    <definedName name="Z_FA98FB86_76DB_4A0E_BD94_632DC6B7BC81_.wvu.Rows" localSheetId="10" hidden="1">IFO!$39:$65536,IFO!$38:$38</definedName>
    <definedName name="Z_FA98FB86_76DB_4A0E_BD94_632DC6B7BC81_.wvu.Rows" localSheetId="5" hidden="1">Investeringar!$118:$65536,Investeringar!$105:$114</definedName>
    <definedName name="Z_FA98FB86_76DB_4A0E_BD94_632DC6B7BC81_.wvu.Rows" localSheetId="0" hidden="1">'Kn Information'!$51:$65536</definedName>
    <definedName name="Z_FA98FB86_76DB_4A0E_BD94_632DC6B7BC81_.wvu.Rows" localSheetId="7" hidden="1">Motpart!$53:$65536</definedName>
    <definedName name="Z_FA98FB86_76DB_4A0E_BD94_632DC6B7BC81_.wvu.Rows" localSheetId="8" hidden="1">'Pedagogisk verksamhet'!$105:$65536</definedName>
    <definedName name="Z_FA98FB86_76DB_4A0E_BD94_632DC6B7BC81_.wvu.Rows" localSheetId="1" hidden="1">RR!$66:$65544,RR!$58:$58</definedName>
    <definedName name="Z_FA98FB86_76DB_4A0E_BD94_632DC6B7BC81_.wvu.Rows" localSheetId="4" hidden="1">'Skatter, bidrag o fin poster'!$45:$65536,'Skatter, bidrag o fin poster'!$44:$44</definedName>
    <definedName name="Z_FA98FB86_76DB_4A0E_BD94_632DC6B7BC81_.wvu.Rows" localSheetId="3" hidden="1">'Verks int o kostn'!#REF!</definedName>
    <definedName name="Z_FA98FB86_76DB_4A0E_BD94_632DC6B7BC81_.wvu.Rows" localSheetId="9" hidden="1">'Äldre o personer funktionsn'!$61:$65536</definedName>
    <definedName name="År">2019</definedName>
    <definedName name="ÄF_inkl_IFO">Drift!$Z$72</definedName>
    <definedName name="Äldre">'Äldre o personer funktionsn'!$T$12</definedName>
    <definedName name="Övr._o_ek.bistånd">IFO!$P$30</definedName>
  </definedNames>
  <calcPr calcId="162913"/>
  <customWorkbookViews>
    <customWorkbookView name="SCB - Personlig vy" guid="{27C9E95B-0E2B-454F-B637-1CECC9579A10}" mergeInterval="0" personalView="1" maximized="1" windowWidth="1916" windowHeight="881" tabRatio="806" activeSheetId="4"/>
    <customWorkbookView name="scbingj - Personlig vy" guid="{99FBDEB7-DD08-4F57-81F4-3C180403E153}" mergeInterval="0" personalView="1" maximized="1" xWindow="1" yWindow="1" windowWidth="1916" windowHeight="839" tabRatio="806" activeSheetId="10"/>
    <customWorkbookView name="scbelie - Personlig vy" guid="{97D6DB71-3F4C-4C5F-8C5B-51E3EBF78932}" mergeInterval="0" personalView="1" maximized="1" xWindow="1" yWindow="1" windowWidth="1676" windowHeight="829" tabRatio="806" activeSheetId="11"/>
    <customWorkbookView name="Håkan Wilén - Personlig vy" guid="{FA98FB86-76DB-4A0E-BD94-632DC6B7BC81}" mergeInterval="0" personalView="1" maximized="1" xWindow="1" yWindow="1" windowWidth="1680" windowHeight="829" tabRatio="806" activeSheetId="3"/>
  </customWorkbookViews>
</workbook>
</file>

<file path=xl/calcChain.xml><?xml version="1.0" encoding="utf-8"?>
<calcChain xmlns="http://schemas.openxmlformats.org/spreadsheetml/2006/main">
  <c r="J1" i="12" l="1"/>
  <c r="A1" i="12"/>
  <c r="P1" i="11"/>
  <c r="A1" i="11"/>
  <c r="J1" i="10"/>
  <c r="A1" i="10"/>
  <c r="AA1" i="9"/>
  <c r="K1" i="9"/>
  <c r="S1" i="9"/>
  <c r="C1" i="9"/>
  <c r="Z1" i="8"/>
  <c r="J1" i="8"/>
  <c r="R1" i="8"/>
  <c r="C1" i="8"/>
  <c r="H1" i="7"/>
  <c r="A1" i="7"/>
  <c r="T1" i="20"/>
  <c r="A1" i="20"/>
  <c r="J1" i="19"/>
  <c r="A1" i="19"/>
  <c r="F1" i="4"/>
  <c r="A1" i="4"/>
  <c r="G1" i="17"/>
  <c r="A1" i="17"/>
  <c r="M100" i="10" l="1"/>
  <c r="M99" i="10"/>
  <c r="M98" i="10"/>
  <c r="M97" i="10"/>
  <c r="M96" i="10"/>
  <c r="M91" i="10"/>
  <c r="M90" i="10"/>
  <c r="M89" i="10"/>
  <c r="M88" i="10"/>
  <c r="M87" i="10"/>
  <c r="M84" i="10"/>
  <c r="M83" i="10"/>
  <c r="M81" i="10"/>
  <c r="M79" i="10"/>
  <c r="M78" i="10"/>
  <c r="M77" i="10"/>
  <c r="M76" i="10"/>
  <c r="M75" i="10"/>
  <c r="M74" i="10"/>
  <c r="M73" i="10"/>
  <c r="M70" i="10"/>
  <c r="M69" i="10"/>
  <c r="M67" i="10"/>
  <c r="M65" i="10"/>
  <c r="M64" i="10"/>
  <c r="M63" i="10"/>
  <c r="M62" i="10"/>
  <c r="M61" i="10"/>
  <c r="M60" i="10"/>
  <c r="M59" i="10"/>
  <c r="M56" i="10"/>
  <c r="M55" i="10"/>
  <c r="M53" i="10"/>
  <c r="M51" i="10"/>
  <c r="M50" i="10"/>
  <c r="M49" i="10"/>
  <c r="M48" i="10"/>
  <c r="M47" i="10"/>
  <c r="M46" i="10"/>
  <c r="M45" i="10"/>
  <c r="M42" i="10"/>
  <c r="M40" i="10"/>
  <c r="M38" i="10"/>
  <c r="M37" i="10"/>
  <c r="M36" i="10"/>
  <c r="M35" i="10"/>
  <c r="M34" i="10"/>
  <c r="M33" i="10"/>
  <c r="M32" i="10"/>
  <c r="M30" i="10"/>
  <c r="M28" i="10"/>
  <c r="M27" i="10"/>
  <c r="M19" i="10"/>
  <c r="M14" i="10"/>
  <c r="M12" i="10"/>
  <c r="M11" i="10"/>
  <c r="J7" i="7" l="1"/>
  <c r="F21" i="4" l="1"/>
  <c r="L67" i="4" l="1"/>
  <c r="L68" i="4"/>
  <c r="F84" i="4" l="1"/>
  <c r="L60" i="4" l="1"/>
  <c r="F48" i="4"/>
  <c r="F46" i="4"/>
  <c r="P125" i="8" l="1"/>
  <c r="C52" i="19" l="1"/>
  <c r="D53" i="19"/>
  <c r="C46" i="19"/>
  <c r="B35" i="17" l="1"/>
  <c r="B34" i="17"/>
  <c r="G42" i="11" l="1"/>
  <c r="G41" i="11"/>
  <c r="AC41" i="9"/>
  <c r="AB41" i="9"/>
  <c r="AA41" i="9"/>
  <c r="Z41" i="9"/>
  <c r="Y41" i="9"/>
  <c r="J17" i="17" l="1"/>
  <c r="I17" i="17"/>
  <c r="F30" i="4"/>
  <c r="R15" i="20" l="1"/>
  <c r="R16" i="20"/>
  <c r="D39" i="20" l="1"/>
  <c r="K30" i="20"/>
  <c r="D28" i="20"/>
  <c r="C12" i="17" s="1"/>
  <c r="K16" i="20"/>
  <c r="D14" i="20"/>
  <c r="C11" i="17" s="1"/>
  <c r="C11" i="20"/>
  <c r="C10" i="20"/>
  <c r="C9" i="20"/>
  <c r="R8" i="20"/>
  <c r="K31" i="20" l="1"/>
  <c r="K17" i="20"/>
  <c r="E12" i="10" l="1"/>
  <c r="C26" i="10"/>
  <c r="C18" i="10"/>
  <c r="C10" i="10"/>
  <c r="J8" i="7" l="1"/>
  <c r="J10" i="7"/>
  <c r="J9" i="7"/>
  <c r="D76" i="19" l="1"/>
  <c r="D71" i="19"/>
  <c r="N67" i="19"/>
  <c r="N60" i="19"/>
  <c r="D58" i="19"/>
  <c r="N49" i="19"/>
  <c r="N48" i="19"/>
  <c r="N45" i="19"/>
  <c r="D44" i="19"/>
  <c r="N38" i="19"/>
  <c r="M38" i="19"/>
  <c r="D38" i="19"/>
  <c r="L36" i="19"/>
  <c r="D35" i="19"/>
  <c r="D30" i="19"/>
  <c r="D25" i="19"/>
  <c r="N21" i="19"/>
  <c r="D16" i="19"/>
  <c r="N16" i="19" s="1"/>
  <c r="N13" i="19"/>
  <c r="D12" i="19"/>
  <c r="N8" i="19"/>
  <c r="N6" i="19"/>
  <c r="M6" i="19"/>
  <c r="D6" i="19"/>
  <c r="L4" i="19"/>
  <c r="N44" i="19" l="1"/>
  <c r="N12" i="19"/>
  <c r="N25" i="19"/>
  <c r="N58" i="19"/>
  <c r="N71" i="19"/>
  <c r="N30" i="19"/>
  <c r="D75" i="19"/>
  <c r="D34" i="19"/>
  <c r="R23" i="11" l="1"/>
  <c r="W122" i="8" l="1"/>
  <c r="I55" i="17" l="1"/>
  <c r="J51" i="17"/>
  <c r="I51" i="17"/>
  <c r="B43" i="17"/>
  <c r="B39" i="17"/>
  <c r="B38" i="17"/>
  <c r="B37" i="17"/>
  <c r="B36" i="17"/>
  <c r="B33" i="17"/>
  <c r="B32" i="17"/>
  <c r="B31" i="17"/>
  <c r="J14" i="17"/>
  <c r="I14" i="17"/>
  <c r="D10" i="17"/>
  <c r="C10" i="17"/>
  <c r="J9" i="17"/>
  <c r="I9" i="17"/>
  <c r="J8" i="17"/>
  <c r="I8" i="17"/>
  <c r="J7" i="17"/>
  <c r="I7" i="17"/>
  <c r="D11" i="17" l="1"/>
  <c r="J11" i="17" s="1"/>
  <c r="I10" i="17"/>
  <c r="I11" i="17"/>
  <c r="J10" i="17"/>
  <c r="F19" i="4" l="1"/>
  <c r="R14" i="11" l="1"/>
  <c r="R36" i="11"/>
  <c r="Q36" i="11" l="1"/>
  <c r="I38" i="10" l="1"/>
  <c r="A5" i="2" l="1"/>
  <c r="A4" i="2"/>
  <c r="I99" i="10" l="1"/>
  <c r="I90" i="10"/>
  <c r="I79" i="10"/>
  <c r="I65" i="10"/>
  <c r="I51" i="10"/>
  <c r="F67" i="4" l="1"/>
  <c r="D32" i="12"/>
  <c r="D30" i="12"/>
  <c r="D29" i="12"/>
  <c r="D21" i="12"/>
  <c r="D12" i="12"/>
  <c r="D31" i="11"/>
  <c r="D21" i="11"/>
  <c r="D30" i="11" s="1"/>
  <c r="D12" i="11"/>
  <c r="F85" i="4"/>
  <c r="L58" i="4"/>
  <c r="L59" i="4"/>
  <c r="L61" i="4"/>
  <c r="F54" i="4"/>
  <c r="F52" i="4"/>
  <c r="E57" i="4"/>
  <c r="N57" i="4" s="1"/>
  <c r="J65" i="4"/>
  <c r="K55" i="4"/>
  <c r="F55" i="4"/>
  <c r="J55" i="4"/>
  <c r="F51" i="4"/>
  <c r="F9" i="4"/>
  <c r="D35" i="12"/>
  <c r="E35" i="12"/>
  <c r="D26" i="12"/>
  <c r="E26" i="12"/>
  <c r="D27" i="12"/>
  <c r="E27" i="12"/>
  <c r="D19" i="12"/>
  <c r="E19" i="12"/>
  <c r="D18" i="12"/>
  <c r="E18" i="12"/>
  <c r="M70" i="4"/>
  <c r="E32" i="12"/>
  <c r="E30" i="12"/>
  <c r="E29" i="12"/>
  <c r="E21" i="12"/>
  <c r="E12" i="12"/>
  <c r="L25" i="11"/>
  <c r="L26" i="11"/>
  <c r="K25" i="11"/>
  <c r="K26" i="11"/>
  <c r="L33" i="11"/>
  <c r="L34" i="11"/>
  <c r="L35" i="11"/>
  <c r="L36" i="11"/>
  <c r="L32" i="11"/>
  <c r="L23" i="11"/>
  <c r="L24" i="11"/>
  <c r="L27" i="11"/>
  <c r="L28" i="11"/>
  <c r="L14" i="11"/>
  <c r="L15" i="11"/>
  <c r="L16" i="11"/>
  <c r="L17" i="11"/>
  <c r="L18" i="11"/>
  <c r="L13" i="11"/>
  <c r="L22" i="11"/>
  <c r="D37" i="11"/>
  <c r="D29" i="11"/>
  <c r="D19" i="11"/>
  <c r="H15" i="7"/>
  <c r="G15" i="7"/>
  <c r="D98" i="7"/>
  <c r="C98" i="7"/>
  <c r="E32" i="4"/>
  <c r="N32" i="4" s="1"/>
  <c r="D30" i="4"/>
  <c r="D26" i="4"/>
  <c r="F26" i="4" s="1"/>
  <c r="M78" i="4"/>
  <c r="M76" i="4"/>
  <c r="AB110" i="8"/>
  <c r="J8" i="12"/>
  <c r="I8" i="12"/>
  <c r="K4" i="12"/>
  <c r="O4" i="11"/>
  <c r="N8" i="11"/>
  <c r="M8" i="11"/>
  <c r="AC4" i="8"/>
  <c r="AG38" i="8"/>
  <c r="AG62" i="8"/>
  <c r="AF38" i="8"/>
  <c r="AE5" i="8"/>
  <c r="AB5" i="8"/>
  <c r="AA5" i="8"/>
  <c r="AE4" i="8"/>
  <c r="B85" i="4"/>
  <c r="Z5" i="8"/>
  <c r="M74" i="4"/>
  <c r="E75" i="4"/>
  <c r="D75" i="4"/>
  <c r="M72" i="10"/>
  <c r="I31" i="11"/>
  <c r="I38" i="11" s="1"/>
  <c r="I21" i="11"/>
  <c r="M6" i="12"/>
  <c r="F12" i="12"/>
  <c r="G12" i="12"/>
  <c r="G31" i="12" s="1"/>
  <c r="G13" i="12"/>
  <c r="H13" i="12" s="1"/>
  <c r="I13" i="12" s="1"/>
  <c r="H14" i="12"/>
  <c r="I14" i="12" s="1"/>
  <c r="H15" i="12"/>
  <c r="I15" i="12" s="1"/>
  <c r="K15" i="12"/>
  <c r="H16" i="12"/>
  <c r="I16" i="12" s="1"/>
  <c r="H17" i="12"/>
  <c r="I17" i="12" s="1"/>
  <c r="C18" i="12"/>
  <c r="F18" i="12"/>
  <c r="G18" i="12"/>
  <c r="C19" i="12"/>
  <c r="F19" i="12"/>
  <c r="F21" i="12"/>
  <c r="G21" i="12"/>
  <c r="G22" i="12"/>
  <c r="H22" i="12" s="1"/>
  <c r="I22" i="12" s="1"/>
  <c r="K22" i="12" s="1"/>
  <c r="H23" i="12"/>
  <c r="I23" i="12" s="1"/>
  <c r="K23" i="12" s="1"/>
  <c r="H24" i="12"/>
  <c r="I24" i="12" s="1"/>
  <c r="K24" i="12"/>
  <c r="H25" i="12"/>
  <c r="I25" i="12" s="1"/>
  <c r="K25" i="12" s="1"/>
  <c r="C26" i="12"/>
  <c r="F26" i="12"/>
  <c r="G26" i="12"/>
  <c r="H26" i="12" s="1"/>
  <c r="C27" i="12"/>
  <c r="F27" i="12"/>
  <c r="F29" i="12"/>
  <c r="F30" i="12"/>
  <c r="F32" i="12"/>
  <c r="G32" i="12"/>
  <c r="H33" i="12"/>
  <c r="I33" i="12" s="1"/>
  <c r="K33" i="12"/>
  <c r="H34" i="12"/>
  <c r="I34" i="12" s="1"/>
  <c r="C35" i="12"/>
  <c r="F35" i="12"/>
  <c r="G35" i="12"/>
  <c r="Q6" i="11"/>
  <c r="E12" i="11"/>
  <c r="C49" i="11" s="1"/>
  <c r="F12" i="11"/>
  <c r="G12" i="11"/>
  <c r="H12" i="11"/>
  <c r="I12" i="11"/>
  <c r="J12" i="11"/>
  <c r="K13" i="11"/>
  <c r="M13" i="11" s="1"/>
  <c r="K14" i="11"/>
  <c r="M14" i="11" s="1"/>
  <c r="K15" i="11"/>
  <c r="M15" i="11" s="1"/>
  <c r="K16" i="11"/>
  <c r="M16" i="11" s="1"/>
  <c r="K17" i="11"/>
  <c r="M17" i="11" s="1"/>
  <c r="K18" i="11"/>
  <c r="C19" i="11"/>
  <c r="E19" i="11"/>
  <c r="F19" i="11"/>
  <c r="G19" i="11"/>
  <c r="H19" i="11"/>
  <c r="H20" i="11" s="1"/>
  <c r="I19" i="11"/>
  <c r="J19" i="11"/>
  <c r="E21" i="11"/>
  <c r="C53" i="11" s="1"/>
  <c r="F21" i="11"/>
  <c r="F30" i="11" s="1"/>
  <c r="G21" i="11"/>
  <c r="G30" i="11" s="1"/>
  <c r="H21" i="11"/>
  <c r="J21" i="11"/>
  <c r="K22" i="11"/>
  <c r="M22" i="11" s="1"/>
  <c r="K23" i="11"/>
  <c r="M23" i="11" s="1"/>
  <c r="K24" i="11"/>
  <c r="M24" i="11" s="1"/>
  <c r="K27" i="11"/>
  <c r="M27" i="11" s="1"/>
  <c r="K28" i="11"/>
  <c r="C29" i="11"/>
  <c r="E29" i="11"/>
  <c r="F29" i="11"/>
  <c r="G29" i="11"/>
  <c r="H29" i="11"/>
  <c r="I29" i="11"/>
  <c r="J29" i="11"/>
  <c r="E31" i="11"/>
  <c r="F31" i="11"/>
  <c r="G31" i="11"/>
  <c r="H31" i="11"/>
  <c r="J31" i="11"/>
  <c r="K32" i="11"/>
  <c r="M32" i="11" s="1"/>
  <c r="K33" i="11"/>
  <c r="M33" i="11" s="1"/>
  <c r="O33" i="11" s="1"/>
  <c r="K34" i="11"/>
  <c r="M34" i="11" s="1"/>
  <c r="O34" i="11" s="1"/>
  <c r="K35" i="11"/>
  <c r="M35" i="11" s="1"/>
  <c r="O35" i="11" s="1"/>
  <c r="K36" i="11"/>
  <c r="C37" i="11"/>
  <c r="E37" i="11"/>
  <c r="F37" i="11"/>
  <c r="G37" i="11"/>
  <c r="H37" i="11"/>
  <c r="I37" i="11"/>
  <c r="J37" i="11"/>
  <c r="E49" i="11"/>
  <c r="F49" i="11"/>
  <c r="G49" i="11"/>
  <c r="H49" i="11"/>
  <c r="I49" i="11"/>
  <c r="J49" i="11"/>
  <c r="L49" i="11"/>
  <c r="M49" i="11"/>
  <c r="C50" i="11"/>
  <c r="D50" i="11" s="1"/>
  <c r="C51" i="11"/>
  <c r="D51" i="11" s="1"/>
  <c r="C52" i="11"/>
  <c r="D52" i="11" s="1"/>
  <c r="E53" i="11"/>
  <c r="F53" i="11"/>
  <c r="G53" i="11"/>
  <c r="H53" i="11"/>
  <c r="I53" i="11"/>
  <c r="J53" i="11"/>
  <c r="L53" i="11"/>
  <c r="M53" i="11"/>
  <c r="C54" i="11"/>
  <c r="D54" i="11" s="1"/>
  <c r="C55" i="11"/>
  <c r="D55" i="11" s="1"/>
  <c r="C56" i="11"/>
  <c r="D56" i="11" s="1"/>
  <c r="E57" i="11"/>
  <c r="F57" i="11"/>
  <c r="G57" i="11"/>
  <c r="H57" i="11"/>
  <c r="I57" i="11"/>
  <c r="J57" i="11"/>
  <c r="L57" i="11"/>
  <c r="M57" i="11"/>
  <c r="C58" i="11"/>
  <c r="D58" i="11"/>
  <c r="M7" i="10"/>
  <c r="D8" i="10"/>
  <c r="F8" i="10"/>
  <c r="M13" i="10" s="1"/>
  <c r="G8" i="10"/>
  <c r="D16" i="10"/>
  <c r="F16" i="10"/>
  <c r="G16" i="10"/>
  <c r="E20" i="10"/>
  <c r="D24" i="10"/>
  <c r="F24" i="10"/>
  <c r="G24" i="10"/>
  <c r="D31" i="10"/>
  <c r="F31" i="10"/>
  <c r="G31" i="10"/>
  <c r="G40" i="10" s="1"/>
  <c r="G43" i="10" s="1"/>
  <c r="D44" i="10"/>
  <c r="F44" i="10"/>
  <c r="M54" i="10" s="1"/>
  <c r="G44" i="10"/>
  <c r="G53" i="10" s="1"/>
  <c r="G57" i="10" s="1"/>
  <c r="D58" i="10"/>
  <c r="F58" i="10"/>
  <c r="M68" i="10" s="1"/>
  <c r="G58" i="10"/>
  <c r="G67" i="10" s="1"/>
  <c r="G71" i="10" s="1"/>
  <c r="D72" i="10"/>
  <c r="M80" i="10" s="1"/>
  <c r="F72" i="10"/>
  <c r="G72" i="10"/>
  <c r="G81" i="10" s="1"/>
  <c r="G85" i="10" s="1"/>
  <c r="D86" i="10"/>
  <c r="F86" i="10"/>
  <c r="G86" i="10"/>
  <c r="G93" i="10" s="1"/>
  <c r="G94" i="10" s="1"/>
  <c r="D95" i="10"/>
  <c r="F95" i="10"/>
  <c r="G95" i="10"/>
  <c r="G102" i="10" s="1"/>
  <c r="G103" i="10" s="1"/>
  <c r="C13" i="9"/>
  <c r="M13" i="9" s="1"/>
  <c r="N13" i="9"/>
  <c r="X13" i="9" s="1"/>
  <c r="C14" i="9"/>
  <c r="M14" i="9" s="1"/>
  <c r="N14" i="9"/>
  <c r="X14" i="9" s="1"/>
  <c r="C15" i="9"/>
  <c r="M15" i="9" s="1"/>
  <c r="N15" i="9"/>
  <c r="X15" i="9" s="1"/>
  <c r="C16" i="9"/>
  <c r="M16" i="9" s="1"/>
  <c r="N16" i="9"/>
  <c r="X16" i="9" s="1"/>
  <c r="C17" i="9"/>
  <c r="M17" i="9" s="1"/>
  <c r="N17" i="9"/>
  <c r="X17" i="9" s="1"/>
  <c r="C18" i="9"/>
  <c r="M18" i="9" s="1"/>
  <c r="N18" i="9"/>
  <c r="X18" i="9" s="1"/>
  <c r="C19" i="9"/>
  <c r="M19" i="9" s="1"/>
  <c r="N19" i="9"/>
  <c r="X19" i="9" s="1"/>
  <c r="C20" i="9"/>
  <c r="M20" i="9" s="1"/>
  <c r="N20" i="9"/>
  <c r="X20" i="9" s="1"/>
  <c r="C21" i="9"/>
  <c r="M21" i="9" s="1"/>
  <c r="N21" i="9"/>
  <c r="X21" i="9" s="1"/>
  <c r="C22" i="9"/>
  <c r="M22" i="9" s="1"/>
  <c r="N22" i="9"/>
  <c r="X22" i="9" s="1"/>
  <c r="C23" i="9"/>
  <c r="M23" i="9" s="1"/>
  <c r="N23" i="9"/>
  <c r="X23" i="9" s="1"/>
  <c r="C24" i="9"/>
  <c r="M24" i="9" s="1"/>
  <c r="N24" i="9"/>
  <c r="X24" i="9" s="1"/>
  <c r="C25" i="9"/>
  <c r="M25" i="9" s="1"/>
  <c r="N25" i="9"/>
  <c r="X25" i="9" s="1"/>
  <c r="C26" i="9"/>
  <c r="M26" i="9" s="1"/>
  <c r="N26" i="9"/>
  <c r="X26" i="9" s="1"/>
  <c r="C27" i="9"/>
  <c r="M27" i="9" s="1"/>
  <c r="N27" i="9"/>
  <c r="X27" i="9" s="1"/>
  <c r="C28" i="9"/>
  <c r="M28" i="9" s="1"/>
  <c r="N28" i="9"/>
  <c r="X28" i="9" s="1"/>
  <c r="C29" i="9"/>
  <c r="M29" i="9" s="1"/>
  <c r="N29" i="9"/>
  <c r="X29" i="9" s="1"/>
  <c r="C30" i="9"/>
  <c r="M30" i="9" s="1"/>
  <c r="N30" i="9"/>
  <c r="X30" i="9" s="1"/>
  <c r="C31" i="9"/>
  <c r="M31" i="9" s="1"/>
  <c r="N31" i="9"/>
  <c r="M32" i="9"/>
  <c r="X32" i="9"/>
  <c r="C33" i="9"/>
  <c r="N33" i="9"/>
  <c r="X33" i="9" s="1"/>
  <c r="M34" i="9"/>
  <c r="X34" i="9"/>
  <c r="C35" i="9"/>
  <c r="M35" i="9" s="1"/>
  <c r="N35" i="9"/>
  <c r="C36" i="9"/>
  <c r="M36" i="9" s="1"/>
  <c r="N36" i="9"/>
  <c r="X36" i="9" s="1"/>
  <c r="C37" i="9"/>
  <c r="M37" i="9" s="1"/>
  <c r="N37" i="9"/>
  <c r="X37" i="9" s="1"/>
  <c r="C39" i="9"/>
  <c r="M39" i="9" s="1"/>
  <c r="N39" i="9"/>
  <c r="X39" i="9" s="1"/>
  <c r="D40" i="9"/>
  <c r="E40" i="9"/>
  <c r="F40" i="9"/>
  <c r="G40" i="9"/>
  <c r="H40" i="9"/>
  <c r="I40" i="9"/>
  <c r="J40" i="9"/>
  <c r="K40" i="9"/>
  <c r="L40" i="9"/>
  <c r="O40" i="9"/>
  <c r="P40" i="9"/>
  <c r="Q40" i="9"/>
  <c r="R40" i="9"/>
  <c r="S40" i="9"/>
  <c r="T40" i="9"/>
  <c r="U40" i="9"/>
  <c r="V40" i="9"/>
  <c r="W40" i="9"/>
  <c r="Y40" i="9"/>
  <c r="Z40" i="9"/>
  <c r="AA40" i="9"/>
  <c r="AB40" i="9"/>
  <c r="AC40" i="9"/>
  <c r="AC42" i="9" s="1"/>
  <c r="W13" i="8"/>
  <c r="AH13" i="8" s="1"/>
  <c r="W14" i="8"/>
  <c r="AH14" i="8" s="1"/>
  <c r="W15" i="8"/>
  <c r="AH15" i="8" s="1"/>
  <c r="W16" i="8"/>
  <c r="AH16" i="8" s="1"/>
  <c r="C17" i="8"/>
  <c r="D17" i="8"/>
  <c r="E17" i="8"/>
  <c r="F17" i="8"/>
  <c r="C9" i="9" s="1"/>
  <c r="M9" i="9" s="1"/>
  <c r="G17" i="8"/>
  <c r="H17" i="8"/>
  <c r="I17" i="8"/>
  <c r="J17" i="8"/>
  <c r="L17" i="8"/>
  <c r="M17" i="8"/>
  <c r="N17" i="8"/>
  <c r="R17" i="8"/>
  <c r="S17" i="8"/>
  <c r="T17" i="8"/>
  <c r="V17" i="8"/>
  <c r="W19" i="8"/>
  <c r="AH19" i="8" s="1"/>
  <c r="W20" i="8"/>
  <c r="AH20" i="8" s="1"/>
  <c r="W21" i="8"/>
  <c r="AH21" i="8" s="1"/>
  <c r="W22" i="8"/>
  <c r="AH22" i="8" s="1"/>
  <c r="W23" i="8"/>
  <c r="AH23" i="8" s="1"/>
  <c r="W24" i="8"/>
  <c r="AH24" i="8" s="1"/>
  <c r="W25" i="8"/>
  <c r="AH25" i="8" s="1"/>
  <c r="W26" i="8"/>
  <c r="AH26" i="8" s="1"/>
  <c r="W27" i="8"/>
  <c r="AH27" i="8" s="1"/>
  <c r="W28" i="8"/>
  <c r="AH28" i="8" s="1"/>
  <c r="W29" i="8"/>
  <c r="AH29" i="8" s="1"/>
  <c r="C30" i="8"/>
  <c r="D30" i="8"/>
  <c r="E30" i="8"/>
  <c r="F30" i="8"/>
  <c r="C10" i="9" s="1"/>
  <c r="M10" i="9" s="1"/>
  <c r="G30" i="8"/>
  <c r="H30" i="8"/>
  <c r="N10" i="9" s="1"/>
  <c r="X10" i="9" s="1"/>
  <c r="I30" i="8"/>
  <c r="J30" i="8"/>
  <c r="L30" i="8"/>
  <c r="M30" i="8"/>
  <c r="N30" i="8"/>
  <c r="R30" i="8"/>
  <c r="S30" i="8"/>
  <c r="T30" i="8"/>
  <c r="V30" i="8"/>
  <c r="W33" i="8"/>
  <c r="AH33" i="8" s="1"/>
  <c r="W34" i="8"/>
  <c r="AH34" i="8" s="1"/>
  <c r="W35" i="8"/>
  <c r="AH35" i="8" s="1"/>
  <c r="W36" i="8"/>
  <c r="AH36" i="8" s="1"/>
  <c r="C37" i="8"/>
  <c r="D37" i="8"/>
  <c r="E37" i="8"/>
  <c r="E43" i="8" s="1"/>
  <c r="F37" i="8"/>
  <c r="C11" i="9" s="1"/>
  <c r="M11" i="9" s="1"/>
  <c r="G37" i="8"/>
  <c r="H37" i="8"/>
  <c r="N11" i="9" s="1"/>
  <c r="X11" i="9" s="1"/>
  <c r="I37" i="8"/>
  <c r="J37" i="8"/>
  <c r="L37" i="8"/>
  <c r="M37" i="8"/>
  <c r="N37" i="8"/>
  <c r="N43" i="8" s="1"/>
  <c r="R37" i="8"/>
  <c r="S37" i="8"/>
  <c r="T37" i="8"/>
  <c r="V37" i="8"/>
  <c r="V43" i="8" s="1"/>
  <c r="W39" i="8"/>
  <c r="AH39" i="8" s="1"/>
  <c r="W40" i="8"/>
  <c r="AH40" i="8" s="1"/>
  <c r="W41" i="8"/>
  <c r="AH41" i="8" s="1"/>
  <c r="C42" i="8"/>
  <c r="D42" i="8"/>
  <c r="E42" i="8"/>
  <c r="F42" i="8"/>
  <c r="C12" i="9" s="1"/>
  <c r="M12" i="9" s="1"/>
  <c r="G42" i="8"/>
  <c r="G43" i="8" s="1"/>
  <c r="H42" i="8"/>
  <c r="N12" i="9" s="1"/>
  <c r="X12" i="9" s="1"/>
  <c r="I42" i="8"/>
  <c r="J42" i="8"/>
  <c r="L42" i="8"/>
  <c r="M42" i="8"/>
  <c r="N42" i="8"/>
  <c r="R42" i="8"/>
  <c r="S42" i="8"/>
  <c r="T42" i="8"/>
  <c r="V42" i="8"/>
  <c r="W46" i="8"/>
  <c r="AH46" i="8" s="1"/>
  <c r="W47" i="8"/>
  <c r="AH47" i="8" s="1"/>
  <c r="W48" i="8"/>
  <c r="AH48" i="8" s="1"/>
  <c r="W49" i="8"/>
  <c r="AH49" i="8" s="1"/>
  <c r="W50" i="8"/>
  <c r="AH50" i="8" s="1"/>
  <c r="C51" i="8"/>
  <c r="D51" i="8"/>
  <c r="E51" i="8"/>
  <c r="F51" i="8"/>
  <c r="G51" i="8"/>
  <c r="H51" i="8"/>
  <c r="I51" i="8"/>
  <c r="J51" i="8"/>
  <c r="L51" i="8"/>
  <c r="M51" i="8"/>
  <c r="N51" i="8"/>
  <c r="R51" i="8"/>
  <c r="AE49" i="8" s="1"/>
  <c r="S51" i="8"/>
  <c r="T51" i="8"/>
  <c r="V51" i="8"/>
  <c r="W53" i="8"/>
  <c r="AH53" i="8" s="1"/>
  <c r="W54" i="8"/>
  <c r="AH54" i="8" s="1"/>
  <c r="W55" i="8"/>
  <c r="AH55" i="8" s="1"/>
  <c r="W56" i="8"/>
  <c r="AH56" i="8" s="1"/>
  <c r="W57" i="8"/>
  <c r="AH57" i="8" s="1"/>
  <c r="C58" i="8"/>
  <c r="C67" i="8"/>
  <c r="D58" i="8"/>
  <c r="D67" i="8" s="1"/>
  <c r="E58" i="8"/>
  <c r="E67" i="8" s="1"/>
  <c r="F58" i="8"/>
  <c r="F67" i="8" s="1"/>
  <c r="G58" i="8"/>
  <c r="G67" i="8" s="1"/>
  <c r="H58" i="8"/>
  <c r="H67" i="8" s="1"/>
  <c r="I58" i="8"/>
  <c r="I67" i="8" s="1"/>
  <c r="J58" i="8"/>
  <c r="J67" i="8" s="1"/>
  <c r="L58" i="8"/>
  <c r="L67" i="8" s="1"/>
  <c r="M58" i="8"/>
  <c r="M67" i="8" s="1"/>
  <c r="M68" i="8" s="1"/>
  <c r="N58" i="8"/>
  <c r="N67" i="8" s="1"/>
  <c r="R58" i="8"/>
  <c r="R67" i="8" s="1"/>
  <c r="S58" i="8"/>
  <c r="S67" i="8" s="1"/>
  <c r="S68" i="8" s="1"/>
  <c r="T58" i="8"/>
  <c r="T67" i="8" s="1"/>
  <c r="V58" i="8"/>
  <c r="V67" i="8" s="1"/>
  <c r="W60" i="8"/>
  <c r="E86" i="10"/>
  <c r="W61" i="8"/>
  <c r="AH61" i="8" s="1"/>
  <c r="W63" i="8"/>
  <c r="AH63" i="8" s="1"/>
  <c r="W64" i="8"/>
  <c r="AH64" i="8" s="1"/>
  <c r="W65" i="8"/>
  <c r="AH65" i="8" s="1"/>
  <c r="W66" i="8"/>
  <c r="AH66" i="8" s="1"/>
  <c r="W70" i="8"/>
  <c r="AH70" i="8" s="1"/>
  <c r="W71" i="8"/>
  <c r="AH71" i="8" s="1"/>
  <c r="W73" i="8"/>
  <c r="AH73" i="8" s="1"/>
  <c r="W74" i="8"/>
  <c r="AH74" i="8" s="1"/>
  <c r="W75" i="8"/>
  <c r="W76" i="8"/>
  <c r="AH76" i="8" s="1"/>
  <c r="C77" i="8"/>
  <c r="D77" i="8"/>
  <c r="E77" i="8"/>
  <c r="E85" i="8" s="1"/>
  <c r="F77" i="8"/>
  <c r="G77" i="8"/>
  <c r="H77" i="8"/>
  <c r="I77" i="8"/>
  <c r="J77" i="8"/>
  <c r="L77" i="8"/>
  <c r="M77" i="8"/>
  <c r="N77" i="8"/>
  <c r="R77" i="8"/>
  <c r="S77" i="8"/>
  <c r="S85" i="8" s="1"/>
  <c r="T77" i="8"/>
  <c r="V77" i="8"/>
  <c r="W79" i="8"/>
  <c r="AH79" i="8" s="1"/>
  <c r="W80" i="8"/>
  <c r="AH80" i="8" s="1"/>
  <c r="W81" i="8"/>
  <c r="AH81" i="8" s="1"/>
  <c r="W82" i="8"/>
  <c r="AH82" i="8" s="1"/>
  <c r="C83" i="8"/>
  <c r="D83" i="8"/>
  <c r="E83" i="8"/>
  <c r="F83" i="8"/>
  <c r="G83" i="8"/>
  <c r="H83" i="8"/>
  <c r="I83" i="8"/>
  <c r="J83" i="8"/>
  <c r="L83" i="8"/>
  <c r="M83" i="8"/>
  <c r="N83" i="8"/>
  <c r="R83" i="8"/>
  <c r="S83" i="8"/>
  <c r="T83" i="8"/>
  <c r="V83" i="8"/>
  <c r="W84" i="8"/>
  <c r="AH84" i="8" s="1"/>
  <c r="W87" i="8"/>
  <c r="AH87" i="8" s="1"/>
  <c r="W88" i="8"/>
  <c r="C89" i="8"/>
  <c r="D89" i="8"/>
  <c r="E89" i="8"/>
  <c r="F89" i="8"/>
  <c r="G89" i="8"/>
  <c r="H89" i="8"/>
  <c r="I89" i="8"/>
  <c r="J89" i="8"/>
  <c r="L89" i="8"/>
  <c r="M89" i="8"/>
  <c r="N89" i="8"/>
  <c r="R89" i="8"/>
  <c r="S89" i="8"/>
  <c r="T89" i="8"/>
  <c r="V89" i="8"/>
  <c r="W93" i="8"/>
  <c r="AH93" i="8" s="1"/>
  <c r="W94" i="8"/>
  <c r="AH94" i="8" s="1"/>
  <c r="W95" i="8"/>
  <c r="W96" i="8"/>
  <c r="AH96" i="8" s="1"/>
  <c r="C97" i="8"/>
  <c r="D97" i="8"/>
  <c r="E97" i="8"/>
  <c r="F97" i="8"/>
  <c r="G97" i="8"/>
  <c r="H97" i="8"/>
  <c r="I97" i="8"/>
  <c r="J97" i="8"/>
  <c r="L97" i="8"/>
  <c r="M97" i="8"/>
  <c r="N97" i="8"/>
  <c r="R97" i="8"/>
  <c r="R109" i="8" s="1"/>
  <c r="S97" i="8"/>
  <c r="T97" i="8"/>
  <c r="V97" i="8"/>
  <c r="W99" i="8"/>
  <c r="AH99" i="8" s="1"/>
  <c r="W100" i="8"/>
  <c r="AH100" i="8" s="1"/>
  <c r="W101" i="8"/>
  <c r="AH101" i="8" s="1"/>
  <c r="C102" i="8"/>
  <c r="D102" i="8"/>
  <c r="E102" i="8"/>
  <c r="F102" i="8"/>
  <c r="G102" i="8"/>
  <c r="H102" i="8"/>
  <c r="I102" i="8"/>
  <c r="J102" i="8"/>
  <c r="L102" i="8"/>
  <c r="M102" i="8"/>
  <c r="N102" i="8"/>
  <c r="R102" i="8"/>
  <c r="S102" i="8"/>
  <c r="T102" i="8"/>
  <c r="V102" i="8"/>
  <c r="W104" i="8"/>
  <c r="AH104" i="8" s="1"/>
  <c r="W105" i="8"/>
  <c r="AH105" i="8" s="1"/>
  <c r="W106" i="8"/>
  <c r="AH106" i="8" s="1"/>
  <c r="W107" i="8"/>
  <c r="AH107" i="8" s="1"/>
  <c r="C108" i="8"/>
  <c r="D108" i="8"/>
  <c r="E108" i="8"/>
  <c r="F108" i="8"/>
  <c r="G108" i="8"/>
  <c r="H108" i="8"/>
  <c r="I108" i="8"/>
  <c r="J108" i="8"/>
  <c r="L108" i="8"/>
  <c r="M108" i="8"/>
  <c r="N108" i="8"/>
  <c r="R108" i="8"/>
  <c r="S108" i="8"/>
  <c r="T108" i="8"/>
  <c r="V108" i="8"/>
  <c r="P111" i="8"/>
  <c r="W111" i="8"/>
  <c r="P112" i="8"/>
  <c r="M114" i="8"/>
  <c r="C15" i="7"/>
  <c r="D15" i="7"/>
  <c r="F15" i="7"/>
  <c r="C33" i="7"/>
  <c r="D33" i="7"/>
  <c r="E33" i="7"/>
  <c r="F33" i="7"/>
  <c r="C40" i="7"/>
  <c r="C41" i="7" s="1"/>
  <c r="C49" i="7" s="1"/>
  <c r="D40" i="7"/>
  <c r="D41" i="7"/>
  <c r="E40" i="7"/>
  <c r="E41" i="7" s="1"/>
  <c r="F40" i="7"/>
  <c r="F41" i="7" s="1"/>
  <c r="F49" i="7" s="1"/>
  <c r="C47" i="7"/>
  <c r="D47" i="7"/>
  <c r="E47" i="7"/>
  <c r="F47" i="7"/>
  <c r="C54" i="7"/>
  <c r="D54" i="7"/>
  <c r="E54" i="7"/>
  <c r="F54" i="7"/>
  <c r="F64" i="7" s="1"/>
  <c r="C58" i="7"/>
  <c r="D58" i="7"/>
  <c r="E58" i="7"/>
  <c r="F58" i="7"/>
  <c r="C63" i="7"/>
  <c r="D63" i="7"/>
  <c r="E63" i="7"/>
  <c r="F63" i="7"/>
  <c r="D12" i="4"/>
  <c r="M12" i="4" s="1"/>
  <c r="N12" i="4"/>
  <c r="D17" i="4"/>
  <c r="E15" i="7" s="1"/>
  <c r="N17" i="4"/>
  <c r="E18" i="4"/>
  <c r="M19" i="4"/>
  <c r="N19" i="4"/>
  <c r="F31" i="4"/>
  <c r="M47" i="4"/>
  <c r="M49" i="4"/>
  <c r="D50" i="4"/>
  <c r="M50" i="4" s="1"/>
  <c r="N50" i="4"/>
  <c r="D57" i="4"/>
  <c r="M57" i="4" s="1"/>
  <c r="F62" i="4"/>
  <c r="F63" i="4"/>
  <c r="F64" i="4"/>
  <c r="D67" i="4"/>
  <c r="N67" i="4"/>
  <c r="N76" i="4"/>
  <c r="M77" i="4"/>
  <c r="N77" i="4"/>
  <c r="N78" i="4"/>
  <c r="M79" i="4"/>
  <c r="N79" i="4"/>
  <c r="M80" i="4"/>
  <c r="N80" i="4"/>
  <c r="D81" i="4"/>
  <c r="E81" i="4"/>
  <c r="O15" i="11"/>
  <c r="I43" i="8"/>
  <c r="N9" i="9"/>
  <c r="X9" i="9" s="1"/>
  <c r="M33" i="9"/>
  <c r="M95" i="10"/>
  <c r="K34" i="12"/>
  <c r="K17" i="12"/>
  <c r="D49" i="7"/>
  <c r="D38" i="11"/>
  <c r="G19" i="12"/>
  <c r="AH60" i="8"/>
  <c r="C82" i="7"/>
  <c r="K16" i="12"/>
  <c r="E68" i="4"/>
  <c r="M67" i="4"/>
  <c r="I26" i="12" l="1"/>
  <c r="K26" i="12" s="1"/>
  <c r="M25" i="11"/>
  <c r="O25" i="11" s="1"/>
  <c r="J30" i="11"/>
  <c r="I20" i="11"/>
  <c r="F20" i="11"/>
  <c r="H30" i="11"/>
  <c r="E30" i="11"/>
  <c r="M26" i="11"/>
  <c r="O26" i="11" s="1"/>
  <c r="M41" i="10"/>
  <c r="M22" i="10"/>
  <c r="M20" i="10"/>
  <c r="M82" i="10"/>
  <c r="M29" i="10"/>
  <c r="M21" i="10"/>
  <c r="E95" i="10"/>
  <c r="E102" i="10" s="1"/>
  <c r="E103" i="10" s="1"/>
  <c r="E58" i="10"/>
  <c r="E67" i="10" s="1"/>
  <c r="E71" i="10" s="1"/>
  <c r="E44" i="10"/>
  <c r="E53" i="10" s="1"/>
  <c r="E57" i="10" s="1"/>
  <c r="H43" i="8"/>
  <c r="T43" i="8"/>
  <c r="T109" i="8"/>
  <c r="M109" i="8"/>
  <c r="D109" i="8"/>
  <c r="V109" i="8"/>
  <c r="N85" i="8"/>
  <c r="W102" i="8"/>
  <c r="F109" i="8"/>
  <c r="C38" i="9" s="1"/>
  <c r="M43" i="8"/>
  <c r="D43" i="8"/>
  <c r="E49" i="7"/>
  <c r="E33" i="4"/>
  <c r="F12" i="4"/>
  <c r="M17" i="4"/>
  <c r="E24" i="10"/>
  <c r="F43" i="8"/>
  <c r="H85" i="8"/>
  <c r="AE80" i="8" s="1"/>
  <c r="L85" i="8"/>
  <c r="G85" i="8"/>
  <c r="F68" i="8"/>
  <c r="E72" i="10"/>
  <c r="E81" i="10" s="1"/>
  <c r="E85" i="10" s="1"/>
  <c r="H109" i="8"/>
  <c r="N38" i="9" s="1"/>
  <c r="X38" i="9" s="1"/>
  <c r="L68" i="8"/>
  <c r="AE48" i="8"/>
  <c r="G68" i="8"/>
  <c r="G90" i="8" s="1"/>
  <c r="G110" i="8" s="1"/>
  <c r="G113" i="8" s="1"/>
  <c r="E20" i="11"/>
  <c r="T85" i="8"/>
  <c r="R68" i="8"/>
  <c r="C43" i="8"/>
  <c r="W42" i="8"/>
  <c r="AH42" i="8" s="1"/>
  <c r="G109" i="8"/>
  <c r="E8" i="10"/>
  <c r="W17" i="8"/>
  <c r="AH17" i="8" s="1"/>
  <c r="E16" i="10"/>
  <c r="X35" i="9"/>
  <c r="W108" i="8"/>
  <c r="J109" i="8"/>
  <c r="R85" i="8"/>
  <c r="J85" i="8"/>
  <c r="J68" i="8"/>
  <c r="D68" i="8"/>
  <c r="S43" i="8"/>
  <c r="S90" i="8" s="1"/>
  <c r="L43" i="8"/>
  <c r="D31" i="12"/>
  <c r="E93" i="10"/>
  <c r="E94" i="10" s="1"/>
  <c r="G20" i="11"/>
  <c r="E31" i="12"/>
  <c r="J20" i="11"/>
  <c r="O13" i="11"/>
  <c r="O14" i="11"/>
  <c r="W77" i="8"/>
  <c r="AH77" i="8" s="1"/>
  <c r="O17" i="11"/>
  <c r="O16" i="11"/>
  <c r="I12" i="17"/>
  <c r="C13" i="17"/>
  <c r="I48" i="17"/>
  <c r="D12" i="17"/>
  <c r="I47" i="17"/>
  <c r="I53" i="17"/>
  <c r="I52" i="17"/>
  <c r="D20" i="11"/>
  <c r="C85" i="8"/>
  <c r="L56" i="4"/>
  <c r="L57" i="4"/>
  <c r="M71" i="4"/>
  <c r="D68" i="4"/>
  <c r="F17" i="4"/>
  <c r="F31" i="12"/>
  <c r="C64" i="7"/>
  <c r="C66" i="7"/>
  <c r="O27" i="11"/>
  <c r="O23" i="11"/>
  <c r="O32" i="11"/>
  <c r="M86" i="10"/>
  <c r="M101" i="10" s="1"/>
  <c r="K14" i="12"/>
  <c r="K13" i="12"/>
  <c r="M44" i="10"/>
  <c r="M52" i="10" s="1"/>
  <c r="W51" i="8"/>
  <c r="AH51" i="8" s="1"/>
  <c r="M58" i="10"/>
  <c r="M66" i="10" s="1"/>
  <c r="O22" i="11"/>
  <c r="O24" i="11"/>
  <c r="E68" i="8"/>
  <c r="E90" i="8" s="1"/>
  <c r="W58" i="8"/>
  <c r="W67" i="8" s="1"/>
  <c r="AH67" i="8" s="1"/>
  <c r="E31" i="10"/>
  <c r="E40" i="10" s="1"/>
  <c r="E43" i="10" s="1"/>
  <c r="M31" i="10"/>
  <c r="M39" i="10" s="1"/>
  <c r="I85" i="8"/>
  <c r="G38" i="11"/>
  <c r="AH75" i="8"/>
  <c r="F85" i="8"/>
  <c r="AE79" i="8" s="1"/>
  <c r="Z42" i="9"/>
  <c r="D53" i="11"/>
  <c r="AA42" i="9"/>
  <c r="X31" i="9"/>
  <c r="X40" i="9" s="1"/>
  <c r="I30" i="11"/>
  <c r="G27" i="12"/>
  <c r="M81" i="4"/>
  <c r="I117" i="8"/>
  <c r="N81" i="4"/>
  <c r="D32" i="4"/>
  <c r="M32" i="4" s="1"/>
  <c r="F50" i="4"/>
  <c r="L109" i="8"/>
  <c r="I68" i="8"/>
  <c r="I90" i="8" s="1"/>
  <c r="Y42" i="9"/>
  <c r="J38" i="11"/>
  <c r="H18" i="12"/>
  <c r="I18" i="12" s="1"/>
  <c r="K18" i="12" s="1"/>
  <c r="S109" i="8"/>
  <c r="D85" i="8"/>
  <c r="V68" i="8"/>
  <c r="N68" i="8"/>
  <c r="N90" i="8" s="1"/>
  <c r="W37" i="8"/>
  <c r="AH37" i="8" s="1"/>
  <c r="AH43" i="8" s="1"/>
  <c r="AB42" i="9"/>
  <c r="D18" i="4"/>
  <c r="E64" i="7"/>
  <c r="E66" i="7" s="1"/>
  <c r="E109" i="8"/>
  <c r="V85" i="8"/>
  <c r="T68" i="8"/>
  <c r="T90" i="8" s="1"/>
  <c r="T110" i="8" s="1"/>
  <c r="T113" i="8" s="1"/>
  <c r="H68" i="8"/>
  <c r="H90" i="8" s="1"/>
  <c r="H110" i="8" s="1"/>
  <c r="H113" i="8" s="1"/>
  <c r="C68" i="8"/>
  <c r="R43" i="8"/>
  <c r="J43" i="8"/>
  <c r="C109" i="8"/>
  <c r="M85" i="8"/>
  <c r="M90" i="8" s="1"/>
  <c r="M110" i="8" s="1"/>
  <c r="M113" i="8" s="1"/>
  <c r="C40" i="9"/>
  <c r="M38" i="9"/>
  <c r="M40" i="9" s="1"/>
  <c r="F66" i="7"/>
  <c r="N40" i="9"/>
  <c r="D64" i="7"/>
  <c r="D66" i="7" s="1"/>
  <c r="N109" i="8"/>
  <c r="AH88" i="8"/>
  <c r="W89" i="8"/>
  <c r="AH89" i="8" s="1"/>
  <c r="I109" i="8"/>
  <c r="L90" i="8"/>
  <c r="L110" i="8" s="1"/>
  <c r="AH95" i="8"/>
  <c r="AH97" i="8" s="1"/>
  <c r="W97" i="8"/>
  <c r="F38" i="11"/>
  <c r="C57" i="11"/>
  <c r="D57" i="11" s="1"/>
  <c r="E38" i="11"/>
  <c r="W83" i="8"/>
  <c r="H38" i="11"/>
  <c r="D49" i="11"/>
  <c r="AH108" i="8"/>
  <c r="AH102" i="8"/>
  <c r="W30" i="8"/>
  <c r="W43" i="8" l="1"/>
  <c r="R90" i="8"/>
  <c r="R110" i="8" s="1"/>
  <c r="R113" i="8" s="1"/>
  <c r="D90" i="8"/>
  <c r="D110" i="8" s="1"/>
  <c r="D113" i="8" s="1"/>
  <c r="I54" i="17"/>
  <c r="E17" i="19"/>
  <c r="C16" i="17"/>
  <c r="I49" i="17" s="1"/>
  <c r="I13" i="17"/>
  <c r="E110" i="8"/>
  <c r="E113" i="8" s="1"/>
  <c r="S110" i="8"/>
  <c r="S113" i="8" s="1"/>
  <c r="J90" i="8"/>
  <c r="J110" i="8" s="1"/>
  <c r="J113" i="8" s="1"/>
  <c r="V90" i="8"/>
  <c r="V110" i="8" s="1"/>
  <c r="F90" i="8"/>
  <c r="F110" i="8" s="1"/>
  <c r="F113" i="8" s="1"/>
  <c r="C90" i="8"/>
  <c r="C110" i="8" s="1"/>
  <c r="C113" i="8" s="1"/>
  <c r="N110" i="8"/>
  <c r="N113" i="8" s="1"/>
  <c r="I119" i="8" s="1"/>
  <c r="I120" i="8" s="1"/>
  <c r="W109" i="8"/>
  <c r="AH109" i="8" s="1"/>
  <c r="W68" i="8"/>
  <c r="J12" i="17"/>
  <c r="D13" i="17"/>
  <c r="J47" i="17"/>
  <c r="J48" i="17"/>
  <c r="I16" i="17"/>
  <c r="AH58" i="8"/>
  <c r="AH68" i="8" s="1"/>
  <c r="D33" i="4"/>
  <c r="AH83" i="8"/>
  <c r="AH85" i="8" s="1"/>
  <c r="W85" i="8"/>
  <c r="W90" i="8" s="1"/>
  <c r="I110" i="8"/>
  <c r="I113" i="8" s="1"/>
  <c r="AH30" i="8"/>
  <c r="L113" i="8"/>
  <c r="P116" i="8"/>
  <c r="C19" i="17" l="1"/>
  <c r="C30" i="17" s="1"/>
  <c r="D16" i="17"/>
  <c r="J49" i="17" s="1"/>
  <c r="J13" i="17"/>
  <c r="W110" i="8"/>
  <c r="AE92" i="8"/>
  <c r="AH90" i="8"/>
  <c r="AH110" i="8" s="1"/>
  <c r="P82" i="8"/>
  <c r="P54" i="8"/>
  <c r="P40" i="8"/>
  <c r="P28" i="8"/>
  <c r="P84" i="8"/>
  <c r="P101" i="8"/>
  <c r="P64" i="8"/>
  <c r="P55" i="8"/>
  <c r="P74" i="8"/>
  <c r="P57" i="8"/>
  <c r="P26" i="8"/>
  <c r="P81" i="8"/>
  <c r="P80" i="8"/>
  <c r="P27" i="8"/>
  <c r="P21" i="8"/>
  <c r="P15" i="8"/>
  <c r="P56" i="8"/>
  <c r="P60" i="8"/>
  <c r="P79" i="8"/>
  <c r="P94" i="8"/>
  <c r="P47" i="8"/>
  <c r="C8" i="10" s="1"/>
  <c r="M8" i="10" s="1"/>
  <c r="P71" i="8"/>
  <c r="P65" i="8"/>
  <c r="P95" i="8"/>
  <c r="P24" i="8"/>
  <c r="P29" i="8"/>
  <c r="P76" i="8"/>
  <c r="P61" i="8"/>
  <c r="P105" i="8"/>
  <c r="P50" i="8"/>
  <c r="P23" i="8"/>
  <c r="P63" i="8"/>
  <c r="P16" i="8"/>
  <c r="P49" i="8"/>
  <c r="O83" i="8"/>
  <c r="P20" i="8"/>
  <c r="P96" i="8"/>
  <c r="P36" i="8"/>
  <c r="P14" i="8"/>
  <c r="P100" i="8"/>
  <c r="P107" i="8"/>
  <c r="P41" i="8"/>
  <c r="P34" i="8"/>
  <c r="P66" i="8"/>
  <c r="P35" i="8"/>
  <c r="P25" i="8"/>
  <c r="P48" i="8"/>
  <c r="P88" i="8"/>
  <c r="Z88" i="8" s="1"/>
  <c r="P22" i="8"/>
  <c r="P106" i="8"/>
  <c r="V112" i="8"/>
  <c r="D41" i="4" l="1"/>
  <c r="D43" i="4" s="1"/>
  <c r="J16" i="17"/>
  <c r="D19" i="17"/>
  <c r="J50" i="17" s="1"/>
  <c r="I19" i="17"/>
  <c r="I50" i="17"/>
  <c r="C36" i="17"/>
  <c r="C39" i="17" s="1"/>
  <c r="C43" i="17" s="1"/>
  <c r="I30" i="17"/>
  <c r="E41" i="4"/>
  <c r="P75" i="8"/>
  <c r="M72" i="4"/>
  <c r="M73" i="4"/>
  <c r="M43" i="4"/>
  <c r="D69" i="4"/>
  <c r="AA88" i="8"/>
  <c r="P87" i="8"/>
  <c r="Z87" i="8" s="1"/>
  <c r="O89" i="8"/>
  <c r="Z80" i="8"/>
  <c r="AA80" i="8"/>
  <c r="AC80" i="8" s="1"/>
  <c r="C21" i="12"/>
  <c r="P53" i="8"/>
  <c r="O58" i="8"/>
  <c r="O67" i="8" s="1"/>
  <c r="P13" i="8"/>
  <c r="O17" i="8"/>
  <c r="O108" i="8"/>
  <c r="P104" i="8"/>
  <c r="P39" i="8"/>
  <c r="O42" i="8"/>
  <c r="P42" i="8" s="1"/>
  <c r="C16" i="10"/>
  <c r="M16" i="10" s="1"/>
  <c r="O97" i="8"/>
  <c r="P93" i="8"/>
  <c r="AA81" i="8"/>
  <c r="Z81" i="8"/>
  <c r="C29" i="12"/>
  <c r="C44" i="10"/>
  <c r="C53" i="10" s="1"/>
  <c r="C32" i="12"/>
  <c r="Z84" i="8"/>
  <c r="AA84" i="8"/>
  <c r="AC84" i="8" s="1"/>
  <c r="C31" i="10"/>
  <c r="C40" i="10" s="1"/>
  <c r="Z79" i="8"/>
  <c r="AA79" i="8"/>
  <c r="AC79" i="8" s="1"/>
  <c r="P83" i="8"/>
  <c r="C12" i="12"/>
  <c r="P99" i="8"/>
  <c r="O102" i="8"/>
  <c r="Z36" i="8"/>
  <c r="AA36" i="8"/>
  <c r="P73" i="8"/>
  <c r="O77" i="8"/>
  <c r="O85" i="8" s="1"/>
  <c r="P46" i="8"/>
  <c r="O51" i="8"/>
  <c r="C95" i="10"/>
  <c r="C102" i="10" s="1"/>
  <c r="C86" i="10"/>
  <c r="C93" i="10" s="1"/>
  <c r="C72" i="10"/>
  <c r="C81" i="10" s="1"/>
  <c r="O30" i="8"/>
  <c r="P19" i="8"/>
  <c r="Z82" i="8"/>
  <c r="AA82" i="8"/>
  <c r="AC82" i="8" s="1"/>
  <c r="C30" i="12"/>
  <c r="W112" i="8"/>
  <c r="W113" i="8" s="1"/>
  <c r="V113" i="8"/>
  <c r="W116" i="8" s="1"/>
  <c r="P33" i="8"/>
  <c r="O37" i="8"/>
  <c r="Z76" i="8"/>
  <c r="AA76" i="8"/>
  <c r="AC76" i="8" s="1"/>
  <c r="C58" i="10"/>
  <c r="C67" i="10" s="1"/>
  <c r="C21" i="11"/>
  <c r="AA74" i="8"/>
  <c r="AC74" i="8" s="1"/>
  <c r="Z74" i="8"/>
  <c r="P70" i="8"/>
  <c r="J19" i="17" l="1"/>
  <c r="AA78" i="8"/>
  <c r="I43" i="17"/>
  <c r="I39" i="17"/>
  <c r="C71" i="10"/>
  <c r="C85" i="10"/>
  <c r="C94" i="10"/>
  <c r="C103" i="10"/>
  <c r="C57" i="10"/>
  <c r="C43" i="10"/>
  <c r="AC88" i="8"/>
  <c r="AA75" i="8"/>
  <c r="C31" i="11"/>
  <c r="Z75" i="8"/>
  <c r="O43" i="8"/>
  <c r="O68" i="8"/>
  <c r="H30" i="12"/>
  <c r="P30" i="8"/>
  <c r="P51" i="8"/>
  <c r="Z73" i="8"/>
  <c r="AA73" i="8"/>
  <c r="P77" i="8"/>
  <c r="P85" i="8" s="1"/>
  <c r="C12" i="11"/>
  <c r="AC36" i="8"/>
  <c r="H29" i="12"/>
  <c r="I29" i="12" s="1"/>
  <c r="P97" i="8"/>
  <c r="AA87" i="8"/>
  <c r="P89" i="8"/>
  <c r="P37" i="8"/>
  <c r="P102" i="8"/>
  <c r="C31" i="12"/>
  <c r="H12" i="12"/>
  <c r="I12" i="12" s="1"/>
  <c r="O109" i="8"/>
  <c r="Z42" i="8"/>
  <c r="AA42" i="8"/>
  <c r="P17" i="8"/>
  <c r="P58" i="8"/>
  <c r="C24" i="10"/>
  <c r="M24" i="10" s="1"/>
  <c r="K21" i="11"/>
  <c r="M21" i="11" s="1"/>
  <c r="C30" i="11"/>
  <c r="L21" i="11"/>
  <c r="W121" i="8"/>
  <c r="C9" i="10"/>
  <c r="AA83" i="8"/>
  <c r="Z83" i="8"/>
  <c r="H32" i="12"/>
  <c r="I32" i="12" s="1"/>
  <c r="AC81" i="8"/>
  <c r="C17" i="10"/>
  <c r="P108" i="8"/>
  <c r="H21" i="12"/>
  <c r="I21" i="12" s="1"/>
  <c r="K21" i="12" s="1"/>
  <c r="M15" i="10" l="1"/>
  <c r="M9" i="10"/>
  <c r="M10" i="10"/>
  <c r="K29" i="12"/>
  <c r="AC83" i="8"/>
  <c r="AE84" i="8"/>
  <c r="AE86" i="8"/>
  <c r="AE83" i="8"/>
  <c r="M17" i="10"/>
  <c r="M18" i="10"/>
  <c r="M23" i="10"/>
  <c r="K12" i="12"/>
  <c r="I30" i="12"/>
  <c r="AC78" i="8"/>
  <c r="AC75" i="8"/>
  <c r="K32" i="12"/>
  <c r="L31" i="11"/>
  <c r="C38" i="11"/>
  <c r="AC87" i="8"/>
  <c r="K31" i="11"/>
  <c r="M31" i="11" s="1"/>
  <c r="O90" i="8"/>
  <c r="O110" i="8" s="1"/>
  <c r="O113" i="8" s="1"/>
  <c r="P117" i="8" s="1"/>
  <c r="E43" i="4"/>
  <c r="Z89" i="8"/>
  <c r="AA89" i="8"/>
  <c r="C25" i="10"/>
  <c r="K12" i="11"/>
  <c r="M12" i="11" s="1"/>
  <c r="C20" i="11"/>
  <c r="L12" i="11"/>
  <c r="AC42" i="8"/>
  <c r="Z37" i="8"/>
  <c r="P43" i="8"/>
  <c r="P109" i="8"/>
  <c r="Z77" i="8"/>
  <c r="Z30" i="8"/>
  <c r="AA30" i="8"/>
  <c r="Z17" i="8"/>
  <c r="H31" i="12"/>
  <c r="AE72" i="8"/>
  <c r="AC73" i="8"/>
  <c r="P67" i="8"/>
  <c r="P68" i="8" s="1"/>
  <c r="Z51" i="8"/>
  <c r="K30" i="12" l="1"/>
  <c r="M25" i="10"/>
  <c r="M26" i="10"/>
  <c r="O31" i="11"/>
  <c r="I31" i="12"/>
  <c r="K31" i="12" s="1"/>
  <c r="N73" i="4"/>
  <c r="N72" i="4"/>
  <c r="E69" i="4"/>
  <c r="N43" i="4"/>
  <c r="AA37" i="8"/>
  <c r="AA77" i="8"/>
  <c r="AE74" i="8"/>
  <c r="Z67" i="8"/>
  <c r="AA67" i="8"/>
  <c r="AA17" i="8"/>
  <c r="AC89" i="8"/>
  <c r="AE30" i="8"/>
  <c r="AE31" i="8"/>
  <c r="AC30" i="8"/>
  <c r="AA51" i="8"/>
  <c r="P90" i="8"/>
  <c r="AA109" i="8"/>
  <c r="Z109" i="8"/>
  <c r="AC37" i="8" l="1"/>
  <c r="P110" i="8"/>
  <c r="Z90" i="8"/>
  <c r="Z110" i="8" s="1"/>
  <c r="AC17" i="8"/>
  <c r="AA90" i="8"/>
  <c r="AE85" i="8" s="1"/>
  <c r="AC77" i="8"/>
  <c r="AE78" i="8"/>
  <c r="AE77" i="8"/>
  <c r="AC67" i="8"/>
  <c r="AE67" i="8"/>
  <c r="AE68" i="8"/>
  <c r="AE51" i="8"/>
  <c r="AE52" i="8"/>
  <c r="AC51" i="8"/>
  <c r="AE109" i="8"/>
  <c r="AE110" i="8"/>
  <c r="AC109" i="8"/>
  <c r="P124" i="8" l="1"/>
  <c r="P113" i="8"/>
  <c r="AC90" i="8"/>
  <c r="AE90" i="8"/>
  <c r="AE91" i="8"/>
  <c r="AA110" i="8"/>
  <c r="AE93" i="8"/>
  <c r="P303" i="8" l="1"/>
</calcChain>
</file>

<file path=xl/sharedStrings.xml><?xml version="1.0" encoding="utf-8"?>
<sst xmlns="http://schemas.openxmlformats.org/spreadsheetml/2006/main" count="1600" uniqueCount="1224">
  <si>
    <t>i kommunens koncernföretag</t>
  </si>
  <si>
    <t>hos kommunens koncernföretag</t>
  </si>
  <si>
    <t>fordringar hos staten</t>
  </si>
  <si>
    <t xml:space="preserve">Kortfristiga skulder till koncernföretag </t>
  </si>
  <si>
    <t>Lev.skulder till kommunens koncernf.</t>
  </si>
  <si>
    <t>135</t>
  </si>
  <si>
    <t>Förvaltningsavgifter</t>
  </si>
  <si>
    <t>139</t>
  </si>
  <si>
    <t>13 (ej 139)</t>
  </si>
  <si>
    <t>10-13 (ej 139)</t>
  </si>
  <si>
    <t>FINANSIELLA INTÄKTER ENL RR</t>
  </si>
  <si>
    <t>FINANSIELLA KOSTNADER ENL RR</t>
  </si>
  <si>
    <t xml:space="preserve">Obligationer, förlagsbevis m.m. samt certifikat </t>
  </si>
  <si>
    <t>Personalens källskatt</t>
  </si>
  <si>
    <t>298</t>
  </si>
  <si>
    <t>Förutbetalda skatteintäkter</t>
  </si>
  <si>
    <t>Verksamhetsblock/-områden</t>
  </si>
  <si>
    <t>EGENTLIG VERKSAMHET</t>
  </si>
  <si>
    <t>Politisk verksamhet, totalt</t>
  </si>
  <si>
    <t>Parker</t>
  </si>
  <si>
    <t>Räddningstjänst</t>
  </si>
  <si>
    <t>Övrig utbildning</t>
  </si>
  <si>
    <t>Utbildning, totalt</t>
  </si>
  <si>
    <t>SUMMA EGENTLIG VERKSAMHET</t>
  </si>
  <si>
    <t>Hamnverksamhet</t>
  </si>
  <si>
    <t>Kommersiell verksamhet</t>
  </si>
  <si>
    <t>Bostadsverksamhet</t>
  </si>
  <si>
    <t>Näringsliv och bostäder, totalt</t>
  </si>
  <si>
    <t>Sjötrafik</t>
  </si>
  <si>
    <t>Kommunikationer, totalt</t>
  </si>
  <si>
    <t>Fjärrvärmeförsörjning</t>
  </si>
  <si>
    <t>Vattenförsörjning och avloppshantering</t>
  </si>
  <si>
    <t>Avfallshantering</t>
  </si>
  <si>
    <t>SUMMA AFFÄRSVERKSAMHET</t>
  </si>
  <si>
    <t>Gemensamma lokaler</t>
  </si>
  <si>
    <t>Gemensamma verksamheter</t>
  </si>
  <si>
    <t>TOTALSUMMA</t>
  </si>
  <si>
    <t>Personalkostnader</t>
  </si>
  <si>
    <t xml:space="preserve">Externa varor, tjänster och bidrag  </t>
  </si>
  <si>
    <t>Lokal- och anläggningskostnader</t>
  </si>
  <si>
    <t>Externa intäkter</t>
  </si>
  <si>
    <t xml:space="preserve">Interna </t>
  </si>
  <si>
    <t>BRUTTO-</t>
  </si>
  <si>
    <t>intäkter</t>
  </si>
  <si>
    <t>KOSTNAD</t>
  </si>
  <si>
    <t>kostnad</t>
  </si>
  <si>
    <t>[45]</t>
  </si>
  <si>
    <t>[601]</t>
  </si>
  <si>
    <t>[341]</t>
  </si>
  <si>
    <t>Block 1. POLITISK VERKSAMHET</t>
  </si>
  <si>
    <t>Nämnd- och styrelseverksamhet</t>
  </si>
  <si>
    <t>Kommentarer politisk verksamhet:</t>
  </si>
  <si>
    <t>Stöd till politiska partier</t>
  </si>
  <si>
    <t>Revision</t>
  </si>
  <si>
    <t xml:space="preserve">Övrig politisk verksamhet </t>
  </si>
  <si>
    <t>POLITISK VERKSAMHET, TOTALT</t>
  </si>
  <si>
    <t>Block 2. INFRASTRUKTUR, SKYDD mm</t>
  </si>
  <si>
    <t>Fysisk o.teknisk planering, bostadsförbättr.</t>
  </si>
  <si>
    <t>Näringslivsfrämjande åtgärder</t>
  </si>
  <si>
    <t>Konsument- och energirådgivning</t>
  </si>
  <si>
    <t>Turistverksamhet</t>
  </si>
  <si>
    <t>Beskrivning av nyckeltalen</t>
  </si>
  <si>
    <t>Miljö- och hälsoskydd, myndighetsutövning</t>
  </si>
  <si>
    <t>Miljö- hälsa och hållbar utveckling</t>
  </si>
  <si>
    <t>Alkoholtillstånd m.m.</t>
  </si>
  <si>
    <t xml:space="preserve">Totalförsvar och samhällsskydd  </t>
  </si>
  <si>
    <t>INFRASTRUKTUR, SKYDD mm TOTALT</t>
  </si>
  <si>
    <t>Block 3.  KULTUR OCH FRITID</t>
  </si>
  <si>
    <t>Kulturverksamhet</t>
  </si>
  <si>
    <t>Stöd till studieorganisationer</t>
  </si>
  <si>
    <t>Allmän kulturverksamhet, övrigt</t>
  </si>
  <si>
    <t>Bibliotek</t>
  </si>
  <si>
    <t>Musikskola / kulturskola</t>
  </si>
  <si>
    <t>Kulturverksamhet totalt</t>
  </si>
  <si>
    <t>Fritidsverksamhet</t>
  </si>
  <si>
    <t>Allmän fritidsverksamhet</t>
  </si>
  <si>
    <t>Idrotts- och fritidsanläggningar</t>
  </si>
  <si>
    <t>Fritidsgårdar</t>
  </si>
  <si>
    <t>Fritidsverksamhet, totalt</t>
  </si>
  <si>
    <t xml:space="preserve"> KULTUR OCH FRITID, TOTALT</t>
  </si>
  <si>
    <t>Block 4. PEDAGOGISK VERKSAMHET</t>
  </si>
  <si>
    <t>Öppen förskola</t>
  </si>
  <si>
    <t>Förskola</t>
  </si>
  <si>
    <t>Pedagogisk omsorg</t>
  </si>
  <si>
    <t>Öppen fritidsverksamhet</t>
  </si>
  <si>
    <t>Fritidshem</t>
  </si>
  <si>
    <t>Skolväsendet för barn- o ungdom</t>
  </si>
  <si>
    <t>Gymnasieskola</t>
  </si>
  <si>
    <t xml:space="preserve">Gymnasiesärskola </t>
  </si>
  <si>
    <t>Skolväsendet för barn o ungdom totalt</t>
  </si>
  <si>
    <t>Kommunal vuxenutbildning</t>
  </si>
  <si>
    <t>Högskoleutbildning m.m.</t>
  </si>
  <si>
    <t>Verksamhetens kostnad enligt RR</t>
  </si>
  <si>
    <t>Verksamhetens intäkter enl. RR</t>
  </si>
  <si>
    <t>Verksamhetens kostnader enl. RR</t>
  </si>
  <si>
    <t>Verksamhetens intäkter enl.RR</t>
  </si>
  <si>
    <t xml:space="preserve">Svenska för invandrare </t>
  </si>
  <si>
    <t>Utbildning inkl. förskoleklass</t>
  </si>
  <si>
    <t>PEDAGOGISK VERKSAMH., TOTALT</t>
  </si>
  <si>
    <t>Block 5. VÅRD O OMSORG</t>
  </si>
  <si>
    <t>Primärvård</t>
  </si>
  <si>
    <t>Hälso- och sjukvård, övrigt exkl. hemsjukvård</t>
  </si>
  <si>
    <t xml:space="preserve">Vård, omsorg: äldre och personer med funktionsnedsättning </t>
  </si>
  <si>
    <t>Färdtjänst/riksfärdtjänst</t>
  </si>
  <si>
    <t>Öppen verksamhet</t>
  </si>
  <si>
    <t>VoO: äldre, personer m.funktionsneds., tot.</t>
  </si>
  <si>
    <t xml:space="preserve">Individ- och familjeomsorg               </t>
  </si>
  <si>
    <t>Barn och ungdomsvård</t>
  </si>
  <si>
    <t>Ekonomiskt bistånd</t>
  </si>
  <si>
    <t xml:space="preserve">Individ- och familjeomsorg, totalt </t>
  </si>
  <si>
    <t>Familjerätt och familjerådgivning</t>
  </si>
  <si>
    <t>VÅRD OCH OMSORG, TOTALT</t>
  </si>
  <si>
    <t>Block 6. SÄRSKILT RIKTADE INSATSER</t>
  </si>
  <si>
    <r>
      <t>Insatser till personer med funktionsnedsättning (exkl LSS/SFB</t>
    </r>
    <r>
      <rPr>
        <b/>
        <vertAlign val="superscript"/>
        <sz val="7"/>
        <rFont val="Helvetica"/>
        <family val="2"/>
      </rPr>
      <t>1</t>
    </r>
    <r>
      <rPr>
        <b/>
        <sz val="7"/>
        <rFont val="Helvetica"/>
        <family val="2"/>
      </rPr>
      <t>)</t>
    </r>
  </si>
  <si>
    <t>Flyktingmottagande</t>
  </si>
  <si>
    <t xml:space="preserve">Arbetsmarknadsåtgärder </t>
  </si>
  <si>
    <t>SÄRSKILT RIKTADE INSATSER,TOTALT</t>
  </si>
  <si>
    <t>AFFÄRSVERKSAMHET</t>
  </si>
  <si>
    <t>Näringsliv och bostäder</t>
  </si>
  <si>
    <t>Arbetsområden och lokaler</t>
  </si>
  <si>
    <t>Kommunikationer</t>
  </si>
  <si>
    <t>Flygtrafik</t>
  </si>
  <si>
    <t>Energi, vatten och avfall</t>
  </si>
  <si>
    <t>Elförsörjning + gasförsörjning</t>
  </si>
  <si>
    <t>Energi, vatten och avfall, totalt</t>
  </si>
  <si>
    <t>SUMMA DRIFTVERKSAMHET</t>
  </si>
  <si>
    <t>Nettokostnad gemensamma verksamheter</t>
  </si>
  <si>
    <t>Kommuner</t>
  </si>
  <si>
    <t>Kommunal-</t>
  </si>
  <si>
    <t>Staten och</t>
  </si>
  <si>
    <t>Differens</t>
  </si>
  <si>
    <t xml:space="preserve"> stiftelser</t>
  </si>
  <si>
    <t>företag</t>
  </si>
  <si>
    <t>förbund</t>
  </si>
  <si>
    <t>statl.myndigh.</t>
  </si>
  <si>
    <t>[358]</t>
  </si>
  <si>
    <t xml:space="preserve">Fritidsverksamhet, totalt  </t>
  </si>
  <si>
    <t xml:space="preserve">Gymnasieskola </t>
  </si>
  <si>
    <t xml:space="preserve">Gymnasiesärskola  </t>
  </si>
  <si>
    <t xml:space="preserve"> därav  inst. vård för vuxna med missbruksprob.</t>
  </si>
  <si>
    <t>Övrig Ifo + fam.rätt (rad 571+ 575+585)</t>
  </si>
  <si>
    <t>Arbetsmarknadsåtgärder</t>
  </si>
  <si>
    <t>Summa affärsverksamhet</t>
  </si>
  <si>
    <t>Gemensam verksamhet (inkl. lokaler)</t>
  </si>
  <si>
    <t>Brutto-</t>
  </si>
  <si>
    <t>Nyckeltal</t>
  </si>
  <si>
    <t xml:space="preserve">Interna kostnader </t>
  </si>
  <si>
    <t xml:space="preserve">Fördelning av gemensamma verksamheter </t>
  </si>
  <si>
    <t>Interna intäkter</t>
  </si>
  <si>
    <t>Balanskravsresultat</t>
  </si>
  <si>
    <t>Årets resultat enligt resultaträkningen</t>
  </si>
  <si>
    <t>intäkt</t>
  </si>
  <si>
    <t>Infrastruktur, skydd mm totalt</t>
  </si>
  <si>
    <t>Utlandet</t>
  </si>
  <si>
    <t>-/+ Nedskrivningar/återföring av nedskrivning</t>
  </si>
  <si>
    <t>Anhörigbidrag</t>
  </si>
  <si>
    <t>Sjuklön</t>
  </si>
  <si>
    <t>Vatten och avlopp</t>
  </si>
  <si>
    <t>Öppen förskola och öppen fritidsverksamhet</t>
  </si>
  <si>
    <t>Summa vård och omsorg om äldre</t>
  </si>
  <si>
    <t>Daglig verksamhet enligt LSS</t>
  </si>
  <si>
    <t>Övriga insatser enligt LSS</t>
  </si>
  <si>
    <t>Öppna insatser, individuellt behovsprövad öppen vård</t>
  </si>
  <si>
    <t>Öppna insatser, bistånd som avser boende</t>
  </si>
  <si>
    <t>Öppna insatser, övriga</t>
  </si>
  <si>
    <t>Differens mellan rad 510 (från avd. Drift) och rad 51099</t>
  </si>
  <si>
    <t>Differens mellan rad 520 (från avd. Drift) och rad 52099</t>
  </si>
  <si>
    <t>Differens rad 513 (från avd. Drift) och rad 51399</t>
  </si>
  <si>
    <r>
      <t xml:space="preserve">Konto </t>
    </r>
    <r>
      <rPr>
        <b/>
        <sz val="8"/>
        <rFont val="Helvetica"/>
        <family val="2"/>
      </rPr>
      <t>[354]</t>
    </r>
    <r>
      <rPr>
        <sz val="8"/>
        <rFont val="Helvetica"/>
        <family val="2"/>
      </rPr>
      <t xml:space="preserve"> kommunens ersättning </t>
    </r>
    <r>
      <rPr>
        <b/>
        <sz val="8"/>
        <rFont val="Helvetica"/>
        <family val="2"/>
      </rPr>
      <t>från</t>
    </r>
    <r>
      <rPr>
        <sz val="8"/>
        <rFont val="Helvetica"/>
        <family val="2"/>
      </rPr>
      <t xml:space="preserve"> Försäkringskassan för personlig assistent enligt SFB, tkr</t>
    </r>
  </si>
  <si>
    <r>
      <t xml:space="preserve">Konto </t>
    </r>
    <r>
      <rPr>
        <b/>
        <sz val="8"/>
        <rFont val="Helvetica"/>
        <family val="2"/>
      </rPr>
      <t>[4538]</t>
    </r>
    <r>
      <rPr>
        <sz val="8"/>
        <rFont val="Helvetica"/>
        <family val="2"/>
      </rPr>
      <t xml:space="preserve"> kommunens ersättning</t>
    </r>
    <r>
      <rPr>
        <b/>
        <sz val="8"/>
        <rFont val="Helvetica"/>
        <family val="2"/>
      </rPr>
      <t xml:space="preserve"> till</t>
    </r>
    <r>
      <rPr>
        <sz val="8"/>
        <rFont val="Helvetica"/>
        <family val="2"/>
      </rPr>
      <t xml:space="preserve"> Försäkringskassan för personlig assistent enligt  SFB, tkr</t>
    </r>
  </si>
  <si>
    <t>Familjehemsvård för barn och unga</t>
  </si>
  <si>
    <t>Summa barn- och ungdomsvård</t>
  </si>
  <si>
    <t>Övriga insatser till vuxna</t>
  </si>
  <si>
    <t>Familjerätt</t>
  </si>
  <si>
    <t>Familjerådgivning</t>
  </si>
  <si>
    <t>Summa individ- och familjeomsorg</t>
  </si>
  <si>
    <t>Därav</t>
  </si>
  <si>
    <t>inventarier</t>
  </si>
  <si>
    <t>tekn.anläggn.</t>
  </si>
  <si>
    <t>Näringsl.främj.åtg, turistv.o konsum.-ener.rådg</t>
  </si>
  <si>
    <t>17 [ej 178]</t>
  </si>
  <si>
    <t>Miljö- och hälsoskydd och alkoholtillstånd</t>
  </si>
  <si>
    <t>Totalförsvar och samhällsskydd</t>
  </si>
  <si>
    <t>Infrastruktur, skydd m.m. totalt</t>
  </si>
  <si>
    <t>Kultur och fritid, totalt</t>
  </si>
  <si>
    <r>
      <t>Utbildning</t>
    </r>
    <r>
      <rPr>
        <sz val="7"/>
        <rFont val="Helvetica"/>
        <family val="2"/>
      </rPr>
      <t xml:space="preserve">                                            </t>
    </r>
  </si>
  <si>
    <t>Gymnasieskola inkl gymnasiesärskola</t>
  </si>
  <si>
    <t>Pedagogisk verksamhet, totalt</t>
  </si>
  <si>
    <r>
      <t xml:space="preserve">Vård och omsorg </t>
    </r>
    <r>
      <rPr>
        <sz val="7"/>
        <rFont val="Helvetica"/>
        <family val="2"/>
      </rPr>
      <t xml:space="preserve">                                    
Primärvård</t>
    </r>
  </si>
  <si>
    <t>Individ o familjeomsorg totalt, familjerätt</t>
  </si>
  <si>
    <t xml:space="preserve">Vård och omsorg, totalt                                    </t>
  </si>
  <si>
    <t>Särskilt riktade insatser, totalt</t>
  </si>
  <si>
    <r>
      <t xml:space="preserve">AFFÄRSVERKSAMHET                            
</t>
    </r>
    <r>
      <rPr>
        <b/>
        <sz val="7"/>
        <rFont val="Helvetica"/>
        <family val="2"/>
      </rPr>
      <t xml:space="preserve">Näringsliv och bostäder                   </t>
    </r>
    <r>
      <rPr>
        <sz val="7"/>
        <rFont val="Helvetica"/>
        <family val="2"/>
      </rPr>
      <t>Arbetsområden och lokaler</t>
    </r>
  </si>
  <si>
    <r>
      <t>Kommunikationer</t>
    </r>
    <r>
      <rPr>
        <sz val="7"/>
        <rFont val="Helvetica"/>
        <family val="2"/>
      </rPr>
      <t xml:space="preserve">                                                         Flygtrafik</t>
    </r>
  </si>
  <si>
    <r>
      <t>Energi, vatten och avfall</t>
    </r>
    <r>
      <rPr>
        <sz val="7"/>
        <rFont val="Helvetica"/>
        <family val="2"/>
      </rPr>
      <t xml:space="preserve">                                        
El- och gasförsörjning</t>
    </r>
  </si>
  <si>
    <t>Energi, vatten och avfall,totalt</t>
  </si>
  <si>
    <t>Ange kommunens kostnad för rådgivning och annat personligt stöd enl 9 § punkt 1 LSS, tkr</t>
  </si>
  <si>
    <t>Övriga tilläggsupplysningar</t>
  </si>
  <si>
    <t>EU-bidrag (driftbidrag)</t>
  </si>
  <si>
    <t>Löner</t>
  </si>
  <si>
    <t>Boende enl. LSS för vuxna</t>
  </si>
  <si>
    <t>ägda företag</t>
  </si>
  <si>
    <t>Föreningar,</t>
  </si>
  <si>
    <t>Privata</t>
  </si>
  <si>
    <t xml:space="preserve">Summa öppna insatser vuxna </t>
  </si>
  <si>
    <t>HVB-vård för barn och unga</t>
  </si>
  <si>
    <t>Vård för vuxna med missbruksproblem</t>
  </si>
  <si>
    <r>
      <t xml:space="preserve">Övriga </t>
    </r>
    <r>
      <rPr>
        <b/>
        <sz val="7"/>
        <rFont val="Helvetica"/>
        <family val="2"/>
      </rPr>
      <t/>
    </r>
  </si>
  <si>
    <t>Rad  nr</t>
  </si>
  <si>
    <t>Summa vård för vuxna med missbruksproblem</t>
  </si>
  <si>
    <t xml:space="preserve"> därav  HVB-vård för barn och unga</t>
  </si>
  <si>
    <t xml:space="preserve">Summa öppna insatser för barn och unga </t>
  </si>
  <si>
    <t>178</t>
  </si>
  <si>
    <t>Kalkylerad PO + Kalkylerad kapitalkostn.</t>
  </si>
  <si>
    <t>Interna kostnader</t>
  </si>
  <si>
    <t>Jämförelsestörande kostnader</t>
  </si>
  <si>
    <t>Jämförelsestörande intäkter</t>
  </si>
  <si>
    <t>100</t>
  </si>
  <si>
    <t>110</t>
  </si>
  <si>
    <t>120</t>
  </si>
  <si>
    <t>130</t>
  </si>
  <si>
    <t>190</t>
  </si>
  <si>
    <t>215</t>
  </si>
  <si>
    <t>220</t>
  </si>
  <si>
    <t>230</t>
  </si>
  <si>
    <t>249</t>
  </si>
  <si>
    <t>250</t>
  </si>
  <si>
    <t>261</t>
  </si>
  <si>
    <t>263</t>
  </si>
  <si>
    <t>267</t>
  </si>
  <si>
    <t>270</t>
  </si>
  <si>
    <t>275</t>
  </si>
  <si>
    <t>290</t>
  </si>
  <si>
    <t>310</t>
  </si>
  <si>
    <t>315</t>
  </si>
  <si>
    <t>320</t>
  </si>
  <si>
    <t>330</t>
  </si>
  <si>
    <t>339</t>
  </si>
  <si>
    <t>300</t>
  </si>
  <si>
    <t>340</t>
  </si>
  <si>
    <t>350</t>
  </si>
  <si>
    <t>359</t>
  </si>
  <si>
    <t>390</t>
  </si>
  <si>
    <t>400</t>
  </si>
  <si>
    <t>407</t>
  </si>
  <si>
    <t>412</t>
  </si>
  <si>
    <t>415</t>
  </si>
  <si>
    <t>425</t>
  </si>
  <si>
    <t>430</t>
  </si>
  <si>
    <t>443</t>
  </si>
  <si>
    <t>450</t>
  </si>
  <si>
    <t>453</t>
  </si>
  <si>
    <t>469</t>
  </si>
  <si>
    <t>474</t>
  </si>
  <si>
    <t>475</t>
  </si>
  <si>
    <t>476</t>
  </si>
  <si>
    <t>478</t>
  </si>
  <si>
    <t>480</t>
  </si>
  <si>
    <t>490</t>
  </si>
  <si>
    <t>500</t>
  </si>
  <si>
    <t>505</t>
  </si>
  <si>
    <t>513</t>
  </si>
  <si>
    <t>530</t>
  </si>
  <si>
    <t>600</t>
  </si>
  <si>
    <t>610</t>
  </si>
  <si>
    <t>690</t>
  </si>
  <si>
    <t>790</t>
  </si>
  <si>
    <t>800</t>
  </si>
  <si>
    <t>805</t>
  </si>
  <si>
    <t>810</t>
  </si>
  <si>
    <t>815</t>
  </si>
  <si>
    <t>820</t>
  </si>
  <si>
    <t>830</t>
  </si>
  <si>
    <t>832</t>
  </si>
  <si>
    <t>834</t>
  </si>
  <si>
    <t>840</t>
  </si>
  <si>
    <t>855</t>
  </si>
  <si>
    <t>860</t>
  </si>
  <si>
    <t>865</t>
  </si>
  <si>
    <t>870</t>
  </si>
  <si>
    <t>880</t>
  </si>
  <si>
    <t>890</t>
  </si>
  <si>
    <t>900</t>
  </si>
  <si>
    <t>910</t>
  </si>
  <si>
    <t>920</t>
  </si>
  <si>
    <t>950</t>
  </si>
  <si>
    <t>010</t>
  </si>
  <si>
    <t>020</t>
  </si>
  <si>
    <t>025</t>
  </si>
  <si>
    <t>030</t>
  </si>
  <si>
    <t>040</t>
  </si>
  <si>
    <t>050</t>
  </si>
  <si>
    <t>060</t>
  </si>
  <si>
    <t>070</t>
  </si>
  <si>
    <t>080</t>
  </si>
  <si>
    <t>115</t>
  </si>
  <si>
    <t>015</t>
  </si>
  <si>
    <t>021</t>
  </si>
  <si>
    <t>023</t>
  </si>
  <si>
    <t>036</t>
  </si>
  <si>
    <t>037</t>
  </si>
  <si>
    <t>033</t>
  </si>
  <si>
    <t>032</t>
  </si>
  <si>
    <t>031</t>
  </si>
  <si>
    <t>034</t>
  </si>
  <si>
    <t>035</t>
  </si>
  <si>
    <t>039</t>
  </si>
  <si>
    <t>045</t>
  </si>
  <si>
    <t>046</t>
  </si>
  <si>
    <t>051</t>
  </si>
  <si>
    <t>055</t>
  </si>
  <si>
    <t>053</t>
  </si>
  <si>
    <t>054</t>
  </si>
  <si>
    <t>056</t>
  </si>
  <si>
    <t>065</t>
  </si>
  <si>
    <t>069</t>
  </si>
  <si>
    <t>999</t>
  </si>
  <si>
    <t>052</t>
  </si>
  <si>
    <t>066</t>
  </si>
  <si>
    <t>073</t>
  </si>
  <si>
    <t>074</t>
  </si>
  <si>
    <t>075</t>
  </si>
  <si>
    <t>076</t>
  </si>
  <si>
    <t>071</t>
  </si>
  <si>
    <t>077</t>
  </si>
  <si>
    <t>078</t>
  </si>
  <si>
    <t>079</t>
  </si>
  <si>
    <t>081</t>
  </si>
  <si>
    <t>082</t>
  </si>
  <si>
    <t>083</t>
  </si>
  <si>
    <t>084</t>
  </si>
  <si>
    <t>085</t>
  </si>
  <si>
    <t>089</t>
  </si>
  <si>
    <t>090</t>
  </si>
  <si>
    <t>086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</si>
  <si>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</si>
  <si>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</si>
  <si>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</si>
  <si>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</si>
  <si>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</si>
  <si>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</si>
  <si>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</si>
  <si>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</si>
  <si>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</si>
  <si>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107</t>
  </si>
  <si>
    <t>108</t>
  </si>
  <si>
    <t>121</t>
  </si>
  <si>
    <t>122</t>
  </si>
  <si>
    <t>140</t>
  </si>
  <si>
    <t>150</t>
  </si>
  <si>
    <t>160</t>
  </si>
  <si>
    <t>088</t>
  </si>
  <si>
    <t>101</t>
  </si>
  <si>
    <t>239</t>
  </si>
  <si>
    <t>269</t>
  </si>
  <si>
    <t>459</t>
  </si>
  <si>
    <t>479</t>
  </si>
  <si>
    <t>580</t>
  </si>
  <si>
    <t>590</t>
  </si>
  <si>
    <t>- Avskrivningar</t>
  </si>
  <si>
    <t>+/- Omklassificeringar</t>
  </si>
  <si>
    <t>+/- Övriga förändringar</t>
  </si>
  <si>
    <t>990</t>
  </si>
  <si>
    <t>991</t>
  </si>
  <si>
    <t>992</t>
  </si>
  <si>
    <t>993</t>
  </si>
  <si>
    <t>994</t>
  </si>
  <si>
    <t>995</t>
  </si>
  <si>
    <t>Eget kapital, avsättningar och skulder</t>
  </si>
  <si>
    <t>Verksamhetens intäkter</t>
  </si>
  <si>
    <t>Verksamhetens kostnader</t>
  </si>
  <si>
    <t>Kommunal regi</t>
  </si>
  <si>
    <t>Förskola, personalkostnad andel av total kostnad kommunal regi.</t>
  </si>
  <si>
    <t>Övr periodiseringar</t>
  </si>
  <si>
    <t>381, 382, 384</t>
  </si>
  <si>
    <t>Övriga insatser i ordinärt boende</t>
  </si>
  <si>
    <t>IB Anläggningstillgångar</t>
  </si>
  <si>
    <t>UB Anläggningstillgångar</t>
  </si>
  <si>
    <t>Insatser till personer med funktionsnedsättning (ej LSS/SFB)</t>
  </si>
  <si>
    <t>Insatser enligt LSS/SFB</t>
  </si>
  <si>
    <t>Fritidshem, personalkostnad andel av total kostnad kommunal regi.</t>
  </si>
  <si>
    <t>Förskoleklass, personalkostnad andel av total kostnad kommunal regi.</t>
  </si>
  <si>
    <t>Grundskola</t>
  </si>
  <si>
    <t>Grundläggande vuxenutbildning</t>
  </si>
  <si>
    <t>Gymnasial vuxen- och påbyggnadsutbildning</t>
  </si>
  <si>
    <t>251</t>
  </si>
  <si>
    <t>255</t>
  </si>
  <si>
    <t>257</t>
  </si>
  <si>
    <t>351</t>
  </si>
  <si>
    <t>355</t>
  </si>
  <si>
    <t>357</t>
  </si>
  <si>
    <t>35</t>
  </si>
  <si>
    <t>401</t>
  </si>
  <si>
    <t>402</t>
  </si>
  <si>
    <t>404</t>
  </si>
  <si>
    <t>405</t>
  </si>
  <si>
    <t>406</t>
  </si>
  <si>
    <t>408</t>
  </si>
  <si>
    <t>4081</t>
  </si>
  <si>
    <t>431</t>
  </si>
  <si>
    <t>435</t>
  </si>
  <si>
    <t>439</t>
  </si>
  <si>
    <t>07</t>
  </si>
  <si>
    <t>40</t>
  </si>
  <si>
    <t>43</t>
  </si>
  <si>
    <t>432</t>
  </si>
  <si>
    <t>434</t>
  </si>
  <si>
    <t>436</t>
  </si>
  <si>
    <t>437</t>
  </si>
  <si>
    <t>438</t>
  </si>
  <si>
    <t>4381</t>
  </si>
  <si>
    <t>50</t>
  </si>
  <si>
    <t>501</t>
  </si>
  <si>
    <t>502</t>
  </si>
  <si>
    <t>504</t>
  </si>
  <si>
    <t>506</t>
  </si>
  <si>
    <t>507</t>
  </si>
  <si>
    <t>508</t>
  </si>
  <si>
    <t>5081</t>
  </si>
  <si>
    <t>53</t>
  </si>
  <si>
    <t>531</t>
  </si>
  <si>
    <t>532</t>
  </si>
  <si>
    <t>534</t>
  </si>
  <si>
    <t>535</t>
  </si>
  <si>
    <t>536</t>
  </si>
  <si>
    <t>537</t>
  </si>
  <si>
    <t>538</t>
  </si>
  <si>
    <t>5381</t>
  </si>
  <si>
    <t>70</t>
  </si>
  <si>
    <t>701</t>
  </si>
  <si>
    <t>702</t>
  </si>
  <si>
    <t>706</t>
  </si>
  <si>
    <t>707</t>
  </si>
  <si>
    <t>708</t>
  </si>
  <si>
    <t>7081</t>
  </si>
  <si>
    <t>72</t>
  </si>
  <si>
    <t>721</t>
  </si>
  <si>
    <t>722</t>
  </si>
  <si>
    <t>726</t>
  </si>
  <si>
    <t>727</t>
  </si>
  <si>
    <t>728</t>
  </si>
  <si>
    <t>7281</t>
  </si>
  <si>
    <t>520</t>
  </si>
  <si>
    <t>510</t>
  </si>
  <si>
    <t>Hälso- o sjukvård, primärvård  (rad 500+505)</t>
  </si>
  <si>
    <t>Övrig utbildning (rad 475+476+478)</t>
  </si>
  <si>
    <t xml:space="preserve">Institutionsvård vuxna </t>
  </si>
  <si>
    <t>569</t>
  </si>
  <si>
    <t>559</t>
  </si>
  <si>
    <t>575</t>
  </si>
  <si>
    <t>571</t>
  </si>
  <si>
    <t xml:space="preserve">Korttidsboende </t>
  </si>
  <si>
    <t>Hemtjänst i ordinärt  boende</t>
  </si>
  <si>
    <t>Dagverksamhet,  ordinärt boende</t>
  </si>
  <si>
    <t>Hemtjänst i ordinärt boende</t>
  </si>
  <si>
    <t>Boendestöd i ordinärt boende</t>
  </si>
  <si>
    <t>585</t>
  </si>
  <si>
    <t>103</t>
  </si>
  <si>
    <t>Summering</t>
  </si>
  <si>
    <t>Försäljning av exploateringsfastigheter, tomträtter</t>
  </si>
  <si>
    <r>
      <t>Insatser enligt LSS/SFB</t>
    </r>
    <r>
      <rPr>
        <b/>
        <vertAlign val="superscript"/>
        <sz val="7"/>
        <rFont val="Helvetica"/>
        <family val="2"/>
      </rPr>
      <t>1</t>
    </r>
  </si>
  <si>
    <t xml:space="preserve">Insatser till personer med funktionneds. </t>
  </si>
  <si>
    <t>Övriga periodiseringar</t>
  </si>
  <si>
    <t>901</t>
  </si>
  <si>
    <t>Övrigt</t>
  </si>
  <si>
    <t>Verksamhet/skolform</t>
  </si>
  <si>
    <t/>
  </si>
  <si>
    <t>0799</t>
  </si>
  <si>
    <t>07991</t>
  </si>
  <si>
    <t>Därav avgifter för verksamhet i enskild regi</t>
  </si>
  <si>
    <t>Nyckeltal kr/inv</t>
  </si>
  <si>
    <t>Däravposter till kommunernas tillgångar</t>
  </si>
  <si>
    <t>Externa lokalhyror</t>
  </si>
  <si>
    <t>Interna köp och övriga interna kostnader</t>
  </si>
  <si>
    <t>Fördelad gemensam verksamhet</t>
  </si>
  <si>
    <t>Externa bostadshyror o lokalhyror</t>
  </si>
  <si>
    <t>Övriga externa intäkter</t>
  </si>
  <si>
    <t>Föreningar stiftelser</t>
  </si>
  <si>
    <t>Privata företag</t>
  </si>
  <si>
    <t>Staten och statl. myndigheter</t>
  </si>
  <si>
    <t>Driftbidrag från EU</t>
  </si>
  <si>
    <t>Markhyror och bidrag</t>
  </si>
  <si>
    <t>BRUTTO-KOSTNAD</t>
  </si>
  <si>
    <t>BRUTTO-INTÄKT</t>
  </si>
  <si>
    <t>Rad- nr</t>
  </si>
  <si>
    <t>440</t>
  </si>
  <si>
    <t>Förskoleklass</t>
  </si>
  <si>
    <t>Särskilt boende/annat boende</t>
  </si>
  <si>
    <t>Realiserade valutakursvinster</t>
  </si>
  <si>
    <t>986</t>
  </si>
  <si>
    <t>987</t>
  </si>
  <si>
    <t>988</t>
  </si>
  <si>
    <t>989</t>
  </si>
  <si>
    <t>470</t>
  </si>
  <si>
    <t>472</t>
  </si>
  <si>
    <t>Upplupna skatteintäkter</t>
  </si>
  <si>
    <t>Vård och omsorg om äldre</t>
  </si>
  <si>
    <t xml:space="preserve">Vård för vuxna med missbruksproblem </t>
  </si>
  <si>
    <t xml:space="preserve">Barn- och ungdomsvård </t>
  </si>
  <si>
    <t xml:space="preserve">Familjerätt och familjerådgivning </t>
  </si>
  <si>
    <t>Kommun-</t>
  </si>
  <si>
    <t>+ Reavinst</t>
  </si>
  <si>
    <t>Kommunägda företag</t>
  </si>
  <si>
    <t>Familjehemsvård för vuxna</t>
  </si>
  <si>
    <t xml:space="preserve"> Avgifter</t>
  </si>
  <si>
    <t>Kalkylerad personal-omkostnad</t>
  </si>
  <si>
    <t>Kalkylerade kapital-kostnader</t>
  </si>
  <si>
    <t>540</t>
  </si>
  <si>
    <t>519</t>
  </si>
  <si>
    <t>Insatser till personer med funktionsnedsättning totalt (inkl LSS)</t>
  </si>
  <si>
    <t>Från driftredovis-ningen</t>
  </si>
  <si>
    <t xml:space="preserve"> Undervisning</t>
  </si>
  <si>
    <t>Skolskjuts, reseersättning o inackordering</t>
  </si>
  <si>
    <t xml:space="preserve"> Fördelad gemensam verksamhet</t>
  </si>
  <si>
    <t>Undervisning</t>
  </si>
  <si>
    <t>Differens grundskolan</t>
  </si>
  <si>
    <t>Differens grundsärskolan</t>
  </si>
  <si>
    <t>Differens gymnasieskolan</t>
  </si>
  <si>
    <t>Differens gymnasiesärskolan</t>
  </si>
  <si>
    <t>Differens grundläggande vuxenutbildning</t>
  </si>
  <si>
    <t>Differens gymnasial vuxenutbildning</t>
  </si>
  <si>
    <t>Differens mot drift-  redovisningen</t>
  </si>
  <si>
    <t>Vård och omsorg om äldre (från motpart)</t>
  </si>
  <si>
    <t>inv 21-64 år</t>
  </si>
  <si>
    <t>Summa familjerätt och familjerådgivning</t>
  </si>
  <si>
    <t>inv 0-20 år</t>
  </si>
  <si>
    <t>invånare</t>
  </si>
  <si>
    <t>inv 0-17 år</t>
  </si>
  <si>
    <t>inv 18-69 år</t>
  </si>
  <si>
    <t>Finansiella nyckeltal</t>
  </si>
  <si>
    <t>Försäljn.av anl.tillg. i % av skatteintäkter, generella statsbidrag o utj.</t>
  </si>
  <si>
    <t>Andel investeringar som finansieras med försäljn. av anl.tillg.</t>
  </si>
  <si>
    <t>Måltider</t>
  </si>
  <si>
    <t>http://www.scb.se/rskommuner</t>
  </si>
  <si>
    <t>Förskola, avgiftsfinansierringsgrad %</t>
  </si>
  <si>
    <t>Fritidshem, avgiftsfinansieringsgrad</t>
  </si>
  <si>
    <t>Soliditet, % enligt balansräkningen</t>
  </si>
  <si>
    <t>Soliditet, % inkl. pensionsåtaganden före 1998</t>
  </si>
  <si>
    <t>Långfristiga skulder exkl. utlåning till kommunägda bolag</t>
  </si>
  <si>
    <t>Verksamhetens nettokostnader / Skatteintäkter, generella statsbidrag och utj.</t>
  </si>
  <si>
    <t>Finansnetto / Skatteintäkter, generella statsbidrag och utjämning</t>
  </si>
  <si>
    <t>Förutbet. kostnader o uppl. Intäkter, exkl.uppl skatteint.</t>
  </si>
  <si>
    <t>Verksamhetens självfinansieringsgrad</t>
  </si>
  <si>
    <t>Förs. expl.fastigheter, tomträtter [37]</t>
  </si>
  <si>
    <t>Interna lokal-kostnader</t>
  </si>
  <si>
    <t>Utlämnade lån till koncernföretag  (rad 088)</t>
  </si>
  <si>
    <t xml:space="preserve">Därav från gemensamma verksamheter  </t>
  </si>
  <si>
    <t xml:space="preserve">Boende enligt LSS för barn och unga </t>
  </si>
  <si>
    <t>Förskola, fritidshem och annan pedagogisk verksamhet</t>
  </si>
  <si>
    <t>Därav lokalkostnader</t>
  </si>
  <si>
    <t>Lokalkostnader</t>
  </si>
  <si>
    <t>Invånarantal 19 - 64</t>
  </si>
  <si>
    <t>Förskola, totalt</t>
  </si>
  <si>
    <t>Fritidshem, totalt</t>
  </si>
  <si>
    <t>Förskoleklass, totalt</t>
  </si>
  <si>
    <t>Grundskola, totalt</t>
  </si>
  <si>
    <t>Gymnasieskola, totalt</t>
  </si>
  <si>
    <t>Gymnasiesärskola, totalt</t>
  </si>
  <si>
    <t>Specificering av vissa intäkter (i kol.övr. externa intäkter)</t>
  </si>
  <si>
    <t>Grundläggande vuxenutbildning, totalt</t>
  </si>
  <si>
    <t>Gymnasial vuxen- och påbyggnadsutbildning, totalt</t>
  </si>
  <si>
    <t>1321</t>
  </si>
  <si>
    <t>Rad nr</t>
  </si>
  <si>
    <t>5731</t>
  </si>
  <si>
    <t>5732</t>
  </si>
  <si>
    <t>07911</t>
  </si>
  <si>
    <t>07912</t>
  </si>
  <si>
    <t>07951</t>
  </si>
  <si>
    <t>2599</t>
  </si>
  <si>
    <t>25991</t>
  </si>
  <si>
    <t>253</t>
  </si>
  <si>
    <t>3521</t>
  </si>
  <si>
    <t>3522</t>
  </si>
  <si>
    <t>4091</t>
  </si>
  <si>
    <t>4092</t>
  </si>
  <si>
    <t>4094</t>
  </si>
  <si>
    <t>4391</t>
  </si>
  <si>
    <t>4392</t>
  </si>
  <si>
    <t>4393</t>
  </si>
  <si>
    <t>4394</t>
  </si>
  <si>
    <t>3524</t>
  </si>
  <si>
    <t>2524</t>
  </si>
  <si>
    <t>0724</t>
  </si>
  <si>
    <t>5091</t>
  </si>
  <si>
    <t>5092</t>
  </si>
  <si>
    <t>5093</t>
  </si>
  <si>
    <t>5094</t>
  </si>
  <si>
    <t>5391</t>
  </si>
  <si>
    <t>5392</t>
  </si>
  <si>
    <t>5393</t>
  </si>
  <si>
    <t>5394</t>
  </si>
  <si>
    <t>Beteckning</t>
  </si>
  <si>
    <t>Grundsärskola, totalt</t>
  </si>
  <si>
    <t>87</t>
  </si>
  <si>
    <t>25911</t>
  </si>
  <si>
    <t>25912</t>
  </si>
  <si>
    <t>25951</t>
  </si>
  <si>
    <t>88</t>
  </si>
  <si>
    <t>35911</t>
  </si>
  <si>
    <t>35912</t>
  </si>
  <si>
    <t>35951</t>
  </si>
  <si>
    <t>89</t>
  </si>
  <si>
    <t>80</t>
  </si>
  <si>
    <t>40911</t>
  </si>
  <si>
    <t>40912</t>
  </si>
  <si>
    <t>40931</t>
  </si>
  <si>
    <t>90</t>
  </si>
  <si>
    <t>81</t>
  </si>
  <si>
    <t>43911</t>
  </si>
  <si>
    <t>43912</t>
  </si>
  <si>
    <t>43921</t>
  </si>
  <si>
    <t>43931</t>
  </si>
  <si>
    <t>91</t>
  </si>
  <si>
    <t>82</t>
  </si>
  <si>
    <t>50911</t>
  </si>
  <si>
    <t>50912</t>
  </si>
  <si>
    <t>50921</t>
  </si>
  <si>
    <t>50931</t>
  </si>
  <si>
    <t>92</t>
  </si>
  <si>
    <t>83</t>
  </si>
  <si>
    <t>53911</t>
  </si>
  <si>
    <t>53912</t>
  </si>
  <si>
    <t>53921</t>
  </si>
  <si>
    <t>53931</t>
  </si>
  <si>
    <t>Kommentarer utbildning inkl. förskoleklass:</t>
  </si>
  <si>
    <t>Grundsärskola</t>
  </si>
  <si>
    <r>
      <t>Summa insatser till personer med funktionsnedsättning (exkl LSS/SFB</t>
    </r>
    <r>
      <rPr>
        <b/>
        <vertAlign val="superscript"/>
        <sz val="7"/>
        <rFont val="Helvetica"/>
        <family val="2"/>
      </rPr>
      <t>1</t>
    </r>
    <r>
      <rPr>
        <b/>
        <sz val="7"/>
        <rFont val="Helvetica"/>
        <family val="2"/>
      </rPr>
      <t>)</t>
    </r>
  </si>
  <si>
    <r>
      <t xml:space="preserve">Insatser enligt LSS/SFB </t>
    </r>
    <r>
      <rPr>
        <b/>
        <sz val="7"/>
        <rFont val="Calibri"/>
        <family val="2"/>
      </rPr>
      <t>¹</t>
    </r>
    <r>
      <rPr>
        <b/>
        <vertAlign val="superscript"/>
        <sz val="7"/>
        <rFont val="Calibri"/>
        <family val="2"/>
      </rPr>
      <t>,2</t>
    </r>
    <r>
      <rPr>
        <b/>
        <sz val="7"/>
        <rFont val="Calibri"/>
        <family val="2"/>
      </rPr>
      <t>)</t>
    </r>
  </si>
  <si>
    <r>
      <t>Personlig assistans enl. LSS/SFB</t>
    </r>
    <r>
      <rPr>
        <vertAlign val="superscript"/>
        <sz val="7"/>
        <rFont val="Helvetica"/>
        <family val="2"/>
      </rPr>
      <t>1</t>
    </r>
  </si>
  <si>
    <r>
      <t>Summa insatser enligt LSS/SFB</t>
    </r>
    <r>
      <rPr>
        <b/>
        <vertAlign val="superscript"/>
        <sz val="7"/>
        <rFont val="Helvetica"/>
        <family val="2"/>
      </rPr>
      <t>1</t>
    </r>
  </si>
  <si>
    <t>2) Kostnaderna och intäkterna för LSS bruttoredovisas liksom övriga verksamheter</t>
  </si>
  <si>
    <t>Skattekostnader/bokslutsdispositioner</t>
  </si>
  <si>
    <t>1) De bestämmelser om personlig assistans som tidigare fanns i LASS är fr.o.m. år 2011 inordnade i Socialförsäkringsbalken (SFB, 51 kap.).</t>
  </si>
  <si>
    <r>
      <t>Omsättningstillgångar</t>
    </r>
    <r>
      <rPr>
        <sz val="7"/>
        <rFont val="Helvetica"/>
        <family val="2"/>
      </rPr>
      <t xml:space="preserve">                                       </t>
    </r>
  </si>
  <si>
    <t>Rad-</t>
  </si>
  <si>
    <t>Text</t>
  </si>
  <si>
    <t>Kommunen</t>
  </si>
  <si>
    <t>nr</t>
  </si>
  <si>
    <t>Verksamhetens nettokostnader</t>
  </si>
  <si>
    <t>Skatteintäkter</t>
  </si>
  <si>
    <t>Finansiella intäkter</t>
  </si>
  <si>
    <t>Finansiella kostnader</t>
  </si>
  <si>
    <t>Årets resultat</t>
  </si>
  <si>
    <t>Rad</t>
  </si>
  <si>
    <t>Anläggningstillgångar</t>
  </si>
  <si>
    <t>Immateriella anläggningstillgångar</t>
  </si>
  <si>
    <t>Mark, byggn. och tekn. anläggningar</t>
  </si>
  <si>
    <t>Maskiner och inventarier</t>
  </si>
  <si>
    <t>Summa materiella anläggningstillg.</t>
  </si>
  <si>
    <t>Aktier och andelar, bostadsrätter</t>
  </si>
  <si>
    <t>Långfristiga fordringar</t>
  </si>
  <si>
    <t>Summa finansiella anläggningstillg.</t>
  </si>
  <si>
    <t>Summering av verksamhetens intäkter</t>
  </si>
  <si>
    <t>Summering av verksamhetens kostnader</t>
  </si>
  <si>
    <t>SUMMA ANLÄGGNINGSTILLGÅNGAR</t>
  </si>
  <si>
    <t>15</t>
  </si>
  <si>
    <t>Kundfordringar</t>
  </si>
  <si>
    <t>16</t>
  </si>
  <si>
    <t>Diverse kortfristiga fordringar</t>
  </si>
  <si>
    <t>165</t>
  </si>
  <si>
    <t>182</t>
  </si>
  <si>
    <t>Aktier och andelar</t>
  </si>
  <si>
    <t>183</t>
  </si>
  <si>
    <t>Obligationer, förlagsbevis m.m.</t>
  </si>
  <si>
    <t>184</t>
  </si>
  <si>
    <t>Certifikat</t>
  </si>
  <si>
    <t>14-19</t>
  </si>
  <si>
    <t>SUMMA OMSÄTTNINGSTILLG.</t>
  </si>
  <si>
    <t>10-19</t>
  </si>
  <si>
    <t>SUMMA TILLGÅNGAR</t>
  </si>
  <si>
    <t>Eget kapital, ingående värde</t>
  </si>
  <si>
    <t>221</t>
  </si>
  <si>
    <t>222</t>
  </si>
  <si>
    <t>225</t>
  </si>
  <si>
    <t>228</t>
  </si>
  <si>
    <t>Andra avsättningar</t>
  </si>
  <si>
    <t>2281</t>
  </si>
  <si>
    <t>SUMMA AVSÄTTNINGAR</t>
  </si>
  <si>
    <t>Lån i banker och kreditinstitut</t>
  </si>
  <si>
    <t>Lån i utländsk valuta</t>
  </si>
  <si>
    <t>Långfristiga skulder till koncernföretag</t>
  </si>
  <si>
    <t>237</t>
  </si>
  <si>
    <t>Långfristig leasingskuld</t>
  </si>
  <si>
    <t>Långfristiga skulder, totalt</t>
  </si>
  <si>
    <t>24</t>
  </si>
  <si>
    <t>Kortfristiga skulder till kreditinstitut och kunder</t>
  </si>
  <si>
    <t>25</t>
  </si>
  <si>
    <t>Leverantörsskulder</t>
  </si>
  <si>
    <t>Skulder till staten</t>
  </si>
  <si>
    <t>292</t>
  </si>
  <si>
    <t>Upplupna semesterlöner</t>
  </si>
  <si>
    <t>2933</t>
  </si>
  <si>
    <t>296</t>
  </si>
  <si>
    <t>Not 1</t>
  </si>
  <si>
    <t>Not 2</t>
  </si>
  <si>
    <t>Övriga kortfristiga skulder</t>
  </si>
  <si>
    <t>24-29</t>
  </si>
  <si>
    <t>Kortfristiga skulder, totalt</t>
  </si>
  <si>
    <t>23-29</t>
  </si>
  <si>
    <t>SUMMA SKULDER</t>
  </si>
  <si>
    <t>20,22-29</t>
  </si>
  <si>
    <t>SKULDER, AVSÄTT.O EGET KAPITAL</t>
  </si>
  <si>
    <t>Borgen o andra förpliktelser gentemot kommunala bostadsföretag</t>
  </si>
  <si>
    <t>Borgen o andra förplikt. gentemot övriga bostadsföretag/föreningar</t>
  </si>
  <si>
    <t>Borgen o andra förpliktelser gentemot övriga kommunala företag</t>
  </si>
  <si>
    <t>SUMMA ANSVARSFÖRBINDELSER</t>
  </si>
  <si>
    <t>Förrättnings- och granskningsavgifter</t>
  </si>
  <si>
    <t>Taxor och avgifter, övrigt</t>
  </si>
  <si>
    <t>Taxor och avgifter</t>
  </si>
  <si>
    <t>Bostads- och lokalhyror</t>
  </si>
  <si>
    <t>Markhyror och arrenden mm.</t>
  </si>
  <si>
    <t>343-349</t>
  </si>
  <si>
    <t>Hyror och arrenden</t>
  </si>
  <si>
    <t>Bidrag</t>
  </si>
  <si>
    <t>Bidrag till enskilda</t>
  </si>
  <si>
    <t>Bostadssociala bidrag</t>
  </si>
  <si>
    <t>Löner mm.</t>
  </si>
  <si>
    <t>Personal</t>
  </si>
  <si>
    <t>Livsmedel</t>
  </si>
  <si>
    <t>Kontorsmaterial</t>
  </si>
  <si>
    <t>Material, övrigt</t>
  </si>
  <si>
    <t>Material</t>
  </si>
  <si>
    <t>Tele-, It-kommunikation o. postbefordran</t>
  </si>
  <si>
    <t>Markhyror</t>
  </si>
  <si>
    <t>Tjänster, övrigt</t>
  </si>
  <si>
    <t>Tjänster, inkl köp av verksamhet</t>
  </si>
  <si>
    <t>Allmän kommunalskatt</t>
  </si>
  <si>
    <t>Inkomstutjämningsavgift</t>
  </si>
  <si>
    <t>Regleringsavgift</t>
  </si>
  <si>
    <t>Kostnadsutjämningsavgift</t>
  </si>
  <si>
    <t>Avgift till LSS-utjämningen</t>
  </si>
  <si>
    <t>Avgifter i utjämningssystemen</t>
  </si>
  <si>
    <t>Inkomstutjämningsbidrag</t>
  </si>
  <si>
    <t>Strukturbidrag</t>
  </si>
  <si>
    <t>Införandebidrag</t>
  </si>
  <si>
    <t>Regleringsbidrag</t>
  </si>
  <si>
    <t>Kostnadsutjämningsbidrag</t>
  </si>
  <si>
    <t>Bidrag för LSS-utjämning</t>
  </si>
  <si>
    <t>Bidrag från utjämningssystemen och generella statliga bidrag</t>
  </si>
  <si>
    <t>Utdelning på aktier och andelar</t>
  </si>
  <si>
    <t>Ränteintäkter</t>
  </si>
  <si>
    <t>Ränteintäkter på kundfordringar</t>
  </si>
  <si>
    <t>855, 857</t>
  </si>
  <si>
    <t>U</t>
  </si>
  <si>
    <t>V</t>
  </si>
  <si>
    <t>W</t>
  </si>
  <si>
    <t>X</t>
  </si>
  <si>
    <t>Z</t>
  </si>
  <si>
    <t>ZF</t>
  </si>
  <si>
    <t>ZM</t>
  </si>
  <si>
    <t>Y</t>
  </si>
  <si>
    <t>YJ</t>
  </si>
  <si>
    <t>Koncernen</t>
  </si>
  <si>
    <t xml:space="preserve">Orealiserade valutakursvinster  </t>
  </si>
  <si>
    <t>Tillgångar</t>
  </si>
  <si>
    <t>Förråd, lager, exploateringsfastigh.</t>
  </si>
  <si>
    <t>1351</t>
  </si>
  <si>
    <t>246</t>
  </si>
  <si>
    <t>Årets resultat / Skatteintäkter, generella statsbidrag och utj.</t>
  </si>
  <si>
    <t>Investeringar i % av skatteintäkter, generella statsbidrag och utj.</t>
  </si>
  <si>
    <t>Grundskola inkl förskoleklass och grundsärskola</t>
  </si>
  <si>
    <t xml:space="preserve">Bidrag från utjämningssystemen och generella </t>
  </si>
  <si>
    <t>statliga bidrag</t>
  </si>
  <si>
    <t xml:space="preserve">Realiserade valutakursförluster </t>
  </si>
  <si>
    <t>Orealiserade valutakursförluster</t>
  </si>
  <si>
    <t xml:space="preserve">Verksamhetens intäkter </t>
  </si>
  <si>
    <t xml:space="preserve">Verksamhetens kostnader </t>
  </si>
  <si>
    <t>Däravposter till verksamhetens kostnader</t>
  </si>
  <si>
    <t>Förändring</t>
  </si>
  <si>
    <t>procent</t>
  </si>
  <si>
    <t>Borgensförbindelser och övriga ansvarsförbindelser</t>
  </si>
  <si>
    <t xml:space="preserve">Förskola, fritidshem o annan ped.verksamhet totalt </t>
  </si>
  <si>
    <t>Förskola, fritidshem o annan pedagogisk verksamhet, totalt</t>
  </si>
  <si>
    <t>Investeringar fördelade på verksamheter (1000 tal kr)</t>
  </si>
  <si>
    <t xml:space="preserve">Korttidsboende / Korttidsvård </t>
  </si>
  <si>
    <t>Elevhälsa</t>
  </si>
  <si>
    <t>563 [ej 5635]</t>
  </si>
  <si>
    <t>del av 15</t>
  </si>
  <si>
    <t>del av 25</t>
  </si>
  <si>
    <t>30, 369</t>
  </si>
  <si>
    <t>Övriga hyror och arrenden</t>
  </si>
  <si>
    <t>Däravposter till verksamhetens intäkter</t>
  </si>
  <si>
    <t>Försäljning av verksamhet, motpart kommun</t>
  </si>
  <si>
    <t>4541</t>
  </si>
  <si>
    <t>Förändring av avsättning</t>
  </si>
  <si>
    <t>Försäljningsintäker,  övriga ersättningar och intäkter</t>
  </si>
  <si>
    <t>Särsk. löneskatt, exkl. särsk.lönesk.pens.avs.</t>
  </si>
  <si>
    <t>Försäljn. av verksamheter och tjänster</t>
  </si>
  <si>
    <t>Bidrag till föreningar, komm.förb., företag m.fl.</t>
  </si>
  <si>
    <t>Lämnade bidrag</t>
  </si>
  <si>
    <t>Pensionsförsäkringspremier</t>
  </si>
  <si>
    <t>Köp av huvudverksamhet</t>
  </si>
  <si>
    <t>Reparation och underhåll</t>
  </si>
  <si>
    <t>Avsättning för särskild löneskatt på pensioner</t>
  </si>
  <si>
    <t>Upplupen pensionskostnad avgiftsbestämd ålderspension</t>
  </si>
  <si>
    <t>761</t>
  </si>
  <si>
    <t>Kommunal fastighetsavgift</t>
  </si>
  <si>
    <t>Förbrukningsinventarier</t>
  </si>
  <si>
    <t>Räntekostnader</t>
  </si>
  <si>
    <t>Aktier, andelar och bostadsrätter [132, 137]</t>
  </si>
  <si>
    <t xml:space="preserve">Köp av huvud-verksamhet </t>
  </si>
  <si>
    <t>[30, 34 ej 341, 35-36</t>
  </si>
  <si>
    <t>Lämnade bidrag  [45]</t>
  </si>
  <si>
    <t>Mortpart 85</t>
  </si>
  <si>
    <t>Extern motpart, interv.5-7</t>
  </si>
  <si>
    <t>Motpart 87</t>
  </si>
  <si>
    <t>Motpart 82</t>
  </si>
  <si>
    <t>Motpart 84</t>
  </si>
  <si>
    <t>Motpart 81</t>
  </si>
  <si>
    <t>Motpart 86</t>
  </si>
  <si>
    <t>Motpart 83</t>
  </si>
  <si>
    <t>Extern motpart interv. 9</t>
  </si>
  <si>
    <t>[361]                       Motpart 84</t>
  </si>
  <si>
    <t>[351]                       Motpart 81</t>
  </si>
  <si>
    <t xml:space="preserve">därav </t>
  </si>
  <si>
    <t>Köp av huvud-</t>
  </si>
  <si>
    <t>238</t>
  </si>
  <si>
    <t>232, 239</t>
  </si>
  <si>
    <t>Uppl.särsk.lönesk.avgiftsbest.ålderspens.</t>
  </si>
  <si>
    <t>Upplupna sociala avgifter</t>
  </si>
  <si>
    <t>Bränsle, energi och vatten, Drivmedel</t>
  </si>
  <si>
    <t>62, 691</t>
  </si>
  <si>
    <t>361, 363, 365</t>
  </si>
  <si>
    <t>Övriga främmande tjänster</t>
  </si>
  <si>
    <t>781, 782,784</t>
  </si>
  <si>
    <t>Pensionsutbetalningar intjänade fr.o.m.98</t>
  </si>
  <si>
    <t>Pensutbetalningar intjänade före 98</t>
  </si>
  <si>
    <t>Pens.utbet. särsk. avtalspens., visstidspens.</t>
  </si>
  <si>
    <t>Generella bidrag från staten  m.m.</t>
  </si>
  <si>
    <t>[46]</t>
  </si>
  <si>
    <t>Köp av huvudverksamhet [46]</t>
  </si>
  <si>
    <t>verksamhet [46]</t>
  </si>
  <si>
    <t>617, 618</t>
  </si>
  <si>
    <t>63, 695</t>
  </si>
  <si>
    <t>[55x1, 5597, 60,"ej 601", 61"ej 617,618", 63, 66, 68, 69"ej 691", 70-72, 731-734, 74, 75, 76, 787</t>
  </si>
  <si>
    <t>Kostn.avs. ersättning för pers. assistenter</t>
  </si>
  <si>
    <t>361, 363</t>
  </si>
  <si>
    <t>361</t>
  </si>
  <si>
    <t>Därav köp av huvudverksamhet</t>
  </si>
  <si>
    <t>Motpartsredovisning av köp av huvudverksamhet [46]</t>
  </si>
  <si>
    <t>341</t>
  </si>
  <si>
    <t>651</t>
  </si>
  <si>
    <t>317</t>
  </si>
  <si>
    <t>327</t>
  </si>
  <si>
    <t>087</t>
  </si>
  <si>
    <t>062</t>
  </si>
  <si>
    <t>064</t>
  </si>
  <si>
    <t>Not 1: 26-27 (ej 271), 289, 29 (ej 292, 293, 296, 298)</t>
  </si>
  <si>
    <t xml:space="preserve">6192, 692, 696 </t>
  </si>
  <si>
    <r>
      <rPr>
        <b/>
        <sz val="7"/>
        <rFont val="Helvetica"/>
        <family val="2"/>
      </rPr>
      <t>Not 2</t>
    </r>
    <r>
      <rPr>
        <sz val="7"/>
        <rFont val="Helvetica"/>
        <family val="2"/>
      </rPr>
      <t>: 55x1, 5597, 61 ej [617, 618, 6192], 699, 70 ej 701, 71-72</t>
    </r>
  </si>
  <si>
    <t>Differens mellan summan av rad 900-984 och RR rad 070</t>
  </si>
  <si>
    <t>[40"ej 401", 41, 43, 617, 618, 62, 64-65, 691]</t>
  </si>
  <si>
    <t>Enskilda personer, hushåll</t>
  </si>
  <si>
    <t>Staten, statl. Myndigheter (inkl.FK)</t>
  </si>
  <si>
    <t>[342, 351 [ej mot-part 81], 354, 356, 357, 359]</t>
  </si>
  <si>
    <t xml:space="preserve"> [30, 34 ej 341, 35-36] </t>
  </si>
  <si>
    <t>Externa bostadshyror och lokalhyror</t>
  </si>
  <si>
    <t>inkomster</t>
  </si>
  <si>
    <t>Avsättningar för pensioner och liknande förpliktelser</t>
  </si>
  <si>
    <t>Avsättningar för särskild avtalspens, visstidspens.o liknande</t>
  </si>
  <si>
    <t>Reaförluster o div. period. [78 "ej 787,"]</t>
  </si>
  <si>
    <t>138</t>
  </si>
  <si>
    <t>Grundfondskapital</t>
  </si>
  <si>
    <t>133, 134</t>
  </si>
  <si>
    <t>132, 137</t>
  </si>
  <si>
    <t>104</t>
  </si>
  <si>
    <t>31 [ej 311, 312]</t>
  </si>
  <si>
    <t>[31]</t>
  </si>
  <si>
    <t>Buss, bil och spårbundna persontransporter</t>
  </si>
  <si>
    <t>Väg- och järnvägsnät, parkering</t>
  </si>
  <si>
    <t xml:space="preserve">Lärverktyg </t>
  </si>
  <si>
    <t>Varor m.m.</t>
  </si>
  <si>
    <t>Kommun-                  nyckel</t>
  </si>
  <si>
    <t>SCB-             nyckel</t>
  </si>
  <si>
    <t xml:space="preserve">             Fördelning i kolumnen kommunnyckel </t>
  </si>
  <si>
    <t xml:space="preserve">             Fördelning i kolumnen SCB-nyckel</t>
  </si>
  <si>
    <t>20</t>
  </si>
  <si>
    <t>EGET KAPITAL, utgående värde</t>
  </si>
  <si>
    <t xml:space="preserve">        därav Resultatutjämningsreserv</t>
  </si>
  <si>
    <t>Invånarantal 1-5 år</t>
  </si>
  <si>
    <t>Invånarantal 6-12 år</t>
  </si>
  <si>
    <t>Invånarantal 6 år</t>
  </si>
  <si>
    <t>Invånarantal 7-15 år</t>
  </si>
  <si>
    <t>Invånarantal 16-18 år</t>
  </si>
  <si>
    <t>Särskild utbildning för vuxna</t>
  </si>
  <si>
    <t>Förskola, kostnad per invånare 1-5 år</t>
  </si>
  <si>
    <t>Förskola, kostnad per invånare 1-5 år kommunal regi</t>
  </si>
  <si>
    <t>Förskola, kostnad för lokaler/invånare 1-5 år kommunal regi</t>
  </si>
  <si>
    <t>Förskola, köp av platser i annan kommun per invånare 1-5 år</t>
  </si>
  <si>
    <t>Förskola, försäljning av platser till annan kommun per invånare 1-5 år</t>
  </si>
  <si>
    <t>Förskola, köp av platser i enskild regi per invånare 1-5 år</t>
  </si>
  <si>
    <t>Kostnad per invånare 16-18 år kommunal regi.</t>
  </si>
  <si>
    <t>Kostnad per invånare 16-18 år för undervisning kommunal regi.</t>
  </si>
  <si>
    <t>Kostnad per invånare 16-18 år för lärverktyg kommunal regi.</t>
  </si>
  <si>
    <t>Kostnad per invånare 16-18 år för skolmåltider kommunal regi.</t>
  </si>
  <si>
    <t>Kostnad per invånare 16-18 år skolskjuts hemkommunen.</t>
  </si>
  <si>
    <t>Kostnad per invånare 16-18 år för elevhälsa kommunal regi.</t>
  </si>
  <si>
    <t>Lokalkostnad per invånare 16-18 år kommunal regi.</t>
  </si>
  <si>
    <t>Kostnad per invånare 16-18 år för övrigt kommunal regi.</t>
  </si>
  <si>
    <t>Kostnad per invånare 16-18 år för hemkommunen.</t>
  </si>
  <si>
    <t>Köp av platser i fristående skola per invånare 16-18 år</t>
  </si>
  <si>
    <t>Köp av platser i fristående skola per invånare 16-18 år.</t>
  </si>
  <si>
    <t>Kostnad per invånare 19-64 år kommunal regi</t>
  </si>
  <si>
    <t>Kostnad per invånare 19-64 år för undervisning.</t>
  </si>
  <si>
    <t>Kostnad per invånare 19-64 år för lärverktyg</t>
  </si>
  <si>
    <t>Kostnad per invånare 19-64 år för elevhälsa.</t>
  </si>
  <si>
    <t>Kostnad per invånare 19-64 år för lokaler.</t>
  </si>
  <si>
    <t>Kostnad per invånare 19-64 år för övigt.</t>
  </si>
  <si>
    <t>Kostnad per invånare 19-64 år för hemkommunen, grundläggande och gymnasial vuxenutbildning.</t>
  </si>
  <si>
    <t>Kostnad per invånare 7-15 år kommunal regi.</t>
  </si>
  <si>
    <t>Kostnad per  invånare 7-15 år för undervisning kommunal regi.</t>
  </si>
  <si>
    <t>Kostnad per  invånare 7-15 år för lärverktyg kommunal regi.</t>
  </si>
  <si>
    <t>Kostnad per  invånare 7-15 år för skolmåltider kommunal regi.</t>
  </si>
  <si>
    <t>Kostnad per  invånare 7-15 år för skolskjuts hemkommun.</t>
  </si>
  <si>
    <t>Kostnad per  invånare 7-15 år för elevhälsa kommunal regi.</t>
  </si>
  <si>
    <t>Kostnad per  invånare 7-15 år för lokaler kommunal regi.</t>
  </si>
  <si>
    <t>Kostnad per  invånare 7-15 år för övrigt kommunal regi.</t>
  </si>
  <si>
    <t>Kostnad per  invånare 7-15 år för hemkommunen.</t>
  </si>
  <si>
    <t>Köp av platser i annan kommun per  invånare 7-15 år.</t>
  </si>
  <si>
    <t>Försäljning av platser till annan kommun per  invånare 7-15 år.</t>
  </si>
  <si>
    <t>Köp av platser i fristående skola per  invånare 7-15 år.</t>
  </si>
  <si>
    <t>Förskoleklass, kostnad per invånare 6 år för hemkommunen</t>
  </si>
  <si>
    <t>Förskoleklass, kostnad per invånare 6 år kommunal regi</t>
  </si>
  <si>
    <t>Förskolklass, kostnad för lokaler/invånare 6 år i kommunal regi.</t>
  </si>
  <si>
    <t>Förskoleklass, köp av platser i annan kommun per invånare 6 år</t>
  </si>
  <si>
    <t>Förskoleklass, försäljning av platser till annan kommun per invånare 6 år.</t>
  </si>
  <si>
    <t>Förskoleklass, köp av platser i enskild regi per invånare 6 år.</t>
  </si>
  <si>
    <t>Fritidshem, kostnad per invånare 6-12 år för hemkommunen</t>
  </si>
  <si>
    <t>Fritidshem, kostnad per invånare 6-12 år kommunal regi</t>
  </si>
  <si>
    <t>Fritidshem, kostnad för lokaler/invånare 6-12 år kommunal regi</t>
  </si>
  <si>
    <t>Fritidshem, köp av platser i annan kommun per invånare 6-12 år</t>
  </si>
  <si>
    <t>Fritidshem, försäljning av platser till annan kommun per invånare 6-12 år</t>
  </si>
  <si>
    <t>Fritidshem, köp av platser i enskild regi per invånare 6-12 år</t>
  </si>
  <si>
    <t>147</t>
  </si>
  <si>
    <t>+ Inköp / nyanskaffning inklusive pågående arbeten</t>
  </si>
  <si>
    <t>(Reavinst vid) försäljning av anläggningstillgångar</t>
  </si>
  <si>
    <t>Exploateringsfastigheter(avser kommun)</t>
  </si>
  <si>
    <t>Inköp av maskiner o</t>
  </si>
  <si>
    <t>Inköp av mark, byggn.</t>
  </si>
  <si>
    <t>Investerings-</t>
  </si>
  <si>
    <t>utgifter</t>
  </si>
  <si>
    <t>Därav borgensåtaganden för lån</t>
  </si>
  <si>
    <t xml:space="preserve">      varav för lån</t>
  </si>
  <si>
    <t>042</t>
  </si>
  <si>
    <t xml:space="preserve">           varav  för lån av offentligt ägda bolag</t>
  </si>
  <si>
    <t>Återbet borgensåt.</t>
  </si>
  <si>
    <t>161</t>
  </si>
  <si>
    <t>162</t>
  </si>
  <si>
    <t>Kostnad per invånare 7-15 år för undervisning kommunal regi.</t>
  </si>
  <si>
    <t>Kostnad per invånare 7-15 år för lärverktyg kommunal regi.</t>
  </si>
  <si>
    <t>Kostnad per invånare 7-15 år för skolmåltider kommunal regi.</t>
  </si>
  <si>
    <t>Kostnad per invånare 7-15 år skolskjuts hemkommunen.</t>
  </si>
  <si>
    <t>Kostnad per invånare 7-15 år för elevhälsa kommunal regi.</t>
  </si>
  <si>
    <t>Lokalkostnad per invånare 7-15 år kommunal regi.</t>
  </si>
  <si>
    <t>Kostnad per invånare 7-15 år för övrigt kommunal regi.</t>
  </si>
  <si>
    <t>Kostnad per invånare 7-15 år för hemkommunen.</t>
  </si>
  <si>
    <t>Köp av platser i annan kommun per invånare 7-15 år.</t>
  </si>
  <si>
    <t>Försäljning av platser till annan kommun per invånare 7-15 år.</t>
  </si>
  <si>
    <t>Köp av platser i fristående skola per invånare 7-15 år.</t>
  </si>
  <si>
    <t>Pensionsutbetalningar</t>
  </si>
  <si>
    <t>Uppdragsutbildning m.m.</t>
  </si>
  <si>
    <t>Avgifter till utjämningssystemen</t>
  </si>
  <si>
    <t>(Reavinst vid) Försälj. av anl.tillg.[38]</t>
  </si>
  <si>
    <t>Nyckeltal kostnad kr per invånare eller andel av verksamhet</t>
  </si>
  <si>
    <r>
      <t xml:space="preserve">Nedan fördelas summan av beloppen i kol. C och D på rad 987, inköp/nyansk. inkl. pågående arbeten. Invest. i imateriella anl.tillg. ska ingå. Finansiella inköp ska </t>
    </r>
    <r>
      <rPr>
        <b/>
        <u/>
        <sz val="9"/>
        <rFont val="Arial"/>
        <family val="2"/>
      </rPr>
      <t>ej</t>
    </r>
    <r>
      <rPr>
        <b/>
        <sz val="9"/>
        <rFont val="Arial"/>
        <family val="2"/>
      </rPr>
      <t xml:space="preserve"> ingå</t>
    </r>
  </si>
  <si>
    <t>BIDRAG TILL INFRASTRUKTUR</t>
  </si>
  <si>
    <t>Bidrag till infrastruktur</t>
  </si>
  <si>
    <t>Kostnadsföring bidrag till infrastruktur</t>
  </si>
  <si>
    <t>Upplösning aktiverat bidrag till infrastruktur</t>
  </si>
  <si>
    <t>Däravposter till finansiella intäkter</t>
  </si>
  <si>
    <t>733,734, 765</t>
  </si>
  <si>
    <t>Utdeln.aktier,andel.koncernftg.</t>
  </si>
  <si>
    <t>Kostnad för eget åtagande</t>
  </si>
  <si>
    <t>Kostnad för</t>
  </si>
  <si>
    <t xml:space="preserve">Kostnad för </t>
  </si>
  <si>
    <t xml:space="preserve">BRUTTO- 
</t>
  </si>
  <si>
    <t>Begravningsavgift (Stockholm och Tranås)</t>
  </si>
  <si>
    <t>Netto-kostnad</t>
  </si>
  <si>
    <t xml:space="preserve">Produktions-kostnad </t>
  </si>
  <si>
    <t>Bruttokostnad ./. Bruttointäkt</t>
  </si>
  <si>
    <t>Bruttokostnad ./. Köp av huvud-verksamhet ./. Lämnade bidrag ./. Interna intäkter</t>
  </si>
  <si>
    <t xml:space="preserve">        kronor / invånare</t>
  </si>
  <si>
    <t xml:space="preserve">           Nyckeltal</t>
  </si>
  <si>
    <t>Bruttokostnad ./. Interna</t>
  </si>
  <si>
    <t xml:space="preserve">            Nyckeltal </t>
  </si>
  <si>
    <t>808, 809</t>
  </si>
  <si>
    <t xml:space="preserve">Mellankommunal kostn.utj., Övriga skatter </t>
  </si>
  <si>
    <t>Kostnader för eget åtagande</t>
  </si>
  <si>
    <t>åtagande</t>
  </si>
  <si>
    <t>eget</t>
  </si>
  <si>
    <t>Intern hantering inom kommunen: Synnerliga skäl att inte täcka underskott eller andra interna justeringar</t>
  </si>
  <si>
    <t>avgår: övriga justeringar</t>
  </si>
  <si>
    <t>tillägg: övriga justeringar</t>
  </si>
  <si>
    <t>varav synnerliga skäl för att inte behöva återställa ett negativt resultat</t>
  </si>
  <si>
    <t>Kommentarer flyktingmott. o arbetsm.åtg:</t>
  </si>
  <si>
    <t>Kommentarer kultur o fritids-verksamhet:</t>
  </si>
  <si>
    <t>Kommentarer förskola, fritids-hem o annan ped.verks.:</t>
  </si>
  <si>
    <t xml:space="preserve">Kommentarer affärs-verksamhet: </t>
  </si>
  <si>
    <t>Kommentarer infrastruktur och skydd:</t>
  </si>
  <si>
    <t>Statsbidrag maxtaxa kolumn AB 
Statsbidrag kvalitetssäkran-de åtgärder kolumn AC</t>
  </si>
  <si>
    <r>
      <t xml:space="preserve">Nyckeltal, kronor / invånare
</t>
    </r>
    <r>
      <rPr>
        <sz val="7"/>
        <rFont val="Helvetica"/>
        <family val="2"/>
      </rPr>
      <t>och Kommentarrutor</t>
    </r>
  </si>
  <si>
    <t>Kommentarer VoO inkl. IFO</t>
  </si>
  <si>
    <t>Anskaffn.kostn försåld exploat.fastigh[422]</t>
  </si>
  <si>
    <t>342</t>
  </si>
  <si>
    <t>Anskaffningskostn, försåld exploat.fastigh.</t>
  </si>
  <si>
    <t>Avskrivningar, inklusive nedskrivningar</t>
  </si>
  <si>
    <t>bindelser (inklusive borgens- o förlustansvar                   småhus)</t>
  </si>
  <si>
    <t>Pensionsförplikt.    Inkl. löneskatt på</t>
  </si>
  <si>
    <t xml:space="preserve"> som inte har upptagits bland skulder el. avsättningar                pensionsförpliktelse</t>
  </si>
  <si>
    <t>Övr. ansvarsför-    för egnahem o</t>
  </si>
  <si>
    <t xml:space="preserve">Entrepren., Konsulter </t>
  </si>
  <si>
    <t>[617,618,74,75]</t>
  </si>
  <si>
    <t>[402]</t>
  </si>
  <si>
    <t>[403]</t>
  </si>
  <si>
    <t>Samtliga invest. entrepr. och  invest.konsulter ingår)</t>
  </si>
  <si>
    <t>067</t>
  </si>
  <si>
    <t>15-17</t>
  </si>
  <si>
    <t>Summa kortfristiga fordringar</t>
  </si>
  <si>
    <t>18</t>
  </si>
  <si>
    <t>131</t>
  </si>
  <si>
    <t>Avsättn. bidrag till infrastruktur</t>
  </si>
  <si>
    <t>132</t>
  </si>
  <si>
    <t>133</t>
  </si>
  <si>
    <t>134</t>
  </si>
  <si>
    <t>242</t>
  </si>
  <si>
    <t>Nyupptagna lån</t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</si>
  <si>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Mark, byggn. och tekn. Anläggningar [11]</t>
    </r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</si>
  <si>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Maskiner och inventarier [12]</t>
    </r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</si>
  <si>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Finansiella anläggnings-tillg.                 [13 ej 139]</t>
    </r>
  </si>
  <si>
    <t xml:space="preserve">
Därav</t>
  </si>
  <si>
    <r>
      <t xml:space="preserve">Koncern
</t>
    </r>
    <r>
      <rPr>
        <sz val="7"/>
        <color indexed="8"/>
        <rFont val="Helvetica"/>
        <family val="2"/>
      </rPr>
      <t>Materiella anläggningstillg.[11,12]</t>
    </r>
  </si>
  <si>
    <r>
      <t xml:space="preserve">Koncern
</t>
    </r>
    <r>
      <rPr>
        <sz val="7"/>
        <color indexed="8"/>
        <rFont val="Helvetica"/>
        <family val="2"/>
      </rPr>
      <t>Finansiella anläggningstillg.[13, ej 139]</t>
    </r>
  </si>
  <si>
    <t>Rad-nr</t>
  </si>
  <si>
    <t>Inköp och försäljning av mark oavsett bokfört som omsättningstillgång eller anläggningstillgång</t>
  </si>
  <si>
    <t>Inköp av mark</t>
  </si>
  <si>
    <t>Försäljning av mark, brutto inklusive rearesultat</t>
  </si>
  <si>
    <t xml:space="preserve">Vid redovisning av försäljning av mark ska enbart själva markens inkomst redovisas.  </t>
  </si>
  <si>
    <t>715</t>
  </si>
  <si>
    <t>720</t>
  </si>
  <si>
    <t>725</t>
  </si>
  <si>
    <t xml:space="preserve">Beloppen ska delas in utifrån den verksamhet som företagen klassificeras som enligt de alternativ som finns nedan.  T ex ska 50 % av ett bostadsföretags investeringsbelopp, som ägs </t>
  </si>
  <si>
    <t>Bransch</t>
  </si>
  <si>
    <t>Företagen/    dotterbolagen</t>
  </si>
  <si>
    <t>730</t>
  </si>
  <si>
    <t>Fastighetsverksamhet</t>
  </si>
  <si>
    <t>735</t>
  </si>
  <si>
    <t>Energi och vatten</t>
  </si>
  <si>
    <t>740</t>
  </si>
  <si>
    <t>Transport och kommunikation</t>
  </si>
  <si>
    <t>745</t>
  </si>
  <si>
    <t>Övriga</t>
  </si>
  <si>
    <t>750</t>
  </si>
  <si>
    <t>Summa</t>
  </si>
  <si>
    <t>Investeringsinkomster, exklusive försäljning av anläggningstillgångar</t>
  </si>
  <si>
    <t>1000 tal kr</t>
  </si>
  <si>
    <t>Tilläggsuppgifter avseende kommunens investeringsredovisning  1000 tal kr</t>
  </si>
  <si>
    <t>Tilläggsuppgifter avseende investeringar i företag/bolag/stiftelser/kommunalförbund som konsolideras i den sammanställda redovisningen 1000 tal kr</t>
  </si>
  <si>
    <t>(exkl. förs. av anl.tillgångar)</t>
  </si>
  <si>
    <t>Intäkter till Kolada</t>
  </si>
  <si>
    <t>Bruttointäkt minus Interna intäkter och försäljning till andra kommuner och landsting</t>
  </si>
  <si>
    <t>Därav personal-kostnader</t>
  </si>
  <si>
    <t>Netto-</t>
  </si>
  <si>
    <t>Dagverksamhet, ordinärt boende</t>
  </si>
  <si>
    <t>del av 453   [ej 4538]</t>
  </si>
  <si>
    <t>- Försäljningspris / avyttringsbelopp</t>
  </si>
  <si>
    <t>Däravposter till avsättningar och skulder</t>
  </si>
  <si>
    <t>Därav köp av huvudverk-samhet</t>
  </si>
  <si>
    <r>
      <t>Bidrag motpart staten och statliga myndigheter</t>
    </r>
    <r>
      <rPr>
        <b/>
        <sz val="7"/>
        <rFont val="Helvetica"/>
        <family val="2"/>
      </rPr>
      <t xml:space="preserve"> exkl.</t>
    </r>
    <r>
      <rPr>
        <sz val="7"/>
        <rFont val="Helvetica"/>
        <family val="2"/>
      </rPr>
      <t xml:space="preserve"> ersättning till FK för pers.assistenter</t>
    </r>
  </si>
  <si>
    <t xml:space="preserve">   därav investeringsbidrag från staten o statl.myndigheter</t>
  </si>
  <si>
    <t xml:space="preserve">   därav investeringsbidrag från EU</t>
  </si>
  <si>
    <t xml:space="preserve">   därav investeringsinkomster från företag</t>
  </si>
  <si>
    <t xml:space="preserve">   därav övriga investeringsinkomster</t>
  </si>
  <si>
    <t>del av 238</t>
  </si>
  <si>
    <t>del av 23</t>
  </si>
  <si>
    <t>del av 228</t>
  </si>
  <si>
    <t>755</t>
  </si>
  <si>
    <t>Lån för vidarutlåning till koncernföretagen</t>
  </si>
  <si>
    <t>lämnas nedan</t>
  </si>
  <si>
    <t xml:space="preserve">Uppgifterna för koncernen </t>
  </si>
  <si>
    <r>
      <rPr>
        <b/>
        <sz val="7"/>
        <rFont val="Helvetica"/>
        <family val="2"/>
      </rPr>
      <t xml:space="preserve">Koncern: </t>
    </r>
    <r>
      <rPr>
        <sz val="7"/>
        <rFont val="Helvetica"/>
        <family val="2"/>
      </rPr>
      <t>Kortfrist. skulder till kreditinst. o kunder</t>
    </r>
  </si>
  <si>
    <t xml:space="preserve">                                Varav kortfristig del av långfr. skuld</t>
  </si>
  <si>
    <t>Kortfristig del av långfristig skuld</t>
  </si>
  <si>
    <t>Checkkredit, övriga långfristiga skulder</t>
  </si>
  <si>
    <t>Om ingen exakt uppdelning finns mellan mark och eventuell byggnad/anläggning så får en uppskattning med utgångspunkt ur bokfört värde göras.</t>
  </si>
  <si>
    <r>
      <t xml:space="preserve">Det som avses är de investeringar som har gjorts av de företag/bolag/stiftelser/kommunalförbund som konsolideras i den sammanställda redovisningen. </t>
    </r>
    <r>
      <rPr>
        <b/>
        <sz val="8"/>
        <rFont val="Helvetica"/>
        <family val="2"/>
      </rPr>
      <t xml:space="preserve">Endast kommunens andel  anges. </t>
    </r>
  </si>
  <si>
    <t>Öronmärkt belopp för framtida pensionsutbetalningar enligt kommunens årsredovisning</t>
  </si>
  <si>
    <t>- Förlust vid avyttring och utrangering av anl.tillgångar</t>
  </si>
  <si>
    <t>Div. förluster, övr.riskk. [735,736,737,738,739]</t>
  </si>
  <si>
    <t>Hälso- och sjukvård, övrigt (utöver den hemsjukvård som ingår på radnr 510, 520 eller 513)</t>
  </si>
  <si>
    <t>Totalt (exklusive försäljning av anl.tillg.)</t>
  </si>
  <si>
    <r>
      <t>Infrastruktur, skydd m.m.</t>
    </r>
    <r>
      <rPr>
        <sz val="7"/>
        <rFont val="Helvetica"/>
        <family val="2"/>
      </rPr>
      <t xml:space="preserve">                                                      Fysisk o. teknisk planering, bostadsförbättr.</t>
    </r>
  </si>
  <si>
    <t>inv. 65-w år</t>
  </si>
  <si>
    <t>inv. 0-64 år</t>
  </si>
  <si>
    <t>inv. 23-w år</t>
  </si>
  <si>
    <t>inv. 0-22 år</t>
  </si>
  <si>
    <t>inv. 23-64 år</t>
  </si>
  <si>
    <t>Enligt Verksamhetens intäkter och kostnader</t>
  </si>
  <si>
    <t>Driftbidrag fr. staten, statl. mynd. Inkl.AF</t>
  </si>
  <si>
    <t>Därav                                köp av huvud-verksamhet</t>
  </si>
  <si>
    <t>Differens mellan summan av rad 800-844 och RR rad 060:</t>
  </si>
  <si>
    <t>Larm o bevakning, Brandskydd, Avgifter för kurser m.m.</t>
  </si>
  <si>
    <t>Självrisker</t>
  </si>
  <si>
    <t>Infriad borgen</t>
  </si>
  <si>
    <t>Avgifter</t>
  </si>
  <si>
    <t>Kundförluster, Straffavgifter m.m., Förluster på kortfr.fordringar, Övr. riskkostnader</t>
  </si>
  <si>
    <t>Nämnare nyckeltal och kommentar till kontroller</t>
  </si>
  <si>
    <t>Övriga bidrag</t>
  </si>
  <si>
    <t>Följande jämförelsestörande poster ingår i Resultaträkningen ovan:</t>
  </si>
  <si>
    <t>170</t>
  </si>
  <si>
    <t>175</t>
  </si>
  <si>
    <t>180</t>
  </si>
  <si>
    <r>
      <t>Därav Utdebiterat till verksamheterna (raderna)</t>
    </r>
    <r>
      <rPr>
        <sz val="7"/>
        <color rgb="FFFFFFCC"/>
        <rFont val="Helvetica"/>
        <family val="2"/>
      </rPr>
      <t xml:space="preserve"> …………..</t>
    </r>
    <r>
      <rPr>
        <sz val="7"/>
        <rFont val="Helvetica"/>
        <family val="2"/>
      </rPr>
      <t xml:space="preserve">100-910 i regel i kol.M </t>
    </r>
  </si>
  <si>
    <t>del av 16</t>
  </si>
  <si>
    <t>Fördelad gemensam verksamhet (rad 920)</t>
  </si>
  <si>
    <t>735, 736, 738, 739</t>
  </si>
  <si>
    <r>
      <t xml:space="preserve">till 50 % av kommunen, anges på raden för fastighetsverksamhet. I beloppet ska bolagets samtliga investeringsutgifter/inkomster </t>
    </r>
    <r>
      <rPr>
        <i/>
        <sz val="8"/>
        <color rgb="FFFF0000"/>
        <rFont val="Helvetica"/>
        <family val="2"/>
      </rPr>
      <t>avseende materiella och immateriella anläggningstillgångar</t>
    </r>
    <r>
      <rPr>
        <sz val="8"/>
        <rFont val="Helvetica"/>
        <family val="2"/>
      </rPr>
      <t xml:space="preserve"> ingå,dvs. inte enbart fastighetsinvesteringar.</t>
    </r>
  </si>
  <si>
    <t>utgifter i mat.</t>
  </si>
  <si>
    <r>
      <t xml:space="preserve">o immat. anl.    tillg.              </t>
    </r>
    <r>
      <rPr>
        <sz val="7"/>
        <rFont val="Helvetica"/>
        <family val="2"/>
      </rPr>
      <t xml:space="preserve">  (före konsolidering)</t>
    </r>
  </si>
  <si>
    <r>
      <rPr>
        <b/>
        <sz val="7"/>
        <rFont val="Helvetica"/>
        <family val="2"/>
      </rPr>
      <t>Därav</t>
    </r>
    <r>
      <rPr>
        <sz val="7"/>
        <rFont val="Helvetica"/>
        <family val="2"/>
      </rPr>
      <t xml:space="preserve"> Jämförelsestörande intäkter </t>
    </r>
    <r>
      <rPr>
        <b/>
        <sz val="7"/>
        <rFont val="Helvetica"/>
        <family val="2"/>
      </rPr>
      <t>på rad 010</t>
    </r>
  </si>
  <si>
    <r>
      <rPr>
        <b/>
        <sz val="7"/>
        <rFont val="Helvetica"/>
        <family val="2"/>
      </rPr>
      <t>Därav</t>
    </r>
    <r>
      <rPr>
        <sz val="7"/>
        <rFont val="Helvetica"/>
        <family val="2"/>
      </rPr>
      <t xml:space="preserve"> Jämförelsestörande kostnader </t>
    </r>
    <r>
      <rPr>
        <b/>
        <sz val="7"/>
        <rFont val="Helvetica"/>
        <family val="2"/>
      </rPr>
      <t xml:space="preserve">på rad 020 </t>
    </r>
    <r>
      <rPr>
        <sz val="7"/>
        <rFont val="Helvetica"/>
        <family val="2"/>
      </rPr>
      <t xml:space="preserve"> </t>
    </r>
  </si>
  <si>
    <r>
      <rPr>
        <b/>
        <sz val="7"/>
        <rFont val="Helvetica"/>
        <family val="2"/>
      </rPr>
      <t>Därav</t>
    </r>
    <r>
      <rPr>
        <sz val="7"/>
        <rFont val="Helvetica"/>
        <family val="2"/>
      </rPr>
      <t xml:space="preserve"> Jämförelsestörande av-/nedskrivningar </t>
    </r>
    <r>
      <rPr>
        <b/>
        <sz val="7"/>
        <rFont val="Helvetica"/>
        <family val="2"/>
      </rPr>
      <t>på rad 025</t>
    </r>
  </si>
  <si>
    <r>
      <rPr>
        <b/>
        <sz val="7"/>
        <rFont val="Helvetica"/>
        <family val="2"/>
      </rPr>
      <t xml:space="preserve">Därav </t>
    </r>
    <r>
      <rPr>
        <sz val="7"/>
        <rFont val="Helvetica"/>
        <family val="2"/>
      </rPr>
      <t>Jämförelsestörande finansiella intäkter</t>
    </r>
    <r>
      <rPr>
        <b/>
        <sz val="7"/>
        <rFont val="Helvetica"/>
        <family val="2"/>
      </rPr>
      <t xml:space="preserve"> på rad 060</t>
    </r>
  </si>
  <si>
    <r>
      <rPr>
        <b/>
        <sz val="7"/>
        <rFont val="Helvetica"/>
        <family val="2"/>
      </rPr>
      <t xml:space="preserve">Därav </t>
    </r>
    <r>
      <rPr>
        <sz val="7"/>
        <rFont val="Helvetica"/>
        <family val="2"/>
      </rPr>
      <t>Jämförelsestörande finansiella kostnader</t>
    </r>
    <r>
      <rPr>
        <b/>
        <sz val="7"/>
        <rFont val="Helvetica"/>
        <family val="2"/>
      </rPr>
      <t xml:space="preserve"> på rad 070</t>
    </r>
  </si>
  <si>
    <t>2019</t>
  </si>
  <si>
    <t>Justering av EK, ingående värde</t>
  </si>
  <si>
    <t>Generella statsbidrag och utjämning</t>
  </si>
  <si>
    <t>Resultat efter finansiella poster</t>
  </si>
  <si>
    <t>Extraordinära poster (netto)</t>
  </si>
  <si>
    <t>Försälj.av v-het o konsult- o andra tjänster, MP övr., återv.Kufo.</t>
  </si>
  <si>
    <t>Förändring pensionsavs inkl.särsk.lönesk på avs. pens.</t>
  </si>
  <si>
    <t>Fastighetsskatt o -avgift, Fordons- o. Trängselskatt</t>
  </si>
  <si>
    <t>Kommunal borgensavgift</t>
  </si>
  <si>
    <t>Regioner</t>
  </si>
  <si>
    <t>[361]                      Motpart 82 och 83</t>
  </si>
  <si>
    <t>Förs. av v-het. till annan komm.o kommunalförbund</t>
  </si>
  <si>
    <t>Försälj.av v-het o konsult- o andra tjänster, MP kommun</t>
  </si>
  <si>
    <t>Försälj.av v-het o konsult- o andra tjänster, MP kommunalförbund</t>
  </si>
  <si>
    <t>Försäljning av verksamhet, motpart kommunalförbund</t>
  </si>
  <si>
    <t>Försäljning av verksamhet, motpart region</t>
  </si>
  <si>
    <t>Erhållna ersättningar för personliga assistenter (FK)</t>
  </si>
  <si>
    <t>Särskild momsersättning vid köp av ej skattepl. verksamh.</t>
  </si>
  <si>
    <t>del av 242</t>
  </si>
  <si>
    <t>Summa kortfristiga placeringar (i värdepapper)</t>
  </si>
  <si>
    <t>Kassa och bank</t>
  </si>
  <si>
    <t>Övrig Justeringar i Eget kapital</t>
  </si>
  <si>
    <t>Avsättn. för återställ. av deponier/soptippar</t>
  </si>
  <si>
    <t>Fastighets-, anläggnings- o reparationsentrenader</t>
  </si>
  <si>
    <t>Transporter/resor, ej anställda o förtroendevalda</t>
  </si>
  <si>
    <t>Lokal- och bostadshyror</t>
  </si>
  <si>
    <r>
      <rPr>
        <strike/>
        <sz val="7"/>
        <rFont val="Helvetica"/>
        <family val="2"/>
      </rPr>
      <t>I</t>
    </r>
    <r>
      <rPr>
        <sz val="7"/>
        <rFont val="Helvetica"/>
        <family val="2"/>
      </rPr>
      <t>nhyrd personal</t>
    </r>
  </si>
  <si>
    <r>
      <t>Försäkrings</t>
    </r>
    <r>
      <rPr>
        <sz val="7"/>
        <rFont val="Helvetica"/>
        <family val="2"/>
      </rPr>
      <t>premier</t>
    </r>
  </si>
  <si>
    <t>6192, 692, 696, 73, 76</t>
  </si>
  <si>
    <t>Fastighetsskatt och -avgift, fordons- o trängselskatt, Försäkringspremier o riskkostnader, div.kostnad.</t>
  </si>
  <si>
    <t>Förlust vid avyttring o utrang. av mat. o. immat. anl.tillg.</t>
  </si>
  <si>
    <t>kommunalförb.</t>
  </si>
  <si>
    <t>och regioner</t>
  </si>
  <si>
    <r>
      <t>Därav försäljn. av v-het till kommuner, kommunalförb. och</t>
    </r>
    <r>
      <rPr>
        <strike/>
        <sz val="7"/>
        <color rgb="FFFF0000"/>
        <rFont val="Helvetica"/>
        <family val="2"/>
      </rPr>
      <t xml:space="preserve"> </t>
    </r>
    <r>
      <rPr>
        <sz val="7"/>
        <rFont val="Helvetica"/>
        <family val="2"/>
      </rPr>
      <t>regioner</t>
    </r>
  </si>
  <si>
    <t>intäkter o förs.</t>
  </si>
  <si>
    <t>till andra kommuner</t>
  </si>
  <si>
    <t>361 motpart 82, 83, 84</t>
  </si>
  <si>
    <t>[361] motpart 82, 83, 84</t>
  </si>
  <si>
    <t>Försäljning av verksamhet till andra kommuner, kommunalförb. och regioner</t>
  </si>
  <si>
    <t>Bruttokostnad ./. Interna intäkter o.</t>
  </si>
  <si>
    <t>förs. av v-samhet</t>
  </si>
  <si>
    <t>regioner</t>
  </si>
  <si>
    <t>kommunalförb och</t>
  </si>
  <si>
    <r>
      <rPr>
        <b/>
        <sz val="7"/>
        <rFont val="Helvetica"/>
        <family val="2"/>
      </rPr>
      <t xml:space="preserve">Not 1: </t>
    </r>
    <r>
      <rPr>
        <sz val="7"/>
        <rFont val="Helvetica"/>
        <family val="2"/>
      </rPr>
      <t xml:space="preserve">402,403, 41, 422, 43, 64 ej 644, 654, 655  </t>
    </r>
  </si>
  <si>
    <t>Bruttokostnad  ./. Interna intäkter och försäljning till andra kommuner, kommunalförb. och regioner</t>
  </si>
  <si>
    <t>BAS 19</t>
  </si>
  <si>
    <t>Kost.ers.o.rikt.bidrag motpart regioner</t>
  </si>
  <si>
    <t>Ev. kvarvarande del av byggbonus</t>
  </si>
  <si>
    <t>Övriga finansiella intäkter</t>
  </si>
  <si>
    <t>Finansiel kostnad, förändring av pensionsavättningar</t>
  </si>
  <si>
    <t>Övriga finansiella kostnader</t>
  </si>
  <si>
    <t>Räntekostn. för lev.skulder o bankkostn. o liknande</t>
  </si>
  <si>
    <t>Förslust vid avyttring o värdering, finansiella anl.tillg</t>
  </si>
  <si>
    <t>Förlust vid avyttring o värdering, finansiella oms.tillg.</t>
  </si>
  <si>
    <t>Försälljning och värdering, finans. anläggningstillg.</t>
  </si>
  <si>
    <t>Försälljning och värdering, finans. omsättningstillg.</t>
  </si>
  <si>
    <t>Övriga bidrag, företag MP 87 och ext. intervall 5-7</t>
  </si>
  <si>
    <t>0731</t>
  </si>
  <si>
    <t>524</t>
  </si>
  <si>
    <t>328</t>
  </si>
  <si>
    <t>Försälj.av v-het o konsult- o andra tjänster, MP region</t>
  </si>
  <si>
    <r>
      <t>Därav personal</t>
    </r>
    <r>
      <rPr>
        <sz val="7"/>
        <rFont val="Helvetica"/>
        <family val="2"/>
      </rPr>
      <t>kostnad</t>
    </r>
  </si>
  <si>
    <t>Därav personalkostnad</t>
  </si>
  <si>
    <t>577</t>
  </si>
  <si>
    <t>Resultat efter finansiella poster / Skatteintäkter, generella statsbidrag och utj.</t>
  </si>
  <si>
    <t>Likvida medel (kassa, bank)  i % av externa driftkostnader</t>
  </si>
  <si>
    <t>[50-51, 53, 54, 55x2, 5598, 591 samt PO]</t>
  </si>
  <si>
    <t>[50-51, 53, 54, 55x2, 5598, 591] samt PO</t>
  </si>
  <si>
    <t>Skuld för avgifter samt offentliga bidrag (investeringar)</t>
  </si>
  <si>
    <t>Årets uppbokade offentliga bidrag (investeringar)</t>
  </si>
  <si>
    <t>Anslutnings- och anläggningsavg. (investeringar)</t>
  </si>
  <si>
    <t>Offentliga bidrag (investeringar)</t>
  </si>
  <si>
    <t>50, 51, 53, 54, 55x2, 5598</t>
  </si>
  <si>
    <t>56 [ej 5635]</t>
  </si>
  <si>
    <t>572, 5635</t>
  </si>
  <si>
    <t>Aktivering av eget arbete vid utv. av anläggningstillg.</t>
  </si>
  <si>
    <t>Verksamhetens resultat</t>
  </si>
  <si>
    <t xml:space="preserve">       varav för vidareutlåning till koncernföretagen</t>
  </si>
  <si>
    <t>[50-51, 53, 54, 55x2, 5598, del av 591]</t>
  </si>
  <si>
    <t>Soc.avg o pens.utbet./kostn. (56(ej 5635), del av 591, 57 (ej572)</t>
  </si>
  <si>
    <t>Förändr.pens.avs.[572] o.särsk.lönesk.pens.avs.[5635], del av 591</t>
  </si>
  <si>
    <t>Därav försäljn. av verksamhet till annan kommun/kommunalförbund</t>
  </si>
  <si>
    <t>Försäljning av platser till annan kommun/kommunalförb. per invånare 16-18 år.</t>
  </si>
  <si>
    <t>Köp av platser i annan kommun/kommunalförb. per invånare 16-18 år.</t>
  </si>
  <si>
    <t>Köp av platser från region per invånare 7-15 år.</t>
  </si>
  <si>
    <t>Köp av plater från region per invånare 16-18 år.</t>
  </si>
  <si>
    <t>Operat. leasing/hyra av mask.,invent.,bilar o transp.medel</t>
  </si>
  <si>
    <t xml:space="preserve">På rad 740 borde det finnas ett belopp respektiva beloppet borde vara högre.
</t>
  </si>
  <si>
    <t>Kommunalförbund och SKR</t>
  </si>
  <si>
    <t>Kostn.ers. o rikt bidrag, MP Arbetsförmedlingen</t>
  </si>
  <si>
    <t>Kostn.ers. o rikt.bidrag, MP kommuner, komm.förb. o region</t>
  </si>
  <si>
    <t>Kostn.ers. o rikt. bidrag, MP staten o statl. myndigh exkl AF, ej invest</t>
  </si>
  <si>
    <t>Förs. av v-het. till region</t>
  </si>
  <si>
    <t>RIKSTOTAL</t>
  </si>
  <si>
    <t>Kommunernas finanser</t>
  </si>
  <si>
    <t>Räkenskapssammandraget 2019</t>
  </si>
  <si>
    <t>Värde Mnkr</t>
  </si>
  <si>
    <t>Mnkr</t>
  </si>
  <si>
    <t>Värde, Mnkr</t>
  </si>
  <si>
    <t>Därav interna intäkter</t>
  </si>
  <si>
    <t>Publiceringsdatum: 200831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</si>
</sst>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kr&quot;#,##0_);[Red]\(&quot;kr&quot;#,##0\)"/>
    <numFmt numFmtId="165" formatCode="000"/>
    <numFmt numFmtId="166" formatCode="###,###,###"/>
    <numFmt numFmtId="167" formatCode=";;;"/>
    <numFmt numFmtId="168" formatCode="#,##0.0000"/>
    <numFmt numFmtId="169" formatCode="0.0000"/>
    <numFmt numFmtId="170" formatCode="###,##0"/>
    <numFmt numFmtId="171" formatCode="#,###"/>
    <numFmt numFmtId="172" formatCode="#,##0.0000000"/>
  </numFmts>
  <fonts count="143">
    <font>
      <sz val="10"/>
      <name val="Arial"/>
    </font>
    <font>
      <sz val="10"/>
      <name val="Helvetica"/>
      <family val="2"/>
    </font>
    <font>
      <sz val="8"/>
      <name val="Helvetica"/>
      <family val="2"/>
    </font>
    <font>
      <sz val="7"/>
      <name val="Helvetica"/>
      <family val="2"/>
    </font>
    <font>
      <b/>
      <sz val="8"/>
      <name val="Helvetica"/>
      <family val="2"/>
    </font>
    <font>
      <b/>
      <sz val="7"/>
      <name val="Helvetica"/>
      <family val="2"/>
    </font>
    <font>
      <b/>
      <sz val="11"/>
      <name val="Helvetica"/>
      <family val="2"/>
    </font>
    <font>
      <sz val="7"/>
      <name val="Arial"/>
      <family val="2"/>
    </font>
    <font>
      <sz val="7"/>
      <name val="Helvetica"/>
      <family val="2"/>
    </font>
    <font>
      <sz val="8"/>
      <name val="Arial"/>
      <family val="2"/>
    </font>
    <font>
      <sz val="8"/>
      <color indexed="8"/>
      <name val="Helvetica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etica"/>
      <family val="2"/>
    </font>
    <font>
      <b/>
      <sz val="7"/>
      <name val="Helvetica"/>
      <family val="2"/>
    </font>
    <font>
      <b/>
      <sz val="10"/>
      <name val="Helvetica"/>
      <family val="2"/>
    </font>
    <font>
      <sz val="7"/>
      <color indexed="8"/>
      <name val="Helvetica"/>
      <family val="2"/>
    </font>
    <font>
      <sz val="12"/>
      <name val="Times New Roman"/>
      <family val="1"/>
    </font>
    <font>
      <b/>
      <sz val="12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Helvetica"/>
      <family val="2"/>
    </font>
    <font>
      <b/>
      <sz val="7"/>
      <name val="Coronet"/>
      <family val="2"/>
    </font>
    <font>
      <b/>
      <sz val="8"/>
      <name val="Coronet"/>
      <family val="2"/>
    </font>
    <font>
      <b/>
      <sz val="11"/>
      <name val="Coronet"/>
      <family val="2"/>
    </font>
    <font>
      <b/>
      <sz val="12"/>
      <color indexed="9"/>
      <name val="Arial Black"/>
      <family val="2"/>
    </font>
    <font>
      <sz val="10"/>
      <color indexed="9"/>
      <name val="Coronet"/>
      <family val="2"/>
    </font>
    <font>
      <b/>
      <sz val="9"/>
      <color indexed="9"/>
      <name val="Coronet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0"/>
      <name val="Helvetica"/>
      <family val="2"/>
    </font>
    <font>
      <sz val="7"/>
      <color indexed="10"/>
      <name val="Helvetica"/>
      <family val="2"/>
    </font>
    <font>
      <sz val="8"/>
      <color indexed="10"/>
      <name val="Helvetica"/>
      <family val="2"/>
    </font>
    <font>
      <sz val="7"/>
      <color indexed="10"/>
      <name val="Arial"/>
      <family val="2"/>
    </font>
    <font>
      <sz val="9"/>
      <name val="Helvetica"/>
      <family val="2"/>
    </font>
    <font>
      <sz val="10"/>
      <color indexed="9"/>
      <name val="Arial"/>
      <family val="2"/>
    </font>
    <font>
      <sz val="7"/>
      <color indexed="37"/>
      <name val="Helvetica"/>
      <family val="2"/>
    </font>
    <font>
      <sz val="8"/>
      <color indexed="37"/>
      <name val="Helvetica"/>
      <family val="2"/>
    </font>
    <font>
      <sz val="7"/>
      <color indexed="8"/>
      <name val="Arial"/>
      <family val="2"/>
    </font>
    <font>
      <sz val="10"/>
      <color indexed="39"/>
      <name val="Arial"/>
      <family val="2"/>
    </font>
    <font>
      <sz val="8"/>
      <color indexed="39"/>
      <name val="Helvetica"/>
      <family val="2"/>
    </font>
    <font>
      <b/>
      <sz val="7"/>
      <color indexed="10"/>
      <name val="Helvetica"/>
      <family val="2"/>
    </font>
    <font>
      <sz val="7"/>
      <color indexed="39"/>
      <name val="Arial"/>
      <family val="2"/>
    </font>
    <font>
      <sz val="8"/>
      <color indexed="12"/>
      <name val="Helvetica"/>
      <family val="2"/>
    </font>
    <font>
      <sz val="8"/>
      <color indexed="39"/>
      <name val="Arial"/>
      <family val="2"/>
    </font>
    <font>
      <b/>
      <sz val="7"/>
      <color indexed="10"/>
      <name val="Arial"/>
      <family val="2"/>
    </font>
    <font>
      <b/>
      <sz val="10"/>
      <name val="Arial"/>
      <family val="2"/>
    </font>
    <font>
      <sz val="9"/>
      <color indexed="39"/>
      <name val="Helvetica"/>
      <family val="2"/>
    </font>
    <font>
      <b/>
      <sz val="10"/>
      <color indexed="37"/>
      <name val="Helvetica"/>
      <family val="2"/>
    </font>
    <font>
      <b/>
      <sz val="9"/>
      <color indexed="8"/>
      <name val="Arial Black"/>
      <family val="2"/>
    </font>
    <font>
      <b/>
      <sz val="12"/>
      <name val="Arial"/>
      <family val="2"/>
    </font>
    <font>
      <b/>
      <sz val="10"/>
      <color indexed="37"/>
      <name val="Arial"/>
      <family val="2"/>
    </font>
    <font>
      <u/>
      <sz val="10"/>
      <color indexed="36"/>
      <name val="Arial"/>
      <family val="2"/>
    </font>
    <font>
      <sz val="7"/>
      <color indexed="10"/>
      <name val="Helvetica"/>
      <family val="2"/>
    </font>
    <font>
      <sz val="11"/>
      <color indexed="9"/>
      <name val="Calibri"/>
      <family val="2"/>
    </font>
    <font>
      <sz val="10"/>
      <color indexed="9"/>
      <name val="Helvetica"/>
      <family val="2"/>
    </font>
    <font>
      <b/>
      <sz val="9"/>
      <color indexed="9"/>
      <name val="Helvetica"/>
      <family val="2"/>
    </font>
    <font>
      <sz val="7"/>
      <color indexed="8"/>
      <name val="Helvetica"/>
      <family val="2"/>
    </font>
    <font>
      <b/>
      <sz val="8"/>
      <color indexed="8"/>
      <name val="Helvetica"/>
      <family val="2"/>
    </font>
    <font>
      <sz val="7"/>
      <color indexed="8"/>
      <name val="Calibri"/>
      <family val="2"/>
    </font>
    <font>
      <b/>
      <sz val="7"/>
      <color indexed="8"/>
      <name val="Helvetica"/>
      <family val="2"/>
    </font>
    <font>
      <sz val="10"/>
      <color indexed="8"/>
      <name val="Arial"/>
      <family val="2"/>
    </font>
    <font>
      <sz val="10"/>
      <color indexed="8"/>
      <name val="Helvetica"/>
      <family val="2"/>
    </font>
    <font>
      <sz val="7"/>
      <color indexed="10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Helvetica"/>
      <family val="2"/>
    </font>
    <font>
      <b/>
      <sz val="12"/>
      <color indexed="8"/>
      <name val="Arial"/>
      <family val="2"/>
    </font>
    <font>
      <b/>
      <sz val="8"/>
      <color indexed="8"/>
      <name val="Helvetica"/>
      <family val="2"/>
    </font>
    <font>
      <b/>
      <sz val="7"/>
      <name val="Calibri"/>
      <family val="2"/>
    </font>
    <font>
      <u/>
      <sz val="10"/>
      <color indexed="12"/>
      <name val="Arial"/>
      <family val="2"/>
    </font>
    <font>
      <b/>
      <sz val="12"/>
      <color indexed="8"/>
      <name val="Helvetica"/>
      <family val="2"/>
    </font>
    <font>
      <b/>
      <sz val="11"/>
      <color indexed="8"/>
      <name val="Helvetica"/>
      <family val="2"/>
    </font>
    <font>
      <b/>
      <sz val="10"/>
      <color indexed="8"/>
      <name val="Helvetica"/>
      <family val="2"/>
    </font>
    <font>
      <sz val="8"/>
      <color indexed="9"/>
      <name val="Helvetica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Helvetica"/>
      <family val="2"/>
    </font>
    <font>
      <sz val="7"/>
      <color indexed="16"/>
      <name val="Helvetica"/>
      <family val="2"/>
    </font>
    <font>
      <sz val="10"/>
      <color indexed="16"/>
      <name val="Cambria"/>
      <family val="1"/>
    </font>
    <font>
      <b/>
      <sz val="7"/>
      <color indexed="9"/>
      <name val="Helvetica"/>
      <family val="2"/>
    </font>
    <font>
      <b/>
      <vertAlign val="superscript"/>
      <sz val="7"/>
      <name val="Helvetica"/>
      <family val="2"/>
    </font>
    <font>
      <b/>
      <vertAlign val="superscript"/>
      <sz val="7"/>
      <name val="Calibri"/>
      <family val="2"/>
    </font>
    <font>
      <vertAlign val="superscript"/>
      <sz val="7"/>
      <name val="Helvetica"/>
      <family val="2"/>
    </font>
    <font>
      <sz val="8"/>
      <name val="Arial"/>
      <family val="2"/>
    </font>
    <font>
      <b/>
      <sz val="8"/>
      <name val="Arial"/>
      <family val="2"/>
    </font>
    <font>
      <sz val="7"/>
      <color indexed="10"/>
      <name val="Arial"/>
      <family val="2"/>
    </font>
    <font>
      <sz val="10"/>
      <color indexed="39"/>
      <name val="Helvetica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4"/>
      <name val="Arial"/>
      <family val="2"/>
    </font>
    <font>
      <sz val="10"/>
      <color indexed="39"/>
      <name val="Arial"/>
      <family val="2"/>
    </font>
    <font>
      <sz val="6"/>
      <color indexed="10"/>
      <name val="Helvetica"/>
      <family val="2"/>
    </font>
    <font>
      <sz val="7"/>
      <name val="Helvetica "/>
    </font>
    <font>
      <sz val="8"/>
      <color indexed="9"/>
      <name val="Helvetica"/>
      <family val="2"/>
    </font>
    <font>
      <sz val="8"/>
      <color indexed="9"/>
      <name val="Cambria"/>
      <family val="1"/>
    </font>
    <font>
      <sz val="10"/>
      <color indexed="9"/>
      <name val="Cambria"/>
      <family val="1"/>
    </font>
    <font>
      <sz val="7"/>
      <name val="Cambria"/>
      <family val="1"/>
    </font>
    <font>
      <sz val="6.5"/>
      <name val="Helvetica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7"/>
      <color rgb="FFFF0000"/>
      <name val="Helvetica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Helvetica"/>
      <family val="2"/>
    </font>
    <font>
      <b/>
      <sz val="11"/>
      <color theme="0"/>
      <name val="Arial"/>
      <family val="2"/>
    </font>
    <font>
      <sz val="7"/>
      <color theme="0"/>
      <name val="Helvetica"/>
      <family val="2"/>
    </font>
    <font>
      <sz val="7"/>
      <color theme="7" tint="0.59999389629810485"/>
      <name val="Helvetica"/>
      <family val="2"/>
    </font>
    <font>
      <sz val="7"/>
      <color rgb="FFFFFFCC"/>
      <name val="Helvetica"/>
      <family val="2"/>
    </font>
    <font>
      <sz val="10"/>
      <color rgb="FFFFFFCC"/>
      <name val="Arial"/>
      <family val="2"/>
    </font>
    <font>
      <sz val="2"/>
      <color theme="0"/>
      <name val="Helvetica"/>
      <family val="2"/>
    </font>
    <font>
      <sz val="8"/>
      <color rgb="FF00B050"/>
      <name val="Helvetica"/>
      <family val="2"/>
    </font>
    <font>
      <sz val="8"/>
      <color theme="1"/>
      <name val="Helvetica"/>
      <family val="2"/>
    </font>
    <font>
      <b/>
      <sz val="7"/>
      <color theme="1"/>
      <name val="Helvetica"/>
      <family val="2"/>
    </font>
    <font>
      <b/>
      <sz val="8"/>
      <color theme="1"/>
      <name val="Helvetica"/>
      <family val="2"/>
    </font>
    <font>
      <sz val="8"/>
      <color rgb="FFFFFFCC"/>
      <name val="Helvetica"/>
      <family val="2"/>
    </font>
    <font>
      <b/>
      <sz val="7"/>
      <color rgb="FFFFFFCC"/>
      <name val="Helvetica"/>
      <family val="2"/>
    </font>
    <font>
      <sz val="7"/>
      <color rgb="FFFF0000"/>
      <name val="Helvetica"/>
      <family val="2"/>
    </font>
    <font>
      <sz val="7"/>
      <color indexed="10"/>
      <name val="Helvetica"/>
      <family val="2"/>
    </font>
    <font>
      <sz val="7"/>
      <name val="Helvetica"/>
      <family val="2"/>
    </font>
    <font>
      <b/>
      <sz val="7"/>
      <name val="Helvetica"/>
      <family val="2"/>
    </font>
    <font>
      <b/>
      <sz val="7"/>
      <color rgb="FFFFFFCC"/>
      <name val="Helvetica"/>
      <family val="2"/>
    </font>
    <font>
      <sz val="7"/>
      <color rgb="FFFFFFCC"/>
      <name val="Helvetica"/>
      <family val="2"/>
    </font>
    <font>
      <sz val="7"/>
      <color rgb="FFFFFFCC"/>
      <name val="Arial"/>
      <family val="2"/>
    </font>
    <font>
      <sz val="7"/>
      <color rgb="FFFFFFCC"/>
      <name val="Helvetia"/>
    </font>
    <font>
      <sz val="7"/>
      <name val="Helvetia"/>
    </font>
    <font>
      <sz val="8"/>
      <color theme="0"/>
      <name val="Arial"/>
      <family val="2"/>
    </font>
    <font>
      <i/>
      <sz val="8"/>
      <color rgb="FFFF0000"/>
      <name val="Helvetica"/>
      <family val="2"/>
    </font>
    <font>
      <sz val="10"/>
      <color theme="0"/>
      <name val="Arial"/>
      <family val="2"/>
    </font>
    <font>
      <sz val="8"/>
      <color theme="0"/>
      <name val="Helvetica"/>
      <family val="2"/>
    </font>
    <font>
      <strike/>
      <sz val="7"/>
      <color rgb="FFFF0000"/>
      <name val="Helvetica"/>
      <family val="2"/>
    </font>
    <font>
      <strike/>
      <sz val="7"/>
      <name val="Helvetica"/>
      <family val="2"/>
    </font>
    <font>
      <b/>
      <sz val="7"/>
      <color theme="0"/>
      <name val="Helvetica"/>
      <family val="2"/>
    </font>
    <font>
      <b/>
      <sz val="10"/>
      <color rgb="FFFFFFC0"/>
      <name val="Helvetica"/>
      <family val="2"/>
    </font>
    <font>
      <sz val="26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56"/>
        <bgColor indexed="64"/>
      </patternFill>
    </fill>
    <fill>
      <patternFill patternType="lightGray">
        <fgColor indexed="22"/>
        <bgColor indexed="9"/>
      </patternFill>
    </fill>
    <fill>
      <patternFill patternType="lightGray">
        <fgColor indexed="40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31"/>
      </patternFill>
    </fill>
    <fill>
      <patternFill patternType="lightGray">
        <fgColor indexed="22"/>
      </patternFill>
    </fill>
    <fill>
      <patternFill patternType="solid">
        <fgColor indexed="26"/>
        <bgColor indexed="55"/>
      </patternFill>
    </fill>
    <fill>
      <patternFill patternType="gray125">
        <fgColor indexed="22"/>
      </patternFill>
    </fill>
    <fill>
      <patternFill patternType="solid">
        <fgColor indexed="65"/>
        <bgColor indexed="64"/>
      </patternFill>
    </fill>
    <fill>
      <patternFill patternType="lightDown">
        <fgColor indexed="9"/>
        <bgColor indexed="26"/>
      </patternFill>
    </fill>
    <fill>
      <patternFill patternType="solid">
        <fgColor indexed="26"/>
        <bgColor indexed="22"/>
      </patternFill>
    </fill>
    <fill>
      <patternFill patternType="solid">
        <fgColor indexed="65"/>
        <bgColor indexed="22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rgb="FFFFFFCC"/>
        <bgColor indexed="55"/>
      </patternFill>
    </fill>
    <fill>
      <patternFill patternType="solid">
        <fgColor rgb="FFFFFFCC"/>
        <bgColor indexed="31"/>
      </patternFill>
    </fill>
    <fill>
      <patternFill patternType="solid">
        <fgColor rgb="FFFFFFCC"/>
        <bgColor indexed="40"/>
      </patternFill>
    </fill>
    <fill>
      <patternFill patternType="gray125">
        <fgColor indexed="22"/>
        <bgColor rgb="FFFFFFFF"/>
      </patternFill>
    </fill>
    <fill>
      <patternFill patternType="lightGray">
        <fgColor indexed="40"/>
        <bgColor theme="0"/>
      </patternFill>
    </fill>
    <fill>
      <patternFill patternType="gray125">
        <fgColor indexed="2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9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22"/>
      </patternFill>
    </fill>
  </fills>
  <borders count="3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39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39"/>
      </top>
      <bottom/>
      <diagonal/>
    </border>
    <border>
      <left style="hair">
        <color indexed="64"/>
      </left>
      <right style="medium">
        <color indexed="64"/>
      </right>
      <top style="thin">
        <color indexed="39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1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/>
      <diagonal/>
    </border>
    <border>
      <left style="hair">
        <color indexed="64"/>
      </left>
      <right style="medium">
        <color rgb="FF000000"/>
      </right>
      <top/>
      <bottom/>
      <diagonal/>
    </border>
    <border>
      <left style="hair">
        <color indexed="64"/>
      </left>
      <right style="medium">
        <color rgb="FF000000"/>
      </right>
      <top/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/>
      <diagonal/>
    </border>
    <border>
      <left style="hair">
        <color indexed="64"/>
      </left>
      <right style="medium">
        <color rgb="FF000000"/>
      </right>
      <top/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/>
      <bottom style="hair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hair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hair">
        <color indexed="64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hair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</borders>
  <cellStyleXfs count="17">
    <xf numFmtId="0" fontId="0" fillId="0" borderId="0"/>
    <xf numFmtId="0" fontId="107" fillId="19" borderId="228" applyNumberFormat="0" applyFont="0" applyAlignment="0" applyProtection="0"/>
    <xf numFmtId="0" fontId="107" fillId="19" borderId="228" applyNumberFormat="0" applyFont="0" applyAlignment="0" applyProtection="0"/>
    <xf numFmtId="0" fontId="108" fillId="20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107" fillId="0" borderId="0"/>
    <xf numFmtId="0" fontId="107" fillId="0" borderId="0"/>
    <xf numFmtId="0" fontId="17" fillId="0" borderId="0"/>
    <xf numFmtId="0" fontId="33" fillId="0" borderId="0"/>
    <xf numFmtId="0" fontId="1" fillId="0" borderId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38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2580">
    <xf numFmtId="0" fontId="0" fillId="0" borderId="0" xfId="0"/>
    <xf numFmtId="0" fontId="1" fillId="0" borderId="0" xfId="0" applyFont="1" applyProtection="1"/>
    <xf numFmtId="0" fontId="18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0" fillId="2" borderId="0" xfId="0" applyFill="1" applyProtection="1"/>
    <xf numFmtId="0" fontId="1" fillId="2" borderId="0" xfId="0" applyFont="1" applyFill="1" applyProtection="1"/>
    <xf numFmtId="49" fontId="3" fillId="2" borderId="0" xfId="0" applyNumberFormat="1" applyFont="1" applyFill="1" applyBorder="1" applyAlignment="1" applyProtection="1">
      <alignment horizontal="left"/>
    </xf>
    <xf numFmtId="1" fontId="3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3" fontId="1" fillId="2" borderId="0" xfId="0" applyNumberFormat="1" applyFont="1" applyFill="1" applyBorder="1" applyProtection="1"/>
    <xf numFmtId="0" fontId="7" fillId="2" borderId="0" xfId="0" applyFont="1" applyFill="1" applyBorder="1" applyProtection="1"/>
    <xf numFmtId="0" fontId="8" fillId="2" borderId="0" xfId="0" applyFont="1" applyFill="1" applyBorder="1" applyProtection="1"/>
    <xf numFmtId="0" fontId="1" fillId="2" borderId="0" xfId="0" applyFont="1" applyFill="1" applyBorder="1" applyProtection="1"/>
    <xf numFmtId="0" fontId="8" fillId="2" borderId="0" xfId="0" applyFont="1" applyFill="1" applyProtection="1"/>
    <xf numFmtId="3" fontId="4" fillId="2" borderId="0" xfId="0" applyNumberFormat="1" applyFont="1" applyFill="1" applyBorder="1" applyProtection="1"/>
    <xf numFmtId="165" fontId="11" fillId="0" borderId="1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/>
    </xf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3" fontId="13" fillId="0" borderId="0" xfId="0" applyNumberFormat="1" applyFont="1" applyFill="1" applyBorder="1" applyProtection="1"/>
    <xf numFmtId="3" fontId="13" fillId="2" borderId="2" xfId="0" applyNumberFormat="1" applyFont="1" applyFill="1" applyBorder="1" applyAlignment="1" applyProtection="1">
      <alignment horizontal="right"/>
      <protection locked="0"/>
    </xf>
    <xf numFmtId="3" fontId="13" fillId="2" borderId="3" xfId="0" applyNumberFormat="1" applyFont="1" applyFill="1" applyBorder="1" applyAlignment="1" applyProtection="1">
      <alignment horizontal="right"/>
      <protection locked="0"/>
    </xf>
    <xf numFmtId="3" fontId="13" fillId="2" borderId="4" xfId="0" applyNumberFormat="1" applyFont="1" applyFill="1" applyBorder="1" applyAlignment="1" applyProtection="1">
      <alignment horizontal="right"/>
      <protection locked="0"/>
    </xf>
    <xf numFmtId="3" fontId="13" fillId="2" borderId="5" xfId="0" applyNumberFormat="1" applyFont="1" applyFill="1" applyBorder="1" applyAlignment="1" applyProtection="1">
      <alignment horizontal="right"/>
      <protection locked="0"/>
    </xf>
    <xf numFmtId="3" fontId="13" fillId="2" borderId="6" xfId="0" applyNumberFormat="1" applyFont="1" applyFill="1" applyBorder="1" applyAlignment="1" applyProtection="1">
      <alignment horizontal="right"/>
      <protection locked="0"/>
    </xf>
    <xf numFmtId="3" fontId="13" fillId="2" borderId="7" xfId="0" applyNumberFormat="1" applyFont="1" applyFill="1" applyBorder="1" applyAlignment="1" applyProtection="1">
      <alignment horizontal="right"/>
      <protection locked="0"/>
    </xf>
    <xf numFmtId="3" fontId="13" fillId="3" borderId="6" xfId="0" applyNumberFormat="1" applyFont="1" applyFill="1" applyBorder="1" applyAlignment="1" applyProtection="1">
      <alignment horizontal="right"/>
    </xf>
    <xf numFmtId="3" fontId="13" fillId="2" borderId="8" xfId="0" applyNumberFormat="1" applyFont="1" applyFill="1" applyBorder="1" applyAlignment="1" applyProtection="1">
      <alignment horizontal="right"/>
      <protection locked="0"/>
    </xf>
    <xf numFmtId="3" fontId="13" fillId="2" borderId="9" xfId="0" applyNumberFormat="1" applyFont="1" applyFill="1" applyBorder="1" applyAlignment="1" applyProtection="1">
      <alignment horizontal="right"/>
      <protection locked="0"/>
    </xf>
    <xf numFmtId="3" fontId="13" fillId="2" borderId="10" xfId="0" applyNumberFormat="1" applyFont="1" applyFill="1" applyBorder="1" applyAlignment="1" applyProtection="1">
      <alignment horizontal="right"/>
      <protection locked="0"/>
    </xf>
    <xf numFmtId="3" fontId="13" fillId="2" borderId="0" xfId="0" applyNumberFormat="1" applyFont="1" applyFill="1" applyBorder="1" applyProtection="1"/>
    <xf numFmtId="3" fontId="13" fillId="2" borderId="0" xfId="0" applyNumberFormat="1" applyFont="1" applyFill="1" applyBorder="1" applyAlignment="1" applyProtection="1">
      <alignment horizontal="right"/>
    </xf>
    <xf numFmtId="0" fontId="23" fillId="2" borderId="0" xfId="0" applyFont="1" applyFill="1" applyBorder="1" applyProtection="1"/>
    <xf numFmtId="3" fontId="8" fillId="2" borderId="0" xfId="0" applyNumberFormat="1" applyFont="1" applyFill="1" applyBorder="1" applyProtection="1"/>
    <xf numFmtId="3" fontId="8" fillId="2" borderId="0" xfId="0" applyNumberFormat="1" applyFont="1" applyFill="1" applyBorder="1" applyAlignment="1" applyProtection="1"/>
    <xf numFmtId="0" fontId="23" fillId="2" borderId="0" xfId="0" applyFont="1" applyFill="1" applyProtection="1"/>
    <xf numFmtId="0" fontId="53" fillId="2" borderId="0" xfId="0" applyFont="1" applyFill="1" applyBorder="1" applyAlignment="1" applyProtection="1">
      <alignment vertical="top"/>
    </xf>
    <xf numFmtId="167" fontId="8" fillId="2" borderId="0" xfId="0" applyNumberFormat="1" applyFont="1" applyFill="1" applyBorder="1" applyProtection="1"/>
    <xf numFmtId="3" fontId="13" fillId="2" borderId="0" xfId="0" applyNumberFormat="1" applyFont="1" applyFill="1" applyBorder="1" applyAlignment="1" applyProtection="1">
      <alignment horizontal="left"/>
    </xf>
    <xf numFmtId="3" fontId="5" fillId="2" borderId="0" xfId="0" applyNumberFormat="1" applyFont="1" applyFill="1" applyBorder="1" applyProtection="1"/>
    <xf numFmtId="0" fontId="13" fillId="2" borderId="0" xfId="0" applyFont="1" applyFill="1" applyBorder="1" applyProtection="1"/>
    <xf numFmtId="1" fontId="37" fillId="2" borderId="0" xfId="0" applyNumberFormat="1" applyFont="1" applyFill="1" applyBorder="1" applyAlignment="1" applyProtection="1">
      <alignment horizontal="left"/>
    </xf>
    <xf numFmtId="166" fontId="44" fillId="2" borderId="0" xfId="0" applyNumberFormat="1" applyFont="1" applyFill="1" applyBorder="1" applyProtection="1"/>
    <xf numFmtId="3" fontId="34" fillId="2" borderId="0" xfId="0" applyNumberFormat="1" applyFont="1" applyFill="1" applyProtection="1"/>
    <xf numFmtId="0" fontId="7" fillId="2" borderId="0" xfId="0" applyFont="1" applyFill="1" applyProtection="1"/>
    <xf numFmtId="0" fontId="3" fillId="2" borderId="0" xfId="0" applyFont="1" applyFill="1" applyProtection="1"/>
    <xf numFmtId="3" fontId="7" fillId="2" borderId="11" xfId="0" applyNumberFormat="1" applyFont="1" applyFill="1" applyBorder="1" applyProtection="1"/>
    <xf numFmtId="3" fontId="7" fillId="2" borderId="0" xfId="0" applyNumberFormat="1" applyFont="1" applyFill="1" applyBorder="1" applyProtection="1"/>
    <xf numFmtId="3" fontId="8" fillId="4" borderId="0" xfId="0" applyNumberFormat="1" applyFont="1" applyFill="1" applyBorder="1" applyProtection="1"/>
    <xf numFmtId="3" fontId="13" fillId="5" borderId="0" xfId="0" applyNumberFormat="1" applyFont="1" applyFill="1" applyBorder="1" applyAlignment="1" applyProtection="1">
      <alignment horizontal="right"/>
    </xf>
    <xf numFmtId="3" fontId="13" fillId="4" borderId="0" xfId="0" applyNumberFormat="1" applyFont="1" applyFill="1" applyBorder="1" applyAlignment="1" applyProtection="1">
      <alignment horizontal="right"/>
    </xf>
    <xf numFmtId="3" fontId="13" fillId="4" borderId="0" xfId="0" applyNumberFormat="1" applyFont="1" applyFill="1" applyBorder="1" applyAlignment="1" applyProtection="1">
      <alignment horizontal="left"/>
    </xf>
    <xf numFmtId="3" fontId="13" fillId="5" borderId="0" xfId="0" applyNumberFormat="1" applyFont="1" applyFill="1" applyBorder="1" applyAlignment="1" applyProtection="1"/>
    <xf numFmtId="3" fontId="13" fillId="5" borderId="0" xfId="0" applyNumberFormat="1" applyFont="1" applyFill="1" applyBorder="1" applyProtection="1"/>
    <xf numFmtId="3" fontId="2" fillId="2" borderId="5" xfId="0" applyNumberFormat="1" applyFont="1" applyFill="1" applyBorder="1" applyAlignment="1" applyProtection="1">
      <alignment horizontal="right"/>
      <protection locked="0"/>
    </xf>
    <xf numFmtId="3" fontId="2" fillId="2" borderId="12" xfId="0" applyNumberFormat="1" applyFont="1" applyFill="1" applyBorder="1" applyAlignment="1" applyProtection="1">
      <alignment horizontal="right"/>
      <protection locked="0"/>
    </xf>
    <xf numFmtId="3" fontId="50" fillId="2" borderId="0" xfId="0" applyNumberFormat="1" applyFont="1" applyFill="1" applyBorder="1" applyProtection="1"/>
    <xf numFmtId="3" fontId="13" fillId="6" borderId="0" xfId="0" applyNumberFormat="1" applyFont="1" applyFill="1" applyBorder="1" applyAlignment="1" applyProtection="1">
      <alignment horizontal="right"/>
    </xf>
    <xf numFmtId="3" fontId="13" fillId="6" borderId="0" xfId="0" applyNumberFormat="1" applyFont="1" applyFill="1" applyBorder="1" applyAlignment="1" applyProtection="1"/>
    <xf numFmtId="0" fontId="61" fillId="2" borderId="0" xfId="0" applyFont="1" applyFill="1" applyBorder="1" applyAlignment="1" applyProtection="1"/>
    <xf numFmtId="0" fontId="63" fillId="2" borderId="0" xfId="0" quotePrefix="1" applyFont="1" applyFill="1" applyBorder="1" applyAlignment="1" applyProtection="1"/>
    <xf numFmtId="0" fontId="64" fillId="2" borderId="0" xfId="0" applyNumberFormat="1" applyFont="1" applyFill="1" applyProtection="1">
      <protection hidden="1"/>
    </xf>
    <xf numFmtId="0" fontId="64" fillId="2" borderId="0" xfId="0" applyNumberFormat="1" applyFont="1" applyFill="1" applyProtection="1"/>
    <xf numFmtId="0" fontId="65" fillId="2" borderId="0" xfId="0" applyNumberFormat="1" applyFont="1" applyFill="1" applyProtection="1"/>
    <xf numFmtId="0" fontId="65" fillId="2" borderId="0" xfId="0" applyFont="1" applyFill="1" applyProtection="1"/>
    <xf numFmtId="3" fontId="3" fillId="2" borderId="0" xfId="0" applyNumberFormat="1" applyFont="1" applyFill="1" applyBorder="1" applyProtection="1"/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Protection="1"/>
    <xf numFmtId="167" fontId="9" fillId="2" borderId="0" xfId="0" applyNumberFormat="1" applyFont="1" applyFill="1" applyProtection="1"/>
    <xf numFmtId="0" fontId="35" fillId="2" borderId="0" xfId="0" applyFont="1" applyFill="1" applyProtection="1"/>
    <xf numFmtId="0" fontId="66" fillId="2" borderId="0" xfId="0" applyFont="1" applyFill="1" applyProtection="1"/>
    <xf numFmtId="0" fontId="34" fillId="2" borderId="0" xfId="0" applyFont="1" applyFill="1" applyBorder="1" applyAlignment="1" applyProtection="1">
      <alignment horizontal="left" vertical="top"/>
    </xf>
    <xf numFmtId="3" fontId="2" fillId="0" borderId="0" xfId="0" applyNumberFormat="1" applyFont="1" applyFill="1" applyBorder="1" applyAlignment="1" applyProtection="1">
      <alignment horizontal="right"/>
    </xf>
    <xf numFmtId="3" fontId="5" fillId="4" borderId="0" xfId="0" applyNumberFormat="1" applyFont="1" applyFill="1" applyBorder="1" applyProtection="1"/>
    <xf numFmtId="0" fontId="53" fillId="2" borderId="0" xfId="0" applyFont="1" applyFill="1" applyAlignment="1" applyProtection="1">
      <alignment vertical="top"/>
    </xf>
    <xf numFmtId="0" fontId="49" fillId="2" borderId="0" xfId="0" applyFont="1" applyFill="1" applyAlignment="1" applyProtection="1"/>
    <xf numFmtId="0" fontId="49" fillId="2" borderId="0" xfId="0" applyFont="1" applyFill="1" applyAlignment="1" applyProtection="1">
      <alignment vertical="top"/>
    </xf>
    <xf numFmtId="0" fontId="31" fillId="7" borderId="0" xfId="0" applyFont="1" applyFill="1" applyBorder="1" applyAlignment="1" applyProtection="1">
      <alignment horizontal="left"/>
    </xf>
    <xf numFmtId="0" fontId="28" fillId="7" borderId="0" xfId="0" applyFont="1" applyFill="1" applyBorder="1" applyAlignment="1" applyProtection="1">
      <alignment horizontal="left"/>
    </xf>
    <xf numFmtId="0" fontId="3" fillId="0" borderId="0" xfId="0" applyFont="1" applyFill="1" applyProtection="1"/>
    <xf numFmtId="3" fontId="2" fillId="8" borderId="13" xfId="0" applyNumberFormat="1" applyFont="1" applyFill="1" applyBorder="1" applyAlignment="1" applyProtection="1">
      <alignment horizontal="right"/>
    </xf>
    <xf numFmtId="3" fontId="2" fillId="9" borderId="14" xfId="0" applyNumberFormat="1" applyFont="1" applyFill="1" applyBorder="1" applyAlignment="1" applyProtection="1">
      <alignment horizontal="right"/>
    </xf>
    <xf numFmtId="3" fontId="2" fillId="9" borderId="9" xfId="0" applyNumberFormat="1" applyFont="1" applyFill="1" applyBorder="1" applyAlignment="1" applyProtection="1">
      <alignment horizontal="right"/>
    </xf>
    <xf numFmtId="3" fontId="2" fillId="9" borderId="7" xfId="0" applyNumberFormat="1" applyFont="1" applyFill="1" applyBorder="1" applyAlignment="1" applyProtection="1">
      <alignment horizontal="right"/>
    </xf>
    <xf numFmtId="3" fontId="2" fillId="9" borderId="15" xfId="0" applyNumberFormat="1" applyFont="1" applyFill="1" applyBorder="1" applyAlignment="1" applyProtection="1">
      <alignment horizontal="right"/>
    </xf>
    <xf numFmtId="3" fontId="2" fillId="9" borderId="17" xfId="0" applyNumberFormat="1" applyFont="1" applyFill="1" applyBorder="1" applyAlignment="1" applyProtection="1">
      <alignment horizontal="right"/>
    </xf>
    <xf numFmtId="3" fontId="2" fillId="9" borderId="5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31" fillId="7" borderId="0" xfId="0" applyFont="1" applyFill="1" applyAlignment="1" applyProtection="1">
      <alignment vertical="top"/>
    </xf>
    <xf numFmtId="0" fontId="29" fillId="7" borderId="0" xfId="0" applyFont="1" applyFill="1" applyProtection="1"/>
    <xf numFmtId="0" fontId="30" fillId="7" borderId="0" xfId="0" applyFont="1" applyFill="1" applyProtection="1"/>
    <xf numFmtId="0" fontId="31" fillId="7" borderId="0" xfId="0" quotePrefix="1" applyFont="1" applyFill="1" applyBorder="1" applyAlignment="1" applyProtection="1">
      <alignment horizontal="left"/>
    </xf>
    <xf numFmtId="0" fontId="58" fillId="7" borderId="0" xfId="0" applyFont="1" applyFill="1" applyProtection="1"/>
    <xf numFmtId="0" fontId="59" fillId="7" borderId="0" xfId="0" applyFont="1" applyFill="1" applyProtection="1"/>
    <xf numFmtId="167" fontId="59" fillId="7" borderId="0" xfId="0" applyNumberFormat="1" applyFont="1" applyFill="1" applyProtection="1"/>
    <xf numFmtId="3" fontId="2" fillId="9" borderId="9" xfId="0" applyNumberFormat="1" applyFont="1" applyFill="1" applyBorder="1" applyProtection="1"/>
    <xf numFmtId="3" fontId="2" fillId="9" borderId="5" xfId="0" applyNumberFormat="1" applyFont="1" applyFill="1" applyBorder="1" applyProtection="1"/>
    <xf numFmtId="3" fontId="2" fillId="2" borderId="18" xfId="0" applyNumberFormat="1" applyFont="1" applyFill="1" applyBorder="1" applyAlignment="1" applyProtection="1">
      <alignment horizontal="right"/>
      <protection locked="0"/>
    </xf>
    <xf numFmtId="3" fontId="13" fillId="2" borderId="18" xfId="0" applyNumberFormat="1" applyFont="1" applyFill="1" applyBorder="1" applyAlignment="1" applyProtection="1">
      <alignment horizontal="right"/>
      <protection locked="0"/>
    </xf>
    <xf numFmtId="3" fontId="13" fillId="2" borderId="19" xfId="0" applyNumberFormat="1" applyFont="1" applyFill="1" applyBorder="1" applyAlignment="1" applyProtection="1">
      <alignment horizontal="right"/>
      <protection locked="0"/>
    </xf>
    <xf numFmtId="3" fontId="13" fillId="2" borderId="20" xfId="0" applyNumberFormat="1" applyFont="1" applyFill="1" applyBorder="1" applyAlignment="1" applyProtection="1">
      <alignment horizontal="right"/>
      <protection locked="0"/>
    </xf>
    <xf numFmtId="3" fontId="13" fillId="2" borderId="21" xfId="0" applyNumberFormat="1" applyFont="1" applyFill="1" applyBorder="1" applyAlignment="1" applyProtection="1">
      <alignment horizontal="right"/>
      <protection locked="0"/>
    </xf>
    <xf numFmtId="3" fontId="13" fillId="2" borderId="22" xfId="0" applyNumberFormat="1" applyFont="1" applyFill="1" applyBorder="1" applyAlignment="1" applyProtection="1">
      <alignment horizontal="right"/>
      <protection locked="0"/>
    </xf>
    <xf numFmtId="3" fontId="13" fillId="3" borderId="19" xfId="0" applyNumberFormat="1" applyFont="1" applyFill="1" applyBorder="1" applyAlignment="1" applyProtection="1">
      <alignment horizontal="right"/>
    </xf>
    <xf numFmtId="3" fontId="13" fillId="2" borderId="23" xfId="0" applyNumberFormat="1" applyFont="1" applyFill="1" applyBorder="1" applyAlignment="1" applyProtection="1">
      <alignment horizontal="right"/>
      <protection locked="0"/>
    </xf>
    <xf numFmtId="3" fontId="13" fillId="2" borderId="24" xfId="0" applyNumberFormat="1" applyFont="1" applyFill="1" applyBorder="1" applyAlignment="1" applyProtection="1">
      <alignment horizontal="right"/>
      <protection locked="0"/>
    </xf>
    <xf numFmtId="3" fontId="13" fillId="2" borderId="25" xfId="0" applyNumberFormat="1" applyFont="1" applyFill="1" applyBorder="1" applyAlignment="1" applyProtection="1">
      <alignment horizontal="right"/>
      <protection locked="0"/>
    </xf>
    <xf numFmtId="3" fontId="13" fillId="2" borderId="26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Protection="1"/>
    <xf numFmtId="0" fontId="8" fillId="4" borderId="0" xfId="0" applyFont="1" applyFill="1" applyBorder="1" applyProtection="1"/>
    <xf numFmtId="3" fontId="13" fillId="5" borderId="27" xfId="0" applyNumberFormat="1" applyFont="1" applyFill="1" applyBorder="1" applyAlignment="1" applyProtection="1">
      <alignment horizontal="right"/>
    </xf>
    <xf numFmtId="3" fontId="13" fillId="2" borderId="28" xfId="0" applyNumberFormat="1" applyFont="1" applyFill="1" applyBorder="1" applyAlignment="1" applyProtection="1">
      <alignment horizontal="right"/>
      <protection locked="0"/>
    </xf>
    <xf numFmtId="3" fontId="13" fillId="2" borderId="29" xfId="0" applyNumberFormat="1" applyFont="1" applyFill="1" applyBorder="1" applyAlignment="1" applyProtection="1">
      <alignment horizontal="right"/>
      <protection locked="0"/>
    </xf>
    <xf numFmtId="3" fontId="13" fillId="2" borderId="30" xfId="0" applyNumberFormat="1" applyFont="1" applyFill="1" applyBorder="1" applyAlignment="1" applyProtection="1">
      <alignment horizontal="right"/>
      <protection locked="0"/>
    </xf>
    <xf numFmtId="3" fontId="13" fillId="3" borderId="31" xfId="0" applyNumberFormat="1" applyFont="1" applyFill="1" applyBorder="1" applyAlignment="1" applyProtection="1">
      <alignment horizontal="right"/>
    </xf>
    <xf numFmtId="3" fontId="13" fillId="3" borderId="29" xfId="0" applyNumberFormat="1" applyFont="1" applyFill="1" applyBorder="1" applyAlignment="1" applyProtection="1">
      <alignment horizontal="right"/>
    </xf>
    <xf numFmtId="3" fontId="13" fillId="3" borderId="32" xfId="0" applyNumberFormat="1" applyFont="1" applyFill="1" applyBorder="1" applyAlignment="1" applyProtection="1">
      <alignment horizontal="right"/>
    </xf>
    <xf numFmtId="3" fontId="13" fillId="2" borderId="32" xfId="0" applyNumberFormat="1" applyFont="1" applyFill="1" applyBorder="1" applyAlignment="1" applyProtection="1">
      <alignment horizontal="right"/>
      <protection locked="0"/>
    </xf>
    <xf numFmtId="3" fontId="2" fillId="9" borderId="33" xfId="0" applyNumberFormat="1" applyFont="1" applyFill="1" applyBorder="1" applyProtection="1"/>
    <xf numFmtId="3" fontId="2" fillId="9" borderId="34" xfId="0" applyNumberFormat="1" applyFont="1" applyFill="1" applyBorder="1" applyAlignment="1" applyProtection="1">
      <alignment horizontal="right"/>
    </xf>
    <xf numFmtId="3" fontId="2" fillId="9" borderId="35" xfId="0" applyNumberFormat="1" applyFont="1" applyFill="1" applyBorder="1" applyAlignment="1" applyProtection="1">
      <alignment horizontal="right"/>
    </xf>
    <xf numFmtId="0" fontId="3" fillId="10" borderId="36" xfId="0" applyFont="1" applyFill="1" applyBorder="1" applyAlignment="1" applyProtection="1">
      <alignment horizontal="center"/>
    </xf>
    <xf numFmtId="0" fontId="3" fillId="10" borderId="37" xfId="0" applyFont="1" applyFill="1" applyBorder="1" applyAlignment="1" applyProtection="1">
      <alignment horizontal="center"/>
    </xf>
    <xf numFmtId="0" fontId="3" fillId="10" borderId="38" xfId="0" applyFont="1" applyFill="1" applyBorder="1" applyAlignment="1" applyProtection="1">
      <alignment horizontal="center"/>
    </xf>
    <xf numFmtId="0" fontId="34" fillId="2" borderId="0" xfId="0" applyFont="1" applyFill="1" applyBorder="1" applyProtection="1"/>
    <xf numFmtId="3" fontId="7" fillId="2" borderId="39" xfId="0" applyNumberFormat="1" applyFont="1" applyFill="1" applyBorder="1" applyProtection="1"/>
    <xf numFmtId="3" fontId="36" fillId="2" borderId="39" xfId="0" applyNumberFormat="1" applyFont="1" applyFill="1" applyBorder="1" applyAlignment="1" applyProtection="1">
      <alignment horizontal="left"/>
    </xf>
    <xf numFmtId="3" fontId="2" fillId="9" borderId="40" xfId="0" applyNumberFormat="1" applyFont="1" applyFill="1" applyBorder="1" applyAlignment="1" applyProtection="1">
      <alignment horizontal="right"/>
    </xf>
    <xf numFmtId="3" fontId="2" fillId="9" borderId="20" xfId="0" applyNumberFormat="1" applyFont="1" applyFill="1" applyBorder="1" applyAlignment="1" applyProtection="1">
      <alignment horizontal="right"/>
    </xf>
    <xf numFmtId="3" fontId="2" fillId="9" borderId="41" xfId="0" applyNumberFormat="1" applyFont="1" applyFill="1" applyBorder="1" applyAlignment="1" applyProtection="1">
      <alignment horizontal="right"/>
    </xf>
    <xf numFmtId="0" fontId="31" fillId="7" borderId="0" xfId="6" applyFont="1" applyFill="1" applyBorder="1" applyAlignment="1" applyProtection="1">
      <alignment horizontal="left"/>
    </xf>
    <xf numFmtId="0" fontId="28" fillId="7" borderId="0" xfId="6" applyFont="1" applyFill="1" applyBorder="1" applyAlignment="1" applyProtection="1">
      <alignment horizontal="left"/>
    </xf>
    <xf numFmtId="3" fontId="2" fillId="2" borderId="5" xfId="6" applyNumberFormat="1" applyFont="1" applyFill="1" applyBorder="1" applyAlignment="1" applyProtection="1">
      <alignment horizontal="right"/>
      <protection locked="0"/>
    </xf>
    <xf numFmtId="3" fontId="2" fillId="8" borderId="2" xfId="6" applyNumberFormat="1" applyFont="1" applyFill="1" applyBorder="1" applyAlignment="1" applyProtection="1">
      <alignment horizontal="right"/>
    </xf>
    <xf numFmtId="3" fontId="2" fillId="9" borderId="5" xfId="6" applyNumberFormat="1" applyFont="1" applyFill="1" applyBorder="1" applyAlignment="1" applyProtection="1">
      <alignment horizontal="right"/>
    </xf>
    <xf numFmtId="3" fontId="35" fillId="8" borderId="5" xfId="6" applyNumberFormat="1" applyFont="1" applyFill="1" applyBorder="1" applyProtection="1"/>
    <xf numFmtId="3" fontId="35" fillId="8" borderId="2" xfId="6" applyNumberFormat="1" applyFont="1" applyFill="1" applyBorder="1" applyProtection="1"/>
    <xf numFmtId="3" fontId="35" fillId="8" borderId="42" xfId="6" applyNumberFormat="1" applyFont="1" applyFill="1" applyBorder="1" applyProtection="1"/>
    <xf numFmtId="0" fontId="77" fillId="7" borderId="0" xfId="0" applyFont="1" applyFill="1" applyBorder="1" applyAlignment="1" applyProtection="1">
      <alignment horizontal="left"/>
    </xf>
    <xf numFmtId="3" fontId="56" fillId="2" borderId="0" xfId="0" applyNumberFormat="1" applyFont="1" applyFill="1" applyBorder="1" applyAlignment="1" applyProtection="1"/>
    <xf numFmtId="3" fontId="34" fillId="0" borderId="0" xfId="0" applyNumberFormat="1" applyFont="1" applyFill="1" applyBorder="1" applyProtection="1"/>
    <xf numFmtId="49" fontId="5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7" fillId="0" borderId="0" xfId="0" applyFont="1" applyFill="1" applyBorder="1" applyProtection="1"/>
    <xf numFmtId="3" fontId="3" fillId="0" borderId="0" xfId="0" applyNumberFormat="1" applyFont="1" applyFill="1" applyBorder="1" applyProtection="1"/>
    <xf numFmtId="0" fontId="3" fillId="0" borderId="0" xfId="0" applyFont="1" applyFill="1" applyBorder="1" applyProtection="1"/>
    <xf numFmtId="3" fontId="13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/>
    <xf numFmtId="49" fontId="2" fillId="10" borderId="44" xfId="0" applyNumberFormat="1" applyFont="1" applyFill="1" applyBorder="1" applyAlignment="1" applyProtection="1"/>
    <xf numFmtId="49" fontId="2" fillId="10" borderId="28" xfId="0" applyNumberFormat="1" applyFont="1" applyFill="1" applyBorder="1" applyAlignment="1" applyProtection="1"/>
    <xf numFmtId="49" fontId="2" fillId="10" borderId="29" xfId="0" applyNumberFormat="1" applyFont="1" applyFill="1" applyBorder="1" applyAlignment="1" applyProtection="1"/>
    <xf numFmtId="49" fontId="2" fillId="10" borderId="45" xfId="0" applyNumberFormat="1" applyFont="1" applyFill="1" applyBorder="1" applyAlignment="1" applyProtection="1"/>
    <xf numFmtId="49" fontId="2" fillId="10" borderId="46" xfId="0" applyNumberFormat="1" applyFont="1" applyFill="1" applyBorder="1" applyAlignment="1" applyProtection="1"/>
    <xf numFmtId="49" fontId="2" fillId="10" borderId="47" xfId="0" applyNumberFormat="1" applyFont="1" applyFill="1" applyBorder="1" applyAlignment="1" applyProtection="1"/>
    <xf numFmtId="49" fontId="2" fillId="10" borderId="30" xfId="0" applyNumberFormat="1" applyFont="1" applyFill="1" applyBorder="1" applyAlignment="1" applyProtection="1"/>
    <xf numFmtId="3" fontId="81" fillId="0" borderId="0" xfId="0" applyNumberFormat="1" applyFont="1" applyFill="1" applyBorder="1" applyProtection="1"/>
    <xf numFmtId="0" fontId="60" fillId="2" borderId="0" xfId="0" applyFont="1" applyFill="1" applyProtection="1"/>
    <xf numFmtId="0" fontId="83" fillId="7" borderId="0" xfId="0" applyFont="1" applyFill="1" applyProtection="1"/>
    <xf numFmtId="0" fontId="60" fillId="2" borderId="0" xfId="0" applyNumberFormat="1" applyFont="1" applyFill="1" applyBorder="1" applyProtection="1"/>
    <xf numFmtId="170" fontId="81" fillId="2" borderId="0" xfId="0" applyNumberFormat="1" applyFont="1" applyFill="1" applyBorder="1" applyAlignment="1" applyProtection="1">
      <alignment horizontal="left"/>
    </xf>
    <xf numFmtId="3" fontId="81" fillId="2" borderId="0" xfId="0" applyNumberFormat="1" applyFont="1" applyFill="1" applyBorder="1" applyProtection="1"/>
    <xf numFmtId="0" fontId="81" fillId="2" borderId="0" xfId="0" applyFont="1" applyFill="1" applyProtection="1"/>
    <xf numFmtId="3" fontId="2" fillId="9" borderId="48" xfId="0" applyNumberFormat="1" applyFont="1" applyFill="1" applyBorder="1" applyAlignment="1" applyProtection="1">
      <alignment horizontal="right"/>
    </xf>
    <xf numFmtId="3" fontId="2" fillId="9" borderId="49" xfId="0" applyNumberFormat="1" applyFont="1" applyFill="1" applyBorder="1" applyAlignment="1" applyProtection="1">
      <alignment horizontal="right"/>
    </xf>
    <xf numFmtId="49" fontId="2" fillId="10" borderId="0" xfId="0" applyNumberFormat="1" applyFont="1" applyFill="1" applyBorder="1" applyAlignment="1" applyProtection="1"/>
    <xf numFmtId="49" fontId="2" fillId="10" borderId="50" xfId="0" applyNumberFormat="1" applyFont="1" applyFill="1" applyBorder="1" applyAlignment="1" applyProtection="1"/>
    <xf numFmtId="49" fontId="2" fillId="10" borderId="51" xfId="0" applyNumberFormat="1" applyFont="1" applyFill="1" applyBorder="1" applyAlignment="1" applyProtection="1"/>
    <xf numFmtId="0" fontId="0" fillId="7" borderId="0" xfId="0" applyFill="1" applyProtection="1"/>
    <xf numFmtId="0" fontId="0" fillId="0" borderId="0" xfId="0" applyFill="1" applyBorder="1" applyProtection="1"/>
    <xf numFmtId="0" fontId="0" fillId="0" borderId="0" xfId="0" applyProtection="1"/>
    <xf numFmtId="0" fontId="0" fillId="2" borderId="0" xfId="0" applyFill="1" applyBorder="1" applyProtection="1"/>
    <xf numFmtId="0" fontId="2" fillId="2" borderId="0" xfId="0" applyFont="1" applyFill="1" applyBorder="1" applyProtection="1"/>
    <xf numFmtId="0" fontId="0" fillId="0" borderId="0" xfId="0" applyBorder="1" applyAlignment="1" applyProtection="1"/>
    <xf numFmtId="3" fontId="2" fillId="0" borderId="5" xfId="0" applyNumberFormat="1" applyFont="1" applyFill="1" applyBorder="1" applyAlignment="1" applyProtection="1">
      <alignment horizontal="right"/>
      <protection locked="0"/>
    </xf>
    <xf numFmtId="3" fontId="2" fillId="0" borderId="52" xfId="0" applyNumberFormat="1" applyFont="1" applyFill="1" applyBorder="1" applyAlignment="1" applyProtection="1">
      <alignment horizontal="right"/>
      <protection locked="0"/>
    </xf>
    <xf numFmtId="3" fontId="2" fillId="2" borderId="53" xfId="0" applyNumberFormat="1" applyFont="1" applyFill="1" applyBorder="1" applyAlignment="1" applyProtection="1">
      <alignment horizontal="right"/>
      <protection locked="0"/>
    </xf>
    <xf numFmtId="3" fontId="2" fillId="2" borderId="19" xfId="0" applyNumberFormat="1" applyFont="1" applyFill="1" applyBorder="1" applyAlignment="1" applyProtection="1">
      <alignment horizontal="right"/>
      <protection locked="0"/>
    </xf>
    <xf numFmtId="0" fontId="34" fillId="2" borderId="0" xfId="0" applyFont="1" applyFill="1" applyProtection="1"/>
    <xf numFmtId="0" fontId="34" fillId="2" borderId="0" xfId="0" applyFont="1" applyFill="1" applyBorder="1" applyAlignment="1" applyProtection="1">
      <alignment horizontal="left"/>
    </xf>
    <xf numFmtId="0" fontId="49" fillId="2" borderId="0" xfId="0" applyFont="1" applyFill="1" applyProtection="1"/>
    <xf numFmtId="0" fontId="49" fillId="0" borderId="0" xfId="0" applyFont="1" applyFill="1" applyBorder="1" applyProtection="1"/>
    <xf numFmtId="49" fontId="0" fillId="2" borderId="0" xfId="0" applyNumberFormat="1" applyFill="1" applyProtection="1"/>
    <xf numFmtId="0" fontId="82" fillId="2" borderId="0" xfId="0" applyFont="1" applyFill="1" applyProtection="1"/>
    <xf numFmtId="0" fontId="22" fillId="2" borderId="0" xfId="0" applyFont="1" applyFill="1" applyProtection="1"/>
    <xf numFmtId="3" fontId="2" fillId="2" borderId="54" xfId="0" applyNumberFormat="1" applyFont="1" applyFill="1" applyBorder="1" applyAlignment="1" applyProtection="1">
      <alignment horizontal="right"/>
      <protection locked="0"/>
    </xf>
    <xf numFmtId="3" fontId="2" fillId="6" borderId="18" xfId="0" applyNumberFormat="1" applyFont="1" applyFill="1" applyBorder="1" applyAlignment="1" applyProtection="1">
      <alignment horizontal="right"/>
      <protection locked="0"/>
    </xf>
    <xf numFmtId="3" fontId="2" fillId="2" borderId="55" xfId="0" applyNumberFormat="1" applyFont="1" applyFill="1" applyBorder="1" applyAlignment="1" applyProtection="1">
      <alignment horizontal="right"/>
      <protection locked="0"/>
    </xf>
    <xf numFmtId="3" fontId="2" fillId="6" borderId="19" xfId="0" applyNumberFormat="1" applyFont="1" applyFill="1" applyBorder="1" applyAlignment="1" applyProtection="1">
      <alignment horizontal="right"/>
      <protection locked="0"/>
    </xf>
    <xf numFmtId="3" fontId="2" fillId="11" borderId="18" xfId="0" applyNumberFormat="1" applyFont="1" applyFill="1" applyBorder="1" applyAlignment="1" applyProtection="1">
      <alignment horizontal="right"/>
      <protection locked="0"/>
    </xf>
    <xf numFmtId="3" fontId="2" fillId="2" borderId="26" xfId="0" applyNumberFormat="1" applyFont="1" applyFill="1" applyBorder="1" applyAlignment="1" applyProtection="1">
      <alignment horizontal="right"/>
      <protection locked="0"/>
    </xf>
    <xf numFmtId="3" fontId="2" fillId="6" borderId="54" xfId="0" applyNumberFormat="1" applyFont="1" applyFill="1" applyBorder="1" applyAlignment="1" applyProtection="1">
      <alignment horizontal="right"/>
      <protection locked="0"/>
    </xf>
    <xf numFmtId="3" fontId="2" fillId="6" borderId="12" xfId="0" applyNumberFormat="1" applyFont="1" applyFill="1" applyBorder="1" applyAlignment="1" applyProtection="1">
      <alignment horizontal="right"/>
      <protection locked="0"/>
    </xf>
    <xf numFmtId="3" fontId="2" fillId="6" borderId="56" xfId="0" applyNumberFormat="1" applyFont="1" applyFill="1" applyBorder="1" applyAlignment="1" applyProtection="1">
      <alignment horizontal="right"/>
      <protection locked="0"/>
    </xf>
    <xf numFmtId="3" fontId="2" fillId="2" borderId="20" xfId="0" applyNumberFormat="1" applyFont="1" applyFill="1" applyBorder="1" applyAlignment="1" applyProtection="1">
      <alignment horizontal="right"/>
      <protection locked="0"/>
    </xf>
    <xf numFmtId="3" fontId="2" fillId="2" borderId="57" xfId="0" applyNumberFormat="1" applyFont="1" applyFill="1" applyBorder="1" applyAlignment="1" applyProtection="1">
      <alignment horizontal="right"/>
      <protection locked="0"/>
    </xf>
    <xf numFmtId="0" fontId="0" fillId="7" borderId="0" xfId="0" applyFill="1" applyBorder="1" applyProtection="1"/>
    <xf numFmtId="0" fontId="22" fillId="2" borderId="0" xfId="0" applyFont="1" applyFill="1" applyBorder="1" applyProtection="1"/>
    <xf numFmtId="0" fontId="52" fillId="2" borderId="0" xfId="0" quotePrefix="1" applyFont="1" applyFill="1" applyAlignment="1" applyProtection="1">
      <alignment horizontal="left"/>
    </xf>
    <xf numFmtId="0" fontId="38" fillId="0" borderId="0" xfId="0" applyFont="1" applyFill="1" applyBorder="1" applyProtection="1"/>
    <xf numFmtId="0" fontId="49" fillId="0" borderId="0" xfId="0" applyFont="1" applyFill="1" applyProtection="1"/>
    <xf numFmtId="0" fontId="0" fillId="0" borderId="0" xfId="0" applyFill="1" applyProtection="1"/>
    <xf numFmtId="0" fontId="11" fillId="4" borderId="0" xfId="0" applyFont="1" applyFill="1" applyBorder="1" applyProtection="1"/>
    <xf numFmtId="49" fontId="11" fillId="0" borderId="58" xfId="0" applyNumberFormat="1" applyFont="1" applyFill="1" applyBorder="1" applyProtection="1"/>
    <xf numFmtId="0" fontId="22" fillId="0" borderId="0" xfId="0" applyFont="1" applyFill="1" applyBorder="1" applyProtection="1"/>
    <xf numFmtId="0" fontId="23" fillId="4" borderId="0" xfId="0" applyFont="1" applyFill="1" applyBorder="1" applyProtection="1"/>
    <xf numFmtId="3" fontId="13" fillId="4" borderId="0" xfId="0" applyNumberFormat="1" applyFont="1" applyFill="1" applyBorder="1" applyProtection="1"/>
    <xf numFmtId="0" fontId="49" fillId="2" borderId="0" xfId="0" applyFont="1" applyFill="1" applyBorder="1" applyProtection="1"/>
    <xf numFmtId="0" fontId="19" fillId="2" borderId="0" xfId="0" applyFont="1" applyFill="1" applyBorder="1" applyProtection="1"/>
    <xf numFmtId="0" fontId="11" fillId="2" borderId="0" xfId="0" applyFont="1" applyFill="1" applyBorder="1" applyProtection="1"/>
    <xf numFmtId="49" fontId="11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22" fillId="0" borderId="0" xfId="0" applyFont="1" applyProtection="1"/>
    <xf numFmtId="0" fontId="22" fillId="0" borderId="0" xfId="0" applyFont="1" applyBorder="1" applyProtection="1"/>
    <xf numFmtId="0" fontId="79" fillId="0" borderId="0" xfId="0" applyFont="1" applyFill="1" applyBorder="1" applyProtection="1"/>
    <xf numFmtId="3" fontId="2" fillId="0" borderId="32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Border="1" applyProtection="1"/>
    <xf numFmtId="0" fontId="9" fillId="2" borderId="1" xfId="0" applyFont="1" applyFill="1" applyBorder="1" applyProtection="1"/>
    <xf numFmtId="0" fontId="19" fillId="2" borderId="0" xfId="0" applyFont="1" applyFill="1" applyProtection="1"/>
    <xf numFmtId="0" fontId="9" fillId="0" borderId="0" xfId="0" applyFont="1" applyFill="1" applyBorder="1" applyProtection="1"/>
    <xf numFmtId="3" fontId="2" fillId="2" borderId="59" xfId="0" applyNumberFormat="1" applyFont="1" applyFill="1" applyBorder="1" applyAlignment="1" applyProtection="1">
      <alignment horizontal="right"/>
      <protection locked="0"/>
    </xf>
    <xf numFmtId="3" fontId="13" fillId="2" borderId="53" xfId="0" applyNumberFormat="1" applyFont="1" applyFill="1" applyBorder="1" applyAlignment="1" applyProtection="1">
      <alignment horizontal="right"/>
      <protection locked="0"/>
    </xf>
    <xf numFmtId="3" fontId="13" fillId="0" borderId="20" xfId="0" applyNumberFormat="1" applyFont="1" applyFill="1" applyBorder="1" applyAlignment="1" applyProtection="1">
      <alignment horizontal="right"/>
      <protection locked="0"/>
    </xf>
    <xf numFmtId="3" fontId="13" fillId="0" borderId="19" xfId="0" applyNumberFormat="1" applyFont="1" applyFill="1" applyBorder="1" applyAlignment="1" applyProtection="1">
      <alignment horizontal="right"/>
      <protection locked="0"/>
    </xf>
    <xf numFmtId="3" fontId="2" fillId="2" borderId="60" xfId="0" applyNumberFormat="1" applyFont="1" applyFill="1" applyBorder="1" applyAlignment="1" applyProtection="1">
      <alignment horizontal="right"/>
      <protection locked="0"/>
    </xf>
    <xf numFmtId="3" fontId="10" fillId="2" borderId="18" xfId="0" applyNumberFormat="1" applyFont="1" applyFill="1" applyBorder="1" applyAlignment="1" applyProtection="1">
      <alignment horizontal="right"/>
      <protection locked="0"/>
    </xf>
    <xf numFmtId="3" fontId="13" fillId="0" borderId="18" xfId="0" applyNumberFormat="1" applyFont="1" applyFill="1" applyBorder="1" applyAlignment="1" applyProtection="1">
      <alignment horizontal="right"/>
      <protection locked="0"/>
    </xf>
    <xf numFmtId="3" fontId="13" fillId="0" borderId="26" xfId="0" applyNumberFormat="1" applyFont="1" applyFill="1" applyBorder="1" applyAlignment="1" applyProtection="1">
      <alignment horizontal="right"/>
      <protection locked="0"/>
    </xf>
    <xf numFmtId="3" fontId="13" fillId="2" borderId="61" xfId="0" applyNumberFormat="1" applyFont="1" applyFill="1" applyBorder="1" applyAlignment="1" applyProtection="1">
      <alignment horizontal="right"/>
      <protection locked="0"/>
    </xf>
    <xf numFmtId="3" fontId="13" fillId="0" borderId="62" xfId="0" applyNumberFormat="1" applyFont="1" applyFill="1" applyBorder="1" applyAlignment="1" applyProtection="1">
      <alignment horizontal="right"/>
      <protection locked="0"/>
    </xf>
    <xf numFmtId="0" fontId="34" fillId="0" borderId="0" xfId="0" applyFont="1" applyProtection="1"/>
    <xf numFmtId="0" fontId="34" fillId="0" borderId="0" xfId="0" applyFont="1" applyFill="1" applyProtection="1"/>
    <xf numFmtId="0" fontId="11" fillId="0" borderId="0" xfId="0" applyFont="1" applyFill="1" applyBorder="1" applyAlignment="1" applyProtection="1">
      <alignment horizontal="center"/>
    </xf>
    <xf numFmtId="3" fontId="13" fillId="0" borderId="63" xfId="0" applyNumberFormat="1" applyFont="1" applyFill="1" applyBorder="1" applyAlignment="1" applyProtection="1">
      <alignment horizontal="right"/>
      <protection locked="0"/>
    </xf>
    <xf numFmtId="0" fontId="57" fillId="0" borderId="0" xfId="0" applyFont="1" applyFill="1" applyBorder="1" applyProtection="1"/>
    <xf numFmtId="0" fontId="57" fillId="2" borderId="0" xfId="0" applyFont="1" applyFill="1" applyProtection="1"/>
    <xf numFmtId="0" fontId="62" fillId="2" borderId="0" xfId="0" applyFont="1" applyFill="1" applyAlignment="1" applyProtection="1"/>
    <xf numFmtId="0" fontId="62" fillId="0" borderId="0" xfId="0" applyFont="1" applyFill="1" applyBorder="1" applyAlignment="1" applyProtection="1"/>
    <xf numFmtId="0" fontId="0" fillId="2" borderId="0" xfId="0" applyFont="1" applyFill="1" applyProtection="1"/>
    <xf numFmtId="0" fontId="0" fillId="0" borderId="0" xfId="0" applyFont="1" applyFill="1" applyBorder="1" applyProtection="1"/>
    <xf numFmtId="0" fontId="0" fillId="2" borderId="0" xfId="0" applyFill="1" applyBorder="1" applyAlignment="1" applyProtection="1">
      <alignment horizontal="left"/>
    </xf>
    <xf numFmtId="49" fontId="3" fillId="0" borderId="0" xfId="0" applyNumberFormat="1" applyFont="1" applyFill="1" applyBorder="1" applyProtection="1"/>
    <xf numFmtId="3" fontId="10" fillId="2" borderId="8" xfId="0" applyNumberFormat="1" applyFont="1" applyFill="1" applyBorder="1" applyAlignment="1" applyProtection="1">
      <alignment horizontal="right"/>
      <protection locked="0"/>
    </xf>
    <xf numFmtId="3" fontId="10" fillId="2" borderId="5" xfId="0" applyNumberFormat="1" applyFont="1" applyFill="1" applyBorder="1" applyAlignment="1" applyProtection="1">
      <alignment horizontal="right"/>
      <protection locked="0"/>
    </xf>
    <xf numFmtId="3" fontId="10" fillId="2" borderId="5" xfId="0" quotePrefix="1" applyNumberFormat="1" applyFont="1" applyFill="1" applyBorder="1" applyAlignment="1" applyProtection="1">
      <alignment horizontal="right"/>
      <protection locked="0"/>
    </xf>
    <xf numFmtId="3" fontId="10" fillId="0" borderId="8" xfId="0" applyNumberFormat="1" applyFont="1" applyFill="1" applyBorder="1" applyAlignment="1" applyProtection="1">
      <alignment horizontal="right"/>
      <protection locked="0"/>
    </xf>
    <xf numFmtId="3" fontId="10" fillId="0" borderId="5" xfId="0" applyNumberFormat="1" applyFont="1" applyFill="1" applyBorder="1" applyAlignment="1" applyProtection="1">
      <alignment horizontal="right"/>
      <protection locked="0"/>
    </xf>
    <xf numFmtId="3" fontId="13" fillId="2" borderId="42" xfId="0" applyNumberFormat="1" applyFont="1" applyFill="1" applyBorder="1" applyAlignment="1" applyProtection="1">
      <alignment horizontal="right"/>
      <protection locked="0"/>
    </xf>
    <xf numFmtId="3" fontId="13" fillId="6" borderId="42" xfId="0" applyNumberFormat="1" applyFont="1" applyFill="1" applyBorder="1" applyAlignment="1" applyProtection="1">
      <alignment horizontal="right"/>
      <protection locked="0"/>
    </xf>
    <xf numFmtId="3" fontId="13" fillId="2" borderId="13" xfId="0" applyNumberFormat="1" applyFont="1" applyFill="1" applyBorder="1" applyAlignment="1" applyProtection="1">
      <alignment horizontal="right"/>
      <protection locked="0"/>
    </xf>
    <xf numFmtId="0" fontId="7" fillId="2" borderId="39" xfId="0" applyFont="1" applyFill="1" applyBorder="1" applyProtection="1"/>
    <xf numFmtId="0" fontId="80" fillId="0" borderId="39" xfId="12" applyFont="1" applyFill="1" applyBorder="1" applyProtection="1"/>
    <xf numFmtId="3" fontId="2" fillId="9" borderId="19" xfId="0" applyNumberFormat="1" applyFont="1" applyFill="1" applyBorder="1" applyAlignment="1" applyProtection="1">
      <alignment horizontal="right"/>
    </xf>
    <xf numFmtId="3" fontId="9" fillId="2" borderId="0" xfId="0" applyNumberFormat="1" applyFont="1" applyFill="1" applyBorder="1" applyProtection="1"/>
    <xf numFmtId="3" fontId="79" fillId="2" borderId="0" xfId="0" applyNumberFormat="1" applyFont="1" applyFill="1" applyBorder="1" applyProtection="1"/>
    <xf numFmtId="49" fontId="22" fillId="7" borderId="0" xfId="0" applyNumberFormat="1" applyFont="1" applyFill="1" applyProtection="1"/>
    <xf numFmtId="49" fontId="3" fillId="10" borderId="47" xfId="0" applyNumberFormat="1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5" fillId="0" borderId="0" xfId="0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56" fillId="0" borderId="0" xfId="0" applyFont="1" applyFill="1" applyBorder="1" applyAlignment="1" applyProtection="1">
      <alignment vertical="top"/>
    </xf>
    <xf numFmtId="169" fontId="3" fillId="0" borderId="0" xfId="12" applyNumberFormat="1" applyFont="1" applyFill="1" applyBorder="1" applyAlignment="1" applyProtection="1">
      <alignment horizontal="left"/>
    </xf>
    <xf numFmtId="49" fontId="22" fillId="0" borderId="0" xfId="0" applyNumberFormat="1" applyFont="1" applyAlignment="1" applyProtection="1">
      <alignment horizontal="left"/>
    </xf>
    <xf numFmtId="49" fontId="22" fillId="0" borderId="0" xfId="0" applyNumberFormat="1" applyFont="1" applyProtection="1"/>
    <xf numFmtId="0" fontId="78" fillId="0" borderId="0" xfId="0" applyFont="1" applyProtection="1"/>
    <xf numFmtId="3" fontId="10" fillId="0" borderId="19" xfId="0" applyNumberFormat="1" applyFont="1" applyFill="1" applyBorder="1" applyAlignment="1" applyProtection="1">
      <alignment horizontal="right"/>
      <protection locked="0"/>
    </xf>
    <xf numFmtId="3" fontId="10" fillId="0" borderId="4" xfId="0" applyNumberFormat="1" applyFont="1" applyFill="1" applyBorder="1" applyAlignment="1" applyProtection="1">
      <alignment horizontal="right"/>
      <protection locked="0"/>
    </xf>
    <xf numFmtId="0" fontId="22" fillId="7" borderId="0" xfId="6" applyFill="1" applyProtection="1"/>
    <xf numFmtId="1" fontId="22" fillId="7" borderId="0" xfId="6" applyNumberFormat="1" applyFill="1" applyProtection="1"/>
    <xf numFmtId="0" fontId="22" fillId="0" borderId="0" xfId="6" applyFill="1" applyBorder="1" applyProtection="1"/>
    <xf numFmtId="0" fontId="22" fillId="0" borderId="0" xfId="6" applyProtection="1"/>
    <xf numFmtId="0" fontId="22" fillId="0" borderId="0" xfId="6" applyBorder="1" applyProtection="1"/>
    <xf numFmtId="1" fontId="51" fillId="2" borderId="0" xfId="12" applyNumberFormat="1" applyFont="1" applyFill="1" applyBorder="1" applyAlignment="1" applyProtection="1">
      <alignment horizontal="left"/>
    </xf>
    <xf numFmtId="0" fontId="22" fillId="2" borderId="0" xfId="6" applyFont="1" applyFill="1" applyProtection="1"/>
    <xf numFmtId="0" fontId="49" fillId="2" borderId="0" xfId="6" applyFont="1" applyFill="1" applyProtection="1"/>
    <xf numFmtId="1" fontId="22" fillId="0" borderId="0" xfId="6" applyNumberFormat="1" applyProtection="1"/>
    <xf numFmtId="0" fontId="22" fillId="0" borderId="0" xfId="6" applyFont="1" applyProtection="1"/>
    <xf numFmtId="3" fontId="2" fillId="2" borderId="2" xfId="6" applyNumberFormat="1" applyFont="1" applyFill="1" applyBorder="1" applyAlignment="1" applyProtection="1">
      <alignment horizontal="right"/>
      <protection locked="0"/>
    </xf>
    <xf numFmtId="3" fontId="2" fillId="2" borderId="15" xfId="6" applyNumberFormat="1" applyFont="1" applyFill="1" applyBorder="1" applyAlignment="1" applyProtection="1">
      <alignment horizontal="right"/>
      <protection locked="0"/>
    </xf>
    <xf numFmtId="0" fontId="22" fillId="0" borderId="0" xfId="0" applyFont="1" applyFill="1" applyProtection="1"/>
    <xf numFmtId="49" fontId="22" fillId="0" borderId="0" xfId="0" applyNumberFormat="1" applyFont="1" applyFill="1" applyBorder="1" applyAlignment="1" applyProtection="1">
      <alignment horizontal="left"/>
    </xf>
    <xf numFmtId="0" fontId="0" fillId="7" borderId="0" xfId="0" applyFill="1" applyAlignment="1" applyProtection="1"/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0" fillId="0" borderId="0" xfId="0" applyAlignment="1" applyProtection="1"/>
    <xf numFmtId="3" fontId="2" fillId="2" borderId="61" xfId="0" applyNumberFormat="1" applyFont="1" applyFill="1" applyBorder="1" applyAlignment="1" applyProtection="1">
      <alignment horizontal="right"/>
      <protection locked="0"/>
    </xf>
    <xf numFmtId="3" fontId="2" fillId="2" borderId="62" xfId="0" applyNumberFormat="1" applyFont="1" applyFill="1" applyBorder="1" applyAlignment="1" applyProtection="1">
      <alignment horizontal="right"/>
      <protection locked="0"/>
    </xf>
    <xf numFmtId="3" fontId="2" fillId="2" borderId="64" xfId="0" applyNumberFormat="1" applyFont="1" applyFill="1" applyBorder="1" applyAlignment="1" applyProtection="1">
      <alignment horizontal="right"/>
      <protection locked="0"/>
    </xf>
    <xf numFmtId="3" fontId="2" fillId="2" borderId="65" xfId="0" applyNumberFormat="1" applyFont="1" applyFill="1" applyBorder="1" applyAlignment="1" applyProtection="1">
      <alignment horizontal="right"/>
      <protection locked="0"/>
    </xf>
    <xf numFmtId="3" fontId="13" fillId="2" borderId="62" xfId="0" applyNumberFormat="1" applyFont="1" applyFill="1" applyBorder="1" applyAlignment="1" applyProtection="1">
      <alignment horizontal="right"/>
      <protection locked="0"/>
    </xf>
    <xf numFmtId="3" fontId="2" fillId="6" borderId="63" xfId="0" applyNumberFormat="1" applyFont="1" applyFill="1" applyBorder="1" applyAlignment="1" applyProtection="1">
      <alignment horizontal="right"/>
      <protection locked="0"/>
    </xf>
    <xf numFmtId="171" fontId="34" fillId="0" borderId="0" xfId="6" applyNumberFormat="1" applyFont="1" applyFill="1" applyBorder="1" applyAlignment="1" applyProtection="1">
      <alignment vertical="top" wrapText="1"/>
    </xf>
    <xf numFmtId="3" fontId="2" fillId="9" borderId="66" xfId="0" applyNumberFormat="1" applyFont="1" applyFill="1" applyBorder="1" applyAlignment="1" applyProtection="1"/>
    <xf numFmtId="3" fontId="2" fillId="9" borderId="13" xfId="0" applyNumberFormat="1" applyFont="1" applyFill="1" applyBorder="1" applyAlignment="1" applyProtection="1"/>
    <xf numFmtId="3" fontId="35" fillId="8" borderId="68" xfId="6" applyNumberFormat="1" applyFont="1" applyFill="1" applyBorder="1" applyProtection="1"/>
    <xf numFmtId="3" fontId="35" fillId="8" borderId="35" xfId="6" applyNumberFormat="1" applyFont="1" applyFill="1" applyBorder="1" applyProtection="1"/>
    <xf numFmtId="3" fontId="35" fillId="8" borderId="25" xfId="6" applyNumberFormat="1" applyFont="1" applyFill="1" applyBorder="1" applyProtection="1"/>
    <xf numFmtId="165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/>
    </xf>
    <xf numFmtId="3" fontId="13" fillId="0" borderId="69" xfId="0" applyNumberFormat="1" applyFont="1" applyFill="1" applyBorder="1" applyAlignment="1" applyProtection="1">
      <alignment horizontal="right"/>
      <protection locked="0"/>
    </xf>
    <xf numFmtId="3" fontId="13" fillId="9" borderId="26" xfId="0" applyNumberFormat="1" applyFont="1" applyFill="1" applyBorder="1" applyProtection="1"/>
    <xf numFmtId="0" fontId="10" fillId="0" borderId="0" xfId="6" applyFont="1" applyFill="1" applyBorder="1" applyProtection="1"/>
    <xf numFmtId="3" fontId="35" fillId="0" borderId="0" xfId="6" applyNumberFormat="1" applyFont="1" applyFill="1" applyBorder="1" applyProtection="1"/>
    <xf numFmtId="0" fontId="22" fillId="0" borderId="0" xfId="6" applyFont="1" applyFill="1" applyProtection="1"/>
    <xf numFmtId="0" fontId="34" fillId="0" borderId="0" xfId="0" applyFont="1" applyFill="1" applyBorder="1" applyProtection="1"/>
    <xf numFmtId="0" fontId="0" fillId="0" borderId="1" xfId="0" applyBorder="1"/>
    <xf numFmtId="3" fontId="13" fillId="2" borderId="19" xfId="0" applyNumberFormat="1" applyFont="1" applyFill="1" applyBorder="1" applyAlignment="1" applyProtection="1">
      <protection locked="0"/>
    </xf>
    <xf numFmtId="171" fontId="34" fillId="0" borderId="0" xfId="0" applyNumberFormat="1" applyFont="1" applyFill="1" applyProtection="1"/>
    <xf numFmtId="171" fontId="34" fillId="2" borderId="0" xfId="0" applyNumberFormat="1" applyFont="1" applyFill="1" applyProtection="1"/>
    <xf numFmtId="0" fontId="34" fillId="2" borderId="0" xfId="0" applyFont="1" applyFill="1" applyBorder="1" applyAlignment="1" applyProtection="1">
      <alignment horizontal="left" vertical="top" wrapText="1"/>
    </xf>
    <xf numFmtId="3" fontId="2" fillId="2" borderId="8" xfId="0" applyNumberFormat="1" applyFont="1" applyFill="1" applyBorder="1" applyAlignment="1" applyProtection="1">
      <alignment horizontal="right"/>
      <protection locked="0"/>
    </xf>
    <xf numFmtId="3" fontId="2" fillId="2" borderId="70" xfId="6" applyNumberFormat="1" applyFont="1" applyFill="1" applyBorder="1" applyAlignment="1" applyProtection="1">
      <alignment horizontal="right"/>
      <protection locked="0"/>
    </xf>
    <xf numFmtId="3" fontId="2" fillId="2" borderId="6" xfId="6" applyNumberFormat="1" applyFont="1" applyFill="1" applyBorder="1" applyAlignment="1" applyProtection="1">
      <alignment horizontal="right"/>
      <protection locked="0"/>
    </xf>
    <xf numFmtId="3" fontId="2" fillId="2" borderId="71" xfId="6" applyNumberFormat="1" applyFont="1" applyFill="1" applyBorder="1" applyAlignment="1" applyProtection="1">
      <alignment horizontal="right"/>
      <protection locked="0"/>
    </xf>
    <xf numFmtId="3" fontId="2" fillId="2" borderId="25" xfId="6" applyNumberFormat="1" applyFont="1" applyFill="1" applyBorder="1" applyAlignment="1" applyProtection="1">
      <alignment horizontal="right"/>
      <protection locked="0"/>
    </xf>
    <xf numFmtId="3" fontId="2" fillId="2" borderId="72" xfId="6" applyNumberFormat="1" applyFont="1" applyFill="1" applyBorder="1" applyAlignment="1" applyProtection="1">
      <alignment horizontal="right"/>
      <protection locked="0"/>
    </xf>
    <xf numFmtId="0" fontId="36" fillId="0" borderId="0" xfId="6" applyFont="1" applyProtection="1"/>
    <xf numFmtId="0" fontId="48" fillId="2" borderId="0" xfId="6" applyFont="1" applyFill="1" applyProtection="1"/>
    <xf numFmtId="0" fontId="34" fillId="0" borderId="0" xfId="6" quotePrefix="1" applyNumberFormat="1" applyFont="1" applyProtection="1"/>
    <xf numFmtId="3" fontId="68" fillId="8" borderId="25" xfId="6" applyNumberFormat="1" applyFont="1" applyFill="1" applyBorder="1" applyAlignment="1" applyProtection="1">
      <alignment horizontal="right"/>
    </xf>
    <xf numFmtId="3" fontId="2" fillId="8" borderId="5" xfId="6" applyNumberFormat="1" applyFont="1" applyFill="1" applyBorder="1" applyAlignment="1" applyProtection="1"/>
    <xf numFmtId="3" fontId="68" fillId="12" borderId="25" xfId="6" applyNumberFormat="1" applyFont="1" applyFill="1" applyBorder="1" applyAlignment="1" applyProtection="1">
      <alignment horizontal="right"/>
    </xf>
    <xf numFmtId="3" fontId="2" fillId="8" borderId="12" xfId="6" applyNumberFormat="1" applyFont="1" applyFill="1" applyBorder="1" applyAlignment="1" applyProtection="1"/>
    <xf numFmtId="3" fontId="68" fillId="8" borderId="25" xfId="6" quotePrefix="1" applyNumberFormat="1" applyFont="1" applyFill="1" applyBorder="1" applyAlignment="1" applyProtection="1">
      <alignment horizontal="right"/>
    </xf>
    <xf numFmtId="3" fontId="2" fillId="8" borderId="5" xfId="0" applyNumberFormat="1" applyFont="1" applyFill="1" applyBorder="1" applyAlignment="1" applyProtection="1">
      <alignment horizontal="right"/>
    </xf>
    <xf numFmtId="0" fontId="35" fillId="2" borderId="0" xfId="0" applyFont="1" applyFill="1" applyAlignment="1" applyProtection="1">
      <alignment horizontal="right"/>
    </xf>
    <xf numFmtId="3" fontId="2" fillId="2" borderId="3" xfId="6" applyNumberFormat="1" applyFont="1" applyFill="1" applyBorder="1" applyAlignment="1" applyProtection="1">
      <alignment horizontal="right"/>
      <protection locked="0"/>
    </xf>
    <xf numFmtId="3" fontId="34" fillId="0" borderId="74" xfId="6" quotePrefix="1" applyNumberFormat="1" applyFont="1" applyFill="1" applyBorder="1" applyAlignment="1" applyProtection="1">
      <alignment horizontal="left"/>
    </xf>
    <xf numFmtId="0" fontId="36" fillId="0" borderId="76" xfId="6" applyFont="1" applyBorder="1" applyProtection="1"/>
    <xf numFmtId="0" fontId="89" fillId="0" borderId="76" xfId="6" applyFont="1" applyBorder="1" applyProtection="1"/>
    <xf numFmtId="3" fontId="34" fillId="0" borderId="78" xfId="6" quotePrefix="1" applyNumberFormat="1" applyFont="1" applyFill="1" applyBorder="1" applyAlignment="1" applyProtection="1">
      <alignment horizontal="left"/>
    </xf>
    <xf numFmtId="0" fontId="22" fillId="0" borderId="79" xfId="6" applyBorder="1" applyProtection="1"/>
    <xf numFmtId="0" fontId="22" fillId="0" borderId="52" xfId="6" applyBorder="1" applyProtection="1"/>
    <xf numFmtId="0" fontId="22" fillId="0" borderId="80" xfId="6" applyBorder="1" applyProtection="1"/>
    <xf numFmtId="0" fontId="34" fillId="0" borderId="0" xfId="6" applyFont="1" applyProtection="1"/>
    <xf numFmtId="3" fontId="34" fillId="0" borderId="0" xfId="6" quotePrefix="1" applyNumberFormat="1" applyFont="1" applyFill="1" applyBorder="1" applyAlignment="1" applyProtection="1">
      <alignment horizontal="left"/>
    </xf>
    <xf numFmtId="3" fontId="2" fillId="9" borderId="81" xfId="6" applyNumberFormat="1" applyFont="1" applyFill="1" applyBorder="1" applyProtection="1"/>
    <xf numFmtId="3" fontId="2" fillId="9" borderId="82" xfId="6" applyNumberFormat="1" applyFont="1" applyFill="1" applyBorder="1" applyProtection="1"/>
    <xf numFmtId="3" fontId="2" fillId="13" borderId="5" xfId="0" applyNumberFormat="1" applyFont="1" applyFill="1" applyBorder="1" applyProtection="1"/>
    <xf numFmtId="3" fontId="2" fillId="3" borderId="13" xfId="0" applyNumberFormat="1" applyFont="1" applyFill="1" applyBorder="1" applyProtection="1"/>
    <xf numFmtId="3" fontId="2" fillId="3" borderId="26" xfId="0" applyNumberFormat="1" applyFont="1" applyFill="1" applyBorder="1" applyProtection="1"/>
    <xf numFmtId="3" fontId="2" fillId="3" borderId="20" xfId="0" applyNumberFormat="1" applyFont="1" applyFill="1" applyBorder="1" applyProtection="1"/>
    <xf numFmtId="3" fontId="2" fillId="3" borderId="83" xfId="0" applyNumberFormat="1" applyFont="1" applyFill="1" applyBorder="1" applyProtection="1"/>
    <xf numFmtId="3" fontId="2" fillId="3" borderId="54" xfId="0" applyNumberFormat="1" applyFont="1" applyFill="1" applyBorder="1" applyProtection="1"/>
    <xf numFmtId="3" fontId="2" fillId="3" borderId="56" xfId="0" applyNumberFormat="1" applyFont="1" applyFill="1" applyBorder="1" applyProtection="1"/>
    <xf numFmtId="3" fontId="2" fillId="3" borderId="69" xfId="0" applyNumberFormat="1" applyFont="1" applyFill="1" applyBorder="1" applyProtection="1"/>
    <xf numFmtId="3" fontId="2" fillId="3" borderId="25" xfId="0" applyNumberFormat="1" applyFont="1" applyFill="1" applyBorder="1" applyProtection="1"/>
    <xf numFmtId="3" fontId="2" fillId="3" borderId="19" xfId="0" applyNumberFormat="1" applyFont="1" applyFill="1" applyBorder="1" applyProtection="1"/>
    <xf numFmtId="3" fontId="2" fillId="3" borderId="63" xfId="0" applyNumberFormat="1" applyFont="1" applyFill="1" applyBorder="1" applyProtection="1"/>
    <xf numFmtId="3" fontId="2" fillId="3" borderId="84" xfId="0" applyNumberFormat="1" applyFont="1" applyFill="1" applyBorder="1" applyProtection="1"/>
    <xf numFmtId="3" fontId="2" fillId="3" borderId="5" xfId="0" applyNumberFormat="1" applyFont="1" applyFill="1" applyBorder="1" applyProtection="1"/>
    <xf numFmtId="3" fontId="2" fillId="3" borderId="85" xfId="0" applyNumberFormat="1" applyFont="1" applyFill="1" applyBorder="1" applyProtection="1"/>
    <xf numFmtId="3" fontId="2" fillId="3" borderId="86" xfId="0" applyNumberFormat="1" applyFont="1" applyFill="1" applyBorder="1" applyProtection="1"/>
    <xf numFmtId="3" fontId="2" fillId="3" borderId="80" xfId="0" applyNumberFormat="1" applyFont="1" applyFill="1" applyBorder="1" applyProtection="1"/>
    <xf numFmtId="3" fontId="13" fillId="3" borderId="59" xfId="0" applyNumberFormat="1" applyFont="1" applyFill="1" applyBorder="1" applyProtection="1"/>
    <xf numFmtId="3" fontId="13" fillId="3" borderId="87" xfId="0" applyNumberFormat="1" applyFont="1" applyFill="1" applyBorder="1" applyProtection="1"/>
    <xf numFmtId="3" fontId="13" fillId="3" borderId="88" xfId="0" applyNumberFormat="1" applyFont="1" applyFill="1" applyBorder="1" applyProtection="1"/>
    <xf numFmtId="3" fontId="13" fillId="3" borderId="85" xfId="0" applyNumberFormat="1" applyFont="1" applyFill="1" applyBorder="1" applyProtection="1"/>
    <xf numFmtId="3" fontId="13" fillId="3" borderId="26" xfId="0" applyNumberFormat="1" applyFont="1" applyFill="1" applyBorder="1" applyProtection="1"/>
    <xf numFmtId="3" fontId="13" fillId="3" borderId="20" xfId="0" applyNumberFormat="1" applyFont="1" applyFill="1" applyBorder="1" applyProtection="1"/>
    <xf numFmtId="3" fontId="13" fillId="3" borderId="18" xfId="0" applyNumberFormat="1" applyFont="1" applyFill="1" applyBorder="1" applyProtection="1"/>
    <xf numFmtId="3" fontId="13" fillId="3" borderId="19" xfId="0" applyNumberFormat="1" applyFont="1" applyFill="1" applyBorder="1" applyProtection="1"/>
    <xf numFmtId="3" fontId="13" fillId="3" borderId="5" xfId="0" applyNumberFormat="1" applyFont="1" applyFill="1" applyBorder="1" applyAlignment="1" applyProtection="1">
      <alignment horizontal="right"/>
    </xf>
    <xf numFmtId="3" fontId="2" fillId="14" borderId="7" xfId="0" applyNumberFormat="1" applyFont="1" applyFill="1" applyBorder="1" applyAlignment="1" applyProtection="1">
      <alignment horizontal="right"/>
    </xf>
    <xf numFmtId="3" fontId="2" fillId="3" borderId="42" xfId="0" applyNumberFormat="1" applyFont="1" applyFill="1" applyBorder="1" applyAlignment="1" applyProtection="1">
      <alignment horizontal="right"/>
    </xf>
    <xf numFmtId="3" fontId="2" fillId="3" borderId="89" xfId="0" applyNumberFormat="1" applyFont="1" applyFill="1" applyBorder="1" applyAlignment="1" applyProtection="1">
      <alignment horizontal="right"/>
    </xf>
    <xf numFmtId="3" fontId="2" fillId="3" borderId="83" xfId="0" applyNumberFormat="1" applyFont="1" applyFill="1" applyBorder="1" applyAlignment="1" applyProtection="1">
      <alignment horizontal="right"/>
    </xf>
    <xf numFmtId="3" fontId="2" fillId="3" borderId="90" xfId="0" applyNumberFormat="1" applyFont="1" applyFill="1" applyBorder="1" applyAlignment="1" applyProtection="1">
      <alignment horizontal="right"/>
    </xf>
    <xf numFmtId="3" fontId="2" fillId="3" borderId="13" xfId="0" applyNumberFormat="1" applyFont="1" applyFill="1" applyBorder="1" applyAlignment="1" applyProtection="1">
      <alignment horizontal="right"/>
    </xf>
    <xf numFmtId="3" fontId="13" fillId="3" borderId="18" xfId="0" applyNumberFormat="1" applyFont="1" applyFill="1" applyBorder="1" applyAlignment="1" applyProtection="1">
      <alignment horizontal="right"/>
    </xf>
    <xf numFmtId="3" fontId="13" fillId="3" borderId="3" xfId="0" applyNumberFormat="1" applyFont="1" applyFill="1" applyBorder="1" applyAlignment="1" applyProtection="1">
      <alignment horizontal="right"/>
    </xf>
    <xf numFmtId="3" fontId="13" fillId="3" borderId="22" xfId="0" applyNumberFormat="1" applyFont="1" applyFill="1" applyBorder="1" applyAlignment="1" applyProtection="1">
      <alignment horizontal="right"/>
    </xf>
    <xf numFmtId="3" fontId="13" fillId="3" borderId="7" xfId="0" applyNumberFormat="1" applyFont="1" applyFill="1" applyBorder="1" applyAlignment="1" applyProtection="1">
      <alignment horizontal="right"/>
    </xf>
    <xf numFmtId="3" fontId="13" fillId="3" borderId="91" xfId="0" applyNumberFormat="1" applyFont="1" applyFill="1" applyBorder="1" applyAlignment="1" applyProtection="1">
      <alignment horizontal="right"/>
    </xf>
    <xf numFmtId="3" fontId="13" fillId="3" borderId="92" xfId="0" applyNumberFormat="1" applyFont="1" applyFill="1" applyBorder="1" applyAlignment="1" applyProtection="1">
      <alignment horizontal="right"/>
    </xf>
    <xf numFmtId="3" fontId="13" fillId="3" borderId="93" xfId="0" applyNumberFormat="1" applyFont="1" applyFill="1" applyBorder="1" applyAlignment="1" applyProtection="1">
      <alignment horizontal="right"/>
    </xf>
    <xf numFmtId="3" fontId="13" fillId="3" borderId="25" xfId="0" applyNumberFormat="1" applyFont="1" applyFill="1" applyBorder="1" applyAlignment="1" applyProtection="1">
      <alignment horizontal="right"/>
    </xf>
    <xf numFmtId="3" fontId="13" fillId="3" borderId="72" xfId="0" applyNumberFormat="1" applyFont="1" applyFill="1" applyBorder="1" applyAlignment="1" applyProtection="1">
      <alignment horizontal="right"/>
    </xf>
    <xf numFmtId="3" fontId="13" fillId="3" borderId="26" xfId="0" applyNumberFormat="1" applyFont="1" applyFill="1" applyBorder="1" applyAlignment="1" applyProtection="1">
      <alignment horizontal="right"/>
    </xf>
    <xf numFmtId="3" fontId="13" fillId="3" borderId="24" xfId="0" applyNumberFormat="1" applyFont="1" applyFill="1" applyBorder="1" applyAlignment="1" applyProtection="1">
      <alignment horizontal="right"/>
    </xf>
    <xf numFmtId="3" fontId="13" fillId="3" borderId="65" xfId="0" applyNumberFormat="1" applyFont="1" applyFill="1" applyBorder="1" applyAlignment="1" applyProtection="1">
      <alignment horizontal="right"/>
    </xf>
    <xf numFmtId="3" fontId="13" fillId="3" borderId="24" xfId="0" applyNumberFormat="1" applyFont="1" applyFill="1" applyBorder="1" applyAlignment="1" applyProtection="1"/>
    <xf numFmtId="3" fontId="13" fillId="3" borderId="25" xfId="0" applyNumberFormat="1" applyFont="1" applyFill="1" applyBorder="1" applyAlignment="1" applyProtection="1"/>
    <xf numFmtId="3" fontId="13" fillId="3" borderId="72" xfId="0" applyNumberFormat="1" applyFont="1" applyFill="1" applyBorder="1" applyAlignment="1" applyProtection="1"/>
    <xf numFmtId="3" fontId="13" fillId="3" borderId="26" xfId="0" applyNumberFormat="1" applyFont="1" applyFill="1" applyBorder="1" applyAlignment="1" applyProtection="1"/>
    <xf numFmtId="3" fontId="13" fillId="3" borderId="94" xfId="0" applyNumberFormat="1" applyFont="1" applyFill="1" applyBorder="1" applyAlignment="1" applyProtection="1">
      <alignment horizontal="right"/>
    </xf>
    <xf numFmtId="3" fontId="13" fillId="10" borderId="95" xfId="0" applyNumberFormat="1" applyFont="1" applyFill="1" applyBorder="1" applyAlignment="1" applyProtection="1">
      <alignment horizontal="right"/>
    </xf>
    <xf numFmtId="3" fontId="13" fillId="10" borderId="96" xfId="0" applyNumberFormat="1" applyFont="1" applyFill="1" applyBorder="1" applyAlignment="1" applyProtection="1">
      <alignment horizontal="right"/>
    </xf>
    <xf numFmtId="3" fontId="13" fillId="10" borderId="86" xfId="0" applyNumberFormat="1" applyFont="1" applyFill="1" applyBorder="1" applyAlignment="1" applyProtection="1">
      <alignment horizontal="right"/>
    </xf>
    <xf numFmtId="3" fontId="13" fillId="10" borderId="97" xfId="0" applyNumberFormat="1" applyFont="1" applyFill="1" applyBorder="1" applyAlignment="1" applyProtection="1">
      <alignment horizontal="right"/>
    </xf>
    <xf numFmtId="3" fontId="13" fillId="3" borderId="53" xfId="0" applyNumberFormat="1" applyFont="1" applyFill="1" applyBorder="1" applyAlignment="1" applyProtection="1">
      <alignment horizontal="right"/>
    </xf>
    <xf numFmtId="3" fontId="13" fillId="3" borderId="98" xfId="0" applyNumberFormat="1" applyFont="1" applyFill="1" applyBorder="1" applyAlignment="1" applyProtection="1">
      <alignment horizontal="right"/>
    </xf>
    <xf numFmtId="3" fontId="13" fillId="3" borderId="84" xfId="0" applyNumberFormat="1" applyFont="1" applyFill="1" applyBorder="1" applyAlignment="1" applyProtection="1">
      <alignment horizontal="right"/>
    </xf>
    <xf numFmtId="3" fontId="13" fillId="3" borderId="99" xfId="0" applyNumberFormat="1" applyFont="1" applyFill="1" applyBorder="1" applyAlignment="1" applyProtection="1">
      <alignment horizontal="right"/>
    </xf>
    <xf numFmtId="3" fontId="13" fillId="3" borderId="100" xfId="0" applyNumberFormat="1" applyFont="1" applyFill="1" applyBorder="1" applyAlignment="1" applyProtection="1">
      <alignment horizontal="right"/>
    </xf>
    <xf numFmtId="3" fontId="13" fillId="3" borderId="101" xfId="0" applyNumberFormat="1" applyFont="1" applyFill="1" applyBorder="1" applyAlignment="1" applyProtection="1">
      <alignment horizontal="right"/>
    </xf>
    <xf numFmtId="3" fontId="13" fillId="3" borderId="88" xfId="0" applyNumberFormat="1" applyFont="1" applyFill="1" applyBorder="1" applyAlignment="1" applyProtection="1">
      <alignment horizontal="right"/>
    </xf>
    <xf numFmtId="3" fontId="2" fillId="3" borderId="102" xfId="0" applyNumberFormat="1" applyFont="1" applyFill="1" applyBorder="1" applyProtection="1"/>
    <xf numFmtId="3" fontId="2" fillId="3" borderId="31" xfId="0" applyNumberFormat="1" applyFont="1" applyFill="1" applyBorder="1" applyProtection="1"/>
    <xf numFmtId="3" fontId="2" fillId="3" borderId="103" xfId="0" applyNumberFormat="1" applyFont="1" applyFill="1" applyBorder="1" applyProtection="1"/>
    <xf numFmtId="3" fontId="13" fillId="3" borderId="31" xfId="0" applyNumberFormat="1" applyFont="1" applyFill="1" applyBorder="1" applyProtection="1"/>
    <xf numFmtId="3" fontId="13" fillId="3" borderId="32" xfId="0" applyNumberFormat="1" applyFont="1" applyFill="1" applyBorder="1" applyProtection="1"/>
    <xf numFmtId="3" fontId="13" fillId="3" borderId="80" xfId="0" applyNumberFormat="1" applyFont="1" applyFill="1" applyBorder="1" applyProtection="1"/>
    <xf numFmtId="3" fontId="2" fillId="3" borderId="104" xfId="0" applyNumberFormat="1" applyFont="1" applyFill="1" applyBorder="1" applyProtection="1"/>
    <xf numFmtId="3" fontId="13" fillId="3" borderId="103" xfId="0" applyNumberFormat="1" applyFont="1" applyFill="1" applyBorder="1" applyAlignment="1" applyProtection="1">
      <alignment horizontal="right"/>
    </xf>
    <xf numFmtId="3" fontId="13" fillId="3" borderId="33" xfId="0" applyNumberFormat="1" applyFont="1" applyFill="1" applyBorder="1" applyAlignment="1" applyProtection="1">
      <alignment horizontal="right"/>
    </xf>
    <xf numFmtId="3" fontId="13" fillId="3" borderId="45" xfId="0" applyNumberFormat="1" applyFont="1" applyFill="1" applyBorder="1" applyAlignment="1" applyProtection="1">
      <alignment horizontal="right"/>
    </xf>
    <xf numFmtId="3" fontId="13" fillId="3" borderId="33" xfId="0" applyNumberFormat="1" applyFont="1" applyFill="1" applyBorder="1" applyAlignment="1" applyProtection="1"/>
    <xf numFmtId="3" fontId="13" fillId="3" borderId="45" xfId="0" applyNumberFormat="1" applyFont="1" applyFill="1" applyBorder="1" applyAlignment="1" applyProtection="1"/>
    <xf numFmtId="3" fontId="13" fillId="3" borderId="105" xfId="0" applyNumberFormat="1" applyFont="1" applyFill="1" applyBorder="1" applyAlignment="1" applyProtection="1">
      <alignment horizontal="right"/>
    </xf>
    <xf numFmtId="3" fontId="2" fillId="3" borderId="106" xfId="0" applyNumberFormat="1" applyFont="1" applyFill="1" applyBorder="1" applyAlignment="1" applyProtection="1">
      <alignment horizontal="right"/>
    </xf>
    <xf numFmtId="3" fontId="35" fillId="3" borderId="77" xfId="0" applyNumberFormat="1" applyFont="1" applyFill="1" applyBorder="1" applyAlignment="1" applyProtection="1">
      <alignment horizontal="right"/>
    </xf>
    <xf numFmtId="3" fontId="35" fillId="3" borderId="107" xfId="0" applyNumberFormat="1" applyFont="1" applyFill="1" applyBorder="1" applyAlignment="1" applyProtection="1">
      <alignment horizontal="right"/>
    </xf>
    <xf numFmtId="3" fontId="35" fillId="3" borderId="25" xfId="0" applyNumberFormat="1" applyFont="1" applyFill="1" applyBorder="1" applyAlignment="1" applyProtection="1">
      <alignment horizontal="right"/>
    </xf>
    <xf numFmtId="3" fontId="35" fillId="3" borderId="26" xfId="0" applyNumberFormat="1" applyFont="1" applyFill="1" applyBorder="1" applyAlignment="1" applyProtection="1">
      <alignment horizontal="right"/>
    </xf>
    <xf numFmtId="0" fontId="1" fillId="7" borderId="0" xfId="0" applyFont="1" applyFill="1" applyProtection="1"/>
    <xf numFmtId="3" fontId="1" fillId="2" borderId="0" xfId="0" applyNumberFormat="1" applyFont="1" applyFill="1" applyProtection="1"/>
    <xf numFmtId="3" fontId="1" fillId="0" borderId="0" xfId="0" applyNumberFormat="1" applyFont="1" applyProtection="1"/>
    <xf numFmtId="3" fontId="1" fillId="0" borderId="0" xfId="0" applyNumberFormat="1" applyFont="1" applyFill="1" applyBorder="1" applyProtection="1"/>
    <xf numFmtId="0" fontId="0" fillId="10" borderId="0" xfId="0" applyFill="1" applyBorder="1"/>
    <xf numFmtId="0" fontId="0" fillId="0" borderId="0" xfId="0" applyBorder="1"/>
    <xf numFmtId="0" fontId="0" fillId="0" borderId="67" xfId="0" applyBorder="1"/>
    <xf numFmtId="49" fontId="2" fillId="10" borderId="11" xfId="0" applyNumberFormat="1" applyFont="1" applyFill="1" applyBorder="1" applyAlignment="1" applyProtection="1"/>
    <xf numFmtId="49" fontId="2" fillId="10" borderId="76" xfId="0" applyNumberFormat="1" applyFont="1" applyFill="1" applyBorder="1" applyAlignment="1" applyProtection="1"/>
    <xf numFmtId="49" fontId="2" fillId="10" borderId="39" xfId="0" applyNumberFormat="1" applyFont="1" applyFill="1" applyBorder="1" applyAlignment="1" applyProtection="1"/>
    <xf numFmtId="49" fontId="2" fillId="10" borderId="78" xfId="0" applyNumberFormat="1" applyFont="1" applyFill="1" applyBorder="1" applyAlignment="1" applyProtection="1"/>
    <xf numFmtId="49" fontId="2" fillId="10" borderId="36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center"/>
    </xf>
    <xf numFmtId="0" fontId="92" fillId="0" borderId="0" xfId="6" applyFont="1" applyProtection="1"/>
    <xf numFmtId="3" fontId="2" fillId="9" borderId="113" xfId="6" applyNumberFormat="1" applyFont="1" applyFill="1" applyBorder="1" applyProtection="1"/>
    <xf numFmtId="3" fontId="2" fillId="9" borderId="7" xfId="6" applyNumberFormat="1" applyFont="1" applyFill="1" applyBorder="1" applyProtection="1"/>
    <xf numFmtId="3" fontId="2" fillId="9" borderId="106" xfId="6" applyNumberFormat="1" applyFont="1" applyFill="1" applyBorder="1" applyProtection="1"/>
    <xf numFmtId="3" fontId="2" fillId="9" borderId="91" xfId="6" applyNumberFormat="1" applyFont="1" applyFill="1" applyBorder="1" applyProtection="1"/>
    <xf numFmtId="3" fontId="2" fillId="9" borderId="114" xfId="6" applyNumberFormat="1" applyFont="1" applyFill="1" applyBorder="1" applyProtection="1"/>
    <xf numFmtId="0" fontId="93" fillId="0" borderId="0" xfId="6" applyFont="1" applyProtection="1"/>
    <xf numFmtId="3" fontId="2" fillId="3" borderId="18" xfId="0" applyNumberFormat="1" applyFont="1" applyFill="1" applyBorder="1" applyAlignment="1" applyProtection="1">
      <alignment horizontal="right"/>
    </xf>
    <xf numFmtId="3" fontId="2" fillId="9" borderId="22" xfId="0" applyNumberFormat="1" applyFont="1" applyFill="1" applyBorder="1" applyAlignment="1" applyProtection="1">
      <alignment horizontal="right"/>
    </xf>
    <xf numFmtId="3" fontId="2" fillId="3" borderId="115" xfId="0" applyNumberFormat="1" applyFont="1" applyFill="1" applyBorder="1" applyAlignment="1" applyProtection="1">
      <alignment horizontal="right"/>
    </xf>
    <xf numFmtId="3" fontId="2" fillId="2" borderId="21" xfId="0" applyNumberFormat="1" applyFont="1" applyFill="1" applyBorder="1" applyAlignment="1" applyProtection="1">
      <alignment horizontal="right"/>
      <protection locked="0"/>
    </xf>
    <xf numFmtId="3" fontId="2" fillId="2" borderId="22" xfId="0" applyNumberFormat="1" applyFont="1" applyFill="1" applyBorder="1" applyAlignment="1" applyProtection="1">
      <alignment horizontal="right"/>
      <protection locked="0"/>
    </xf>
    <xf numFmtId="3" fontId="2" fillId="3" borderId="116" xfId="0" applyNumberFormat="1" applyFont="1" applyFill="1" applyBorder="1" applyAlignment="1" applyProtection="1">
      <alignment horizontal="right"/>
    </xf>
    <xf numFmtId="3" fontId="2" fillId="15" borderId="18" xfId="0" applyNumberFormat="1" applyFont="1" applyFill="1" applyBorder="1" applyAlignment="1" applyProtection="1">
      <alignment horizontal="right"/>
      <protection locked="0"/>
    </xf>
    <xf numFmtId="3" fontId="13" fillId="3" borderId="108" xfId="0" applyNumberFormat="1" applyFont="1" applyFill="1" applyBorder="1" applyAlignment="1" applyProtection="1">
      <alignment horizontal="right"/>
    </xf>
    <xf numFmtId="3" fontId="13" fillId="10" borderId="30" xfId="0" applyNumberFormat="1" applyFont="1" applyFill="1" applyBorder="1" applyAlignment="1" applyProtection="1">
      <alignment horizontal="right"/>
    </xf>
    <xf numFmtId="3" fontId="13" fillId="10" borderId="31" xfId="0" applyNumberFormat="1" applyFont="1" applyFill="1" applyBorder="1" applyAlignment="1" applyProtection="1">
      <alignment horizontal="right"/>
    </xf>
    <xf numFmtId="3" fontId="13" fillId="10" borderId="23" xfId="0" applyNumberFormat="1" applyFont="1" applyFill="1" applyBorder="1" applyAlignment="1" applyProtection="1">
      <alignment horizontal="right"/>
    </xf>
    <xf numFmtId="3" fontId="13" fillId="10" borderId="9" xfId="0" applyNumberFormat="1" applyFont="1" applyFill="1" applyBorder="1" applyAlignment="1" applyProtection="1">
      <alignment horizontal="right"/>
    </xf>
    <xf numFmtId="3" fontId="13" fillId="10" borderId="20" xfId="0" applyNumberFormat="1" applyFont="1" applyFill="1" applyBorder="1" applyAlignment="1" applyProtection="1">
      <alignment horizontal="right"/>
    </xf>
    <xf numFmtId="3" fontId="13" fillId="10" borderId="10" xfId="0" applyNumberFormat="1" applyFont="1" applyFill="1" applyBorder="1" applyAlignment="1" applyProtection="1">
      <alignment horizontal="right"/>
    </xf>
    <xf numFmtId="3" fontId="13" fillId="10" borderId="14" xfId="0" applyNumberFormat="1" applyFont="1" applyFill="1" applyBorder="1" applyAlignment="1" applyProtection="1">
      <alignment horizontal="right"/>
    </xf>
    <xf numFmtId="3" fontId="13" fillId="2" borderId="55" xfId="0" applyNumberFormat="1" applyFont="1" applyFill="1" applyBorder="1" applyAlignment="1" applyProtection="1">
      <alignment horizontal="right"/>
      <protection locked="0"/>
    </xf>
    <xf numFmtId="3" fontId="13" fillId="2" borderId="54" xfId="0" applyNumberFormat="1" applyFont="1" applyFill="1" applyBorder="1" applyAlignment="1" applyProtection="1">
      <alignment horizontal="right"/>
      <protection locked="0"/>
    </xf>
    <xf numFmtId="3" fontId="13" fillId="2" borderId="65" xfId="0" applyNumberFormat="1" applyFont="1" applyFill="1" applyBorder="1" applyAlignment="1" applyProtection="1">
      <alignment horizontal="right"/>
      <protection locked="0"/>
    </xf>
    <xf numFmtId="3" fontId="13" fillId="10" borderId="101" xfId="0" applyNumberFormat="1" applyFont="1" applyFill="1" applyBorder="1" applyAlignment="1" applyProtection="1">
      <alignment horizontal="right"/>
    </xf>
    <xf numFmtId="3" fontId="13" fillId="10" borderId="117" xfId="0" applyNumberFormat="1" applyFont="1" applyFill="1" applyBorder="1" applyAlignment="1" applyProtection="1">
      <alignment horizontal="right"/>
    </xf>
    <xf numFmtId="3" fontId="13" fillId="10" borderId="118" xfId="0" applyNumberFormat="1" applyFont="1" applyFill="1" applyBorder="1" applyAlignment="1" applyProtection="1">
      <alignment horizontal="right"/>
    </xf>
    <xf numFmtId="3" fontId="13" fillId="10" borderId="88" xfId="0" applyNumberFormat="1" applyFont="1" applyFill="1" applyBorder="1" applyAlignment="1" applyProtection="1">
      <alignment horizontal="right"/>
    </xf>
    <xf numFmtId="3" fontId="13" fillId="10" borderId="4" xfId="0" applyNumberFormat="1" applyFont="1" applyFill="1" applyBorder="1" applyAlignment="1" applyProtection="1">
      <alignment horizontal="right"/>
    </xf>
    <xf numFmtId="3" fontId="13" fillId="10" borderId="3" xfId="0" applyNumberFormat="1" applyFont="1" applyFill="1" applyBorder="1" applyAlignment="1" applyProtection="1">
      <alignment horizontal="right"/>
    </xf>
    <xf numFmtId="3" fontId="13" fillId="10" borderId="2" xfId="0" applyNumberFormat="1" applyFont="1" applyFill="1" applyBorder="1" applyAlignment="1" applyProtection="1">
      <alignment horizontal="right"/>
    </xf>
    <xf numFmtId="3" fontId="13" fillId="10" borderId="18" xfId="0" applyNumberFormat="1" applyFont="1" applyFill="1" applyBorder="1" applyAlignment="1" applyProtection="1">
      <alignment horizontal="right"/>
    </xf>
    <xf numFmtId="3" fontId="13" fillId="10" borderId="98" xfId="0" applyNumberFormat="1" applyFont="1" applyFill="1" applyBorder="1" applyAlignment="1" applyProtection="1">
      <alignment horizontal="right"/>
    </xf>
    <xf numFmtId="3" fontId="13" fillId="10" borderId="21" xfId="0" applyNumberFormat="1" applyFont="1" applyFill="1" applyBorder="1" applyAlignment="1" applyProtection="1">
      <alignment horizontal="right"/>
    </xf>
    <xf numFmtId="3" fontId="13" fillId="10" borderId="47" xfId="0" applyNumberFormat="1" applyFont="1" applyFill="1" applyBorder="1" applyAlignment="1" applyProtection="1">
      <alignment horizontal="right"/>
    </xf>
    <xf numFmtId="3" fontId="13" fillId="10" borderId="119" xfId="0" applyNumberFormat="1" applyFont="1" applyFill="1" applyBorder="1" applyAlignment="1" applyProtection="1">
      <alignment horizontal="right"/>
    </xf>
    <xf numFmtId="3" fontId="13" fillId="10" borderId="28" xfId="0" applyNumberFormat="1" applyFont="1" applyFill="1" applyBorder="1" applyAlignment="1" applyProtection="1">
      <alignment horizontal="right"/>
    </xf>
    <xf numFmtId="3" fontId="13" fillId="10" borderId="103" xfId="0" applyNumberFormat="1" applyFont="1" applyFill="1" applyBorder="1" applyAlignment="1" applyProtection="1">
      <alignment horizontal="right"/>
    </xf>
    <xf numFmtId="3" fontId="13" fillId="10" borderId="29" xfId="0" applyNumberFormat="1" applyFont="1" applyFill="1" applyBorder="1" applyAlignment="1" applyProtection="1">
      <alignment horizontal="right"/>
    </xf>
    <xf numFmtId="3" fontId="13" fillId="10" borderId="32" xfId="0" applyNumberFormat="1" applyFont="1" applyFill="1" applyBorder="1" applyAlignment="1" applyProtection="1">
      <alignment horizontal="right"/>
    </xf>
    <xf numFmtId="3" fontId="13" fillId="10" borderId="22" xfId="0" applyNumberFormat="1" applyFont="1" applyFill="1" applyBorder="1" applyAlignment="1" applyProtection="1">
      <alignment horizontal="right"/>
    </xf>
    <xf numFmtId="3" fontId="13" fillId="10" borderId="5" xfId="0" applyNumberFormat="1" applyFont="1" applyFill="1" applyBorder="1" applyAlignment="1" applyProtection="1">
      <alignment horizontal="right"/>
    </xf>
    <xf numFmtId="3" fontId="13" fillId="10" borderId="19" xfId="0" applyNumberFormat="1" applyFont="1" applyFill="1" applyBorder="1" applyAlignment="1" applyProtection="1">
      <alignment horizontal="right"/>
    </xf>
    <xf numFmtId="3" fontId="13" fillId="10" borderId="6" xfId="0" applyNumberFormat="1" applyFont="1" applyFill="1" applyBorder="1" applyAlignment="1" applyProtection="1">
      <alignment horizontal="right"/>
    </xf>
    <xf numFmtId="3" fontId="13" fillId="10" borderId="7" xfId="0" applyNumberFormat="1" applyFont="1" applyFill="1" applyBorder="1" applyAlignment="1" applyProtection="1">
      <alignment horizontal="right"/>
    </xf>
    <xf numFmtId="0" fontId="23" fillId="10" borderId="96" xfId="0" applyFont="1" applyFill="1" applyBorder="1" applyProtection="1"/>
    <xf numFmtId="0" fontId="23" fillId="10" borderId="120" xfId="0" applyFont="1" applyFill="1" applyBorder="1" applyProtection="1"/>
    <xf numFmtId="0" fontId="23" fillId="10" borderId="121" xfId="0" applyFont="1" applyFill="1" applyBorder="1" applyProtection="1"/>
    <xf numFmtId="0" fontId="23" fillId="10" borderId="65" xfId="0" applyFont="1" applyFill="1" applyBorder="1" applyProtection="1"/>
    <xf numFmtId="0" fontId="23" fillId="10" borderId="82" xfId="0" applyFont="1" applyFill="1" applyBorder="1" applyProtection="1"/>
    <xf numFmtId="0" fontId="23" fillId="10" borderId="53" xfId="0" applyFont="1" applyFill="1" applyBorder="1" applyProtection="1"/>
    <xf numFmtId="0" fontId="23" fillId="10" borderId="98" xfId="0" applyFont="1" applyFill="1" applyBorder="1" applyProtection="1"/>
    <xf numFmtId="0" fontId="23" fillId="10" borderId="118" xfId="0" applyFont="1" applyFill="1" applyBorder="1" applyProtection="1"/>
    <xf numFmtId="0" fontId="23" fillId="10" borderId="21" xfId="0" applyFont="1" applyFill="1" applyBorder="1" applyProtection="1"/>
    <xf numFmtId="0" fontId="23" fillId="10" borderId="2" xfId="0" applyFont="1" applyFill="1" applyBorder="1" applyProtection="1"/>
    <xf numFmtId="0" fontId="23" fillId="10" borderId="47" xfId="0" applyFont="1" applyFill="1" applyBorder="1" applyProtection="1"/>
    <xf numFmtId="0" fontId="23" fillId="10" borderId="119" xfId="0" applyFont="1" applyFill="1" applyBorder="1" applyProtection="1"/>
    <xf numFmtId="0" fontId="23" fillId="10" borderId="28" xfId="0" applyFont="1" applyFill="1" applyBorder="1" applyProtection="1"/>
    <xf numFmtId="0" fontId="23" fillId="10" borderId="103" xfId="0" applyFont="1" applyFill="1" applyBorder="1" applyProtection="1"/>
    <xf numFmtId="3" fontId="13" fillId="10" borderId="109" xfId="0" applyNumberFormat="1" applyFont="1" applyFill="1" applyBorder="1" applyAlignment="1" applyProtection="1">
      <alignment horizontal="right"/>
    </xf>
    <xf numFmtId="3" fontId="13" fillId="2" borderId="82" xfId="0" applyNumberFormat="1" applyFont="1" applyFill="1" applyBorder="1" applyAlignment="1" applyProtection="1">
      <alignment horizontal="right"/>
      <protection locked="0"/>
    </xf>
    <xf numFmtId="0" fontId="23" fillId="10" borderId="7" xfId="0" applyFont="1" applyFill="1" applyBorder="1" applyProtection="1"/>
    <xf numFmtId="0" fontId="23" fillId="10" borderId="6" xfId="0" applyFont="1" applyFill="1" applyBorder="1" applyProtection="1"/>
    <xf numFmtId="0" fontId="23" fillId="10" borderId="5" xfId="0" applyFont="1" applyFill="1" applyBorder="1" applyProtection="1"/>
    <xf numFmtId="3" fontId="13" fillId="16" borderId="5" xfId="0" applyNumberFormat="1" applyFont="1" applyFill="1" applyBorder="1" applyAlignment="1" applyProtection="1">
      <alignment horizontal="right"/>
    </xf>
    <xf numFmtId="3" fontId="13" fillId="16" borderId="6" xfId="0" applyNumberFormat="1" applyFont="1" applyFill="1" applyBorder="1" applyAlignment="1" applyProtection="1">
      <alignment horizontal="right"/>
    </xf>
    <xf numFmtId="0" fontId="23" fillId="10" borderId="19" xfId="0" applyFont="1" applyFill="1" applyBorder="1" applyProtection="1"/>
    <xf numFmtId="0" fontId="23" fillId="10" borderId="22" xfId="0" applyFont="1" applyFill="1" applyBorder="1" applyProtection="1"/>
    <xf numFmtId="0" fontId="23" fillId="10" borderId="29" xfId="0" applyFont="1" applyFill="1" applyBorder="1" applyProtection="1"/>
    <xf numFmtId="0" fontId="23" fillId="10" borderId="32" xfId="0" applyFont="1" applyFill="1" applyBorder="1" applyProtection="1"/>
    <xf numFmtId="3" fontId="13" fillId="2" borderId="122" xfId="0" applyNumberFormat="1" applyFont="1" applyFill="1" applyBorder="1" applyAlignment="1" applyProtection="1">
      <alignment horizontal="right"/>
    </xf>
    <xf numFmtId="3" fontId="13" fillId="10" borderId="14" xfId="0" applyNumberFormat="1" applyFont="1" applyFill="1" applyBorder="1" applyAlignment="1" applyProtection="1">
      <alignment horizontal="left"/>
    </xf>
    <xf numFmtId="3" fontId="13" fillId="10" borderId="10" xfId="0" applyNumberFormat="1" applyFont="1" applyFill="1" applyBorder="1" applyAlignment="1" applyProtection="1">
      <alignment horizontal="left"/>
    </xf>
    <xf numFmtId="3" fontId="13" fillId="10" borderId="9" xfId="0" applyNumberFormat="1" applyFont="1" applyFill="1" applyBorder="1" applyAlignment="1" applyProtection="1">
      <alignment horizontal="left"/>
    </xf>
    <xf numFmtId="3" fontId="13" fillId="10" borderId="20" xfId="0" applyNumberFormat="1" applyFont="1" applyFill="1" applyBorder="1" applyAlignment="1" applyProtection="1">
      <alignment horizontal="left"/>
    </xf>
    <xf numFmtId="3" fontId="13" fillId="10" borderId="23" xfId="0" applyNumberFormat="1" applyFont="1" applyFill="1" applyBorder="1" applyAlignment="1" applyProtection="1">
      <alignment horizontal="left"/>
    </xf>
    <xf numFmtId="3" fontId="13" fillId="17" borderId="20" xfId="0" applyNumberFormat="1" applyFont="1" applyFill="1" applyBorder="1" applyAlignment="1" applyProtection="1">
      <alignment horizontal="left"/>
    </xf>
    <xf numFmtId="3" fontId="13" fillId="10" borderId="30" xfId="0" applyNumberFormat="1" applyFont="1" applyFill="1" applyBorder="1" applyAlignment="1" applyProtection="1">
      <alignment horizontal="left"/>
    </xf>
    <xf numFmtId="3" fontId="13" fillId="10" borderId="31" xfId="0" applyNumberFormat="1" applyFont="1" applyFill="1" applyBorder="1" applyAlignment="1" applyProtection="1">
      <alignment horizontal="left"/>
    </xf>
    <xf numFmtId="0" fontId="89" fillId="0" borderId="11" xfId="6" applyFont="1" applyBorder="1" applyProtection="1"/>
    <xf numFmtId="0" fontId="22" fillId="0" borderId="87" xfId="6" applyBorder="1" applyProtection="1"/>
    <xf numFmtId="0" fontId="89" fillId="0" borderId="74" xfId="6" applyFont="1" applyBorder="1" applyProtection="1"/>
    <xf numFmtId="49" fontId="94" fillId="7" borderId="0" xfId="0" applyNumberFormat="1" applyFont="1" applyFill="1" applyProtection="1"/>
    <xf numFmtId="0" fontId="94" fillId="7" borderId="0" xfId="0" applyFont="1" applyFill="1" applyProtection="1"/>
    <xf numFmtId="49" fontId="96" fillId="7" borderId="0" xfId="0" applyNumberFormat="1" applyFont="1" applyFill="1" applyProtection="1"/>
    <xf numFmtId="0" fontId="96" fillId="7" borderId="0" xfId="0" applyFont="1" applyFill="1" applyProtection="1"/>
    <xf numFmtId="0" fontId="0" fillId="7" borderId="0" xfId="0" applyFill="1" applyAlignment="1" applyProtection="1">
      <alignment horizontal="right"/>
    </xf>
    <xf numFmtId="0" fontId="97" fillId="7" borderId="0" xfId="0" applyFont="1" applyFill="1" applyProtection="1"/>
    <xf numFmtId="49" fontId="96" fillId="7" borderId="0" xfId="0" applyNumberFormat="1" applyFont="1" applyFill="1" applyAlignment="1" applyProtection="1">
      <alignment horizontal="right"/>
    </xf>
    <xf numFmtId="49" fontId="95" fillId="7" borderId="0" xfId="0" applyNumberFormat="1" applyFont="1" applyFill="1" applyAlignment="1" applyProtection="1">
      <alignment horizontal="right"/>
    </xf>
    <xf numFmtId="0" fontId="95" fillId="7" borderId="0" xfId="0" applyFont="1" applyFill="1" applyAlignment="1" applyProtection="1">
      <alignment horizontal="left"/>
    </xf>
    <xf numFmtId="49" fontId="96" fillId="7" borderId="0" xfId="6" applyNumberFormat="1" applyFont="1" applyFill="1" applyBorder="1" applyAlignment="1" applyProtection="1">
      <alignment horizontal="left"/>
    </xf>
    <xf numFmtId="0" fontId="96" fillId="7" borderId="0" xfId="6" applyFont="1" applyFill="1" applyProtection="1"/>
    <xf numFmtId="49" fontId="96" fillId="7" borderId="0" xfId="0" applyNumberFormat="1" applyFont="1" applyFill="1" applyAlignment="1" applyProtection="1"/>
    <xf numFmtId="0" fontId="96" fillId="7" borderId="0" xfId="0" applyFont="1" applyFill="1" applyAlignment="1" applyProtection="1"/>
    <xf numFmtId="3" fontId="2" fillId="0" borderId="18" xfId="0" applyNumberFormat="1" applyFont="1" applyFill="1" applyBorder="1" applyAlignment="1" applyProtection="1">
      <alignment horizontal="right"/>
      <protection locked="0"/>
    </xf>
    <xf numFmtId="3" fontId="48" fillId="0" borderId="39" xfId="0" applyNumberFormat="1" applyFont="1" applyFill="1" applyBorder="1" applyProtection="1"/>
    <xf numFmtId="3" fontId="7" fillId="0" borderId="39" xfId="0" applyNumberFormat="1" applyFont="1" applyFill="1" applyBorder="1" applyProtection="1"/>
    <xf numFmtId="3" fontId="3" fillId="0" borderId="67" xfId="0" applyNumberFormat="1" applyFont="1" applyFill="1" applyBorder="1" applyAlignment="1" applyProtection="1">
      <alignment horizontal="right"/>
    </xf>
    <xf numFmtId="3" fontId="34" fillId="0" borderId="39" xfId="0" applyNumberFormat="1" applyFont="1" applyFill="1" applyBorder="1" applyAlignment="1" applyProtection="1">
      <alignment horizontal="right"/>
    </xf>
    <xf numFmtId="0" fontId="80" fillId="2" borderId="67" xfId="11" applyFont="1" applyFill="1" applyBorder="1" applyProtection="1"/>
    <xf numFmtId="0" fontId="7" fillId="0" borderId="39" xfId="0" applyFont="1" applyFill="1" applyBorder="1" applyProtection="1"/>
    <xf numFmtId="3" fontId="13" fillId="3" borderId="8" xfId="0" applyNumberFormat="1" applyFont="1" applyFill="1" applyBorder="1" applyAlignment="1" applyProtection="1">
      <alignment horizontal="right"/>
    </xf>
    <xf numFmtId="3" fontId="34" fillId="2" borderId="39" xfId="0" applyNumberFormat="1" applyFont="1" applyFill="1" applyBorder="1" applyAlignment="1" applyProtection="1">
      <alignment horizontal="left"/>
    </xf>
    <xf numFmtId="3" fontId="102" fillId="2" borderId="0" xfId="0" applyNumberFormat="1" applyFont="1" applyFill="1" applyBorder="1" applyAlignment="1" applyProtection="1">
      <alignment horizontal="right"/>
    </xf>
    <xf numFmtId="3" fontId="102" fillId="5" borderId="0" xfId="0" applyNumberFormat="1" applyFont="1" applyFill="1" applyBorder="1" applyAlignment="1" applyProtection="1">
      <alignment horizontal="right"/>
    </xf>
    <xf numFmtId="3" fontId="102" fillId="4" borderId="0" xfId="0" applyNumberFormat="1" applyFont="1" applyFill="1" applyBorder="1" applyAlignment="1" applyProtection="1">
      <alignment horizontal="right"/>
    </xf>
    <xf numFmtId="3" fontId="102" fillId="6" borderId="0" xfId="0" applyNumberFormat="1" applyFont="1" applyFill="1" applyBorder="1" applyAlignment="1" applyProtection="1">
      <alignment horizontal="right"/>
    </xf>
    <xf numFmtId="0" fontId="103" fillId="0" borderId="0" xfId="0" applyFont="1" applyFill="1" applyBorder="1" applyProtection="1"/>
    <xf numFmtId="49" fontId="3" fillId="21" borderId="127" xfId="0" applyNumberFormat="1" applyFont="1" applyFill="1" applyBorder="1" applyAlignment="1" applyProtection="1">
      <alignment horizontal="center"/>
    </xf>
    <xf numFmtId="0" fontId="5" fillId="21" borderId="13" xfId="0" applyFont="1" applyFill="1" applyBorder="1" applyProtection="1"/>
    <xf numFmtId="49" fontId="3" fillId="21" borderId="5" xfId="0" applyNumberFormat="1" applyFont="1" applyFill="1" applyBorder="1" applyAlignment="1" applyProtection="1">
      <alignment horizontal="center" wrapText="1"/>
    </xf>
    <xf numFmtId="49" fontId="3" fillId="21" borderId="84" xfId="0" applyNumberFormat="1" applyFont="1" applyFill="1" applyBorder="1" applyAlignment="1" applyProtection="1">
      <alignment horizontal="center" wrapText="1"/>
    </xf>
    <xf numFmtId="0" fontId="8" fillId="21" borderId="9" xfId="0" applyFont="1" applyFill="1" applyBorder="1" applyAlignment="1" applyProtection="1">
      <alignment horizontal="center" wrapText="1"/>
    </xf>
    <xf numFmtId="49" fontId="3" fillId="21" borderId="2" xfId="0" applyNumberFormat="1" applyFont="1" applyFill="1" applyBorder="1" applyAlignment="1" applyProtection="1">
      <alignment horizontal="center" wrapText="1"/>
    </xf>
    <xf numFmtId="0" fontId="8" fillId="21" borderId="5" xfId="0" applyFont="1" applyFill="1" applyBorder="1" applyAlignment="1" applyProtection="1">
      <alignment horizontal="center"/>
    </xf>
    <xf numFmtId="0" fontId="3" fillId="21" borderId="68" xfId="0" applyFont="1" applyFill="1" applyBorder="1" applyAlignment="1" applyProtection="1">
      <alignment horizontal="center"/>
    </xf>
    <xf numFmtId="3" fontId="3" fillId="21" borderId="128" xfId="0" applyNumberFormat="1" applyFont="1" applyFill="1" applyBorder="1" applyAlignment="1" applyProtection="1"/>
    <xf numFmtId="0" fontId="3" fillId="21" borderId="23" xfId="0" applyFont="1" applyFill="1" applyBorder="1" applyAlignment="1" applyProtection="1">
      <alignment horizontal="center"/>
    </xf>
    <xf numFmtId="0" fontId="3" fillId="21" borderId="9" xfId="0" applyFont="1" applyFill="1" applyBorder="1" applyAlignment="1" applyProtection="1">
      <alignment horizontal="center"/>
    </xf>
    <xf numFmtId="0" fontId="5" fillId="21" borderId="9" xfId="0" applyFont="1" applyFill="1" applyBorder="1" applyAlignment="1" applyProtection="1">
      <alignment horizontal="left"/>
    </xf>
    <xf numFmtId="0" fontId="3" fillId="21" borderId="129" xfId="0" applyFont="1" applyFill="1" applyBorder="1" applyAlignment="1" applyProtection="1">
      <alignment horizontal="center"/>
    </xf>
    <xf numFmtId="0" fontId="8" fillId="21" borderId="13" xfId="0" applyFont="1" applyFill="1" applyBorder="1" applyAlignment="1" applyProtection="1">
      <alignment horizontal="center"/>
    </xf>
    <xf numFmtId="0" fontId="14" fillId="21" borderId="13" xfId="0" applyFont="1" applyFill="1" applyBorder="1" applyAlignment="1" applyProtection="1">
      <alignment horizontal="left"/>
    </xf>
    <xf numFmtId="0" fontId="3" fillId="21" borderId="22" xfId="0" applyFont="1" applyFill="1" applyBorder="1" applyAlignment="1" applyProtection="1">
      <alignment horizontal="center"/>
    </xf>
    <xf numFmtId="0" fontId="8" fillId="21" borderId="5" xfId="0" applyFont="1" applyFill="1" applyBorder="1" applyAlignment="1" applyProtection="1">
      <alignment wrapText="1"/>
    </xf>
    <xf numFmtId="0" fontId="3" fillId="21" borderId="21" xfId="0" applyFont="1" applyFill="1" applyBorder="1" applyAlignment="1" applyProtection="1">
      <alignment horizontal="center"/>
    </xf>
    <xf numFmtId="0" fontId="3" fillId="21" borderId="2" xfId="0" applyFont="1" applyFill="1" applyBorder="1" applyProtection="1"/>
    <xf numFmtId="0" fontId="3" fillId="21" borderId="130" xfId="0" applyFont="1" applyFill="1" applyBorder="1" applyAlignment="1" applyProtection="1">
      <alignment horizontal="center"/>
    </xf>
    <xf numFmtId="1" fontId="3" fillId="21" borderId="15" xfId="0" applyNumberFormat="1" applyFont="1" applyFill="1" applyBorder="1" applyAlignment="1" applyProtection="1">
      <alignment horizontal="center"/>
    </xf>
    <xf numFmtId="0" fontId="3" fillId="21" borderId="15" xfId="0" applyFont="1" applyFill="1" applyBorder="1" applyProtection="1"/>
    <xf numFmtId="1" fontId="3" fillId="21" borderId="5" xfId="0" applyNumberFormat="1" applyFont="1" applyFill="1" applyBorder="1" applyAlignment="1" applyProtection="1">
      <alignment horizontal="center"/>
    </xf>
    <xf numFmtId="0" fontId="3" fillId="21" borderId="5" xfId="0" applyFont="1" applyFill="1" applyBorder="1" applyProtection="1"/>
    <xf numFmtId="0" fontId="3" fillId="21" borderId="50" xfId="0" applyFont="1" applyFill="1" applyBorder="1" applyAlignment="1" applyProtection="1">
      <alignment horizontal="center"/>
    </xf>
    <xf numFmtId="1" fontId="3" fillId="21" borderId="2" xfId="0" applyNumberFormat="1" applyFont="1" applyFill="1" applyBorder="1" applyAlignment="1" applyProtection="1">
      <alignment horizontal="center"/>
    </xf>
    <xf numFmtId="0" fontId="3" fillId="21" borderId="24" xfId="0" applyFont="1" applyFill="1" applyBorder="1" applyAlignment="1" applyProtection="1">
      <alignment horizontal="center"/>
    </xf>
    <xf numFmtId="1" fontId="5" fillId="21" borderId="13" xfId="0" applyNumberFormat="1" applyFont="1" applyFill="1" applyBorder="1" applyAlignment="1" applyProtection="1">
      <alignment horizontal="center"/>
    </xf>
    <xf numFmtId="0" fontId="8" fillId="21" borderId="131" xfId="0" applyFont="1" applyFill="1" applyBorder="1" applyAlignment="1" applyProtection="1">
      <alignment horizontal="center"/>
    </xf>
    <xf numFmtId="1" fontId="8" fillId="21" borderId="2" xfId="0" applyNumberFormat="1" applyFont="1" applyFill="1" applyBorder="1" applyAlignment="1" applyProtection="1">
      <alignment horizontal="center"/>
    </xf>
    <xf numFmtId="0" fontId="8" fillId="21" borderId="2" xfId="0" applyFont="1" applyFill="1" applyBorder="1" applyProtection="1"/>
    <xf numFmtId="1" fontId="14" fillId="21" borderId="13" xfId="0" applyNumberFormat="1" applyFont="1" applyFill="1" applyBorder="1" applyAlignment="1" applyProtection="1">
      <alignment horizontal="center"/>
    </xf>
    <xf numFmtId="0" fontId="14" fillId="21" borderId="13" xfId="0" applyFont="1" applyFill="1" applyBorder="1" applyProtection="1"/>
    <xf numFmtId="0" fontId="3" fillId="21" borderId="51" xfId="0" applyFont="1" applyFill="1" applyBorder="1" applyAlignment="1" applyProtection="1">
      <alignment horizontal="center"/>
    </xf>
    <xf numFmtId="1" fontId="5" fillId="21" borderId="25" xfId="0" applyNumberFormat="1" applyFont="1" applyFill="1" applyBorder="1" applyAlignment="1" applyProtection="1">
      <alignment horizontal="center"/>
    </xf>
    <xf numFmtId="0" fontId="5" fillId="21" borderId="25" xfId="0" applyFont="1" applyFill="1" applyBorder="1" applyProtection="1"/>
    <xf numFmtId="0" fontId="3" fillId="21" borderId="131" xfId="0" applyFont="1" applyFill="1" applyBorder="1" applyAlignment="1" applyProtection="1">
      <alignment horizontal="center"/>
    </xf>
    <xf numFmtId="0" fontId="3" fillId="21" borderId="25" xfId="0" applyFont="1" applyFill="1" applyBorder="1" applyAlignment="1" applyProtection="1">
      <alignment horizontal="center"/>
    </xf>
    <xf numFmtId="0" fontId="3" fillId="21" borderId="25" xfId="0" applyFont="1" applyFill="1" applyBorder="1" applyProtection="1"/>
    <xf numFmtId="0" fontId="5" fillId="21" borderId="2" xfId="0" applyFont="1" applyFill="1" applyBorder="1" applyProtection="1"/>
    <xf numFmtId="49" fontId="3" fillId="21" borderId="129" xfId="0" applyNumberFormat="1" applyFont="1" applyFill="1" applyBorder="1" applyAlignment="1" applyProtection="1">
      <alignment horizontal="center"/>
    </xf>
    <xf numFmtId="0" fontId="3" fillId="21" borderId="106" xfId="0" applyFont="1" applyFill="1" applyBorder="1" applyAlignment="1" applyProtection="1">
      <alignment horizontal="center"/>
    </xf>
    <xf numFmtId="1" fontId="3" fillId="21" borderId="42" xfId="0" applyNumberFormat="1" applyFont="1" applyFill="1" applyBorder="1" applyAlignment="1" applyProtection="1">
      <alignment horizontal="left"/>
    </xf>
    <xf numFmtId="0" fontId="3" fillId="21" borderId="132" xfId="0" applyFont="1" applyFill="1" applyBorder="1" applyAlignment="1" applyProtection="1">
      <alignment horizontal="center"/>
    </xf>
    <xf numFmtId="1" fontId="3" fillId="21" borderId="133" xfId="0" applyNumberFormat="1" applyFont="1" applyFill="1" applyBorder="1" applyAlignment="1" applyProtection="1">
      <alignment horizontal="left"/>
    </xf>
    <xf numFmtId="49" fontId="3" fillId="21" borderId="134" xfId="0" applyNumberFormat="1" applyFont="1" applyFill="1" applyBorder="1" applyAlignment="1" applyProtection="1">
      <alignment horizontal="center"/>
    </xf>
    <xf numFmtId="0" fontId="63" fillId="21" borderId="81" xfId="0" applyFont="1" applyFill="1" applyBorder="1" applyAlignment="1" applyProtection="1">
      <alignment horizontal="center"/>
    </xf>
    <xf numFmtId="49" fontId="3" fillId="21" borderId="21" xfId="0" applyNumberFormat="1" applyFont="1" applyFill="1" applyBorder="1" applyAlignment="1" applyProtection="1">
      <alignment horizontal="center"/>
    </xf>
    <xf numFmtId="49" fontId="16" fillId="21" borderId="8" xfId="0" applyNumberFormat="1" applyFont="1" applyFill="1" applyBorder="1" applyAlignment="1" applyProtection="1">
      <alignment horizontal="left"/>
    </xf>
    <xf numFmtId="49" fontId="3" fillId="21" borderId="22" xfId="0" applyNumberFormat="1" applyFont="1" applyFill="1" applyBorder="1" applyAlignment="1" applyProtection="1">
      <alignment horizontal="center"/>
    </xf>
    <xf numFmtId="49" fontId="3" fillId="21" borderId="130" xfId="0" applyNumberFormat="1" applyFont="1" applyFill="1" applyBorder="1" applyAlignment="1" applyProtection="1">
      <alignment horizontal="center"/>
    </xf>
    <xf numFmtId="49" fontId="3" fillId="21" borderId="24" xfId="0" applyNumberFormat="1" applyFont="1" applyFill="1" applyBorder="1" applyAlignment="1" applyProtection="1">
      <alignment horizontal="center"/>
    </xf>
    <xf numFmtId="49" fontId="63" fillId="21" borderId="66" xfId="0" applyNumberFormat="1" applyFont="1" applyFill="1" applyBorder="1" applyAlignment="1" applyProtection="1">
      <alignment horizontal="center"/>
    </xf>
    <xf numFmtId="49" fontId="8" fillId="21" borderId="135" xfId="0" applyNumberFormat="1" applyFont="1" applyFill="1" applyBorder="1" applyAlignment="1" applyProtection="1">
      <alignment horizontal="center"/>
    </xf>
    <xf numFmtId="0" fontId="14" fillId="21" borderId="136" xfId="0" applyFont="1" applyFill="1" applyBorder="1" applyAlignment="1" applyProtection="1">
      <alignment wrapText="1"/>
    </xf>
    <xf numFmtId="0" fontId="3" fillId="21" borderId="2" xfId="0" applyFont="1" applyFill="1" applyBorder="1" applyAlignment="1" applyProtection="1">
      <alignment wrapText="1"/>
    </xf>
    <xf numFmtId="49" fontId="3" fillId="21" borderId="131" xfId="0" applyNumberFormat="1" applyFont="1" applyFill="1" applyBorder="1" applyAlignment="1" applyProtection="1">
      <alignment horizontal="center"/>
    </xf>
    <xf numFmtId="0" fontId="5" fillId="21" borderId="42" xfId="0" applyFont="1" applyFill="1" applyBorder="1" applyProtection="1"/>
    <xf numFmtId="49" fontId="8" fillId="21" borderId="125" xfId="0" applyNumberFormat="1" applyFont="1" applyFill="1" applyBorder="1" applyAlignment="1" applyProtection="1">
      <alignment horizontal="center"/>
    </xf>
    <xf numFmtId="0" fontId="14" fillId="21" borderId="42" xfId="0" applyFont="1" applyFill="1" applyBorder="1" applyProtection="1"/>
    <xf numFmtId="0" fontId="5" fillId="21" borderId="2" xfId="0" applyFont="1" applyFill="1" applyBorder="1" applyAlignment="1" applyProtection="1">
      <alignment wrapText="1"/>
    </xf>
    <xf numFmtId="49" fontId="8" fillId="21" borderId="22" xfId="0" applyNumberFormat="1" applyFont="1" applyFill="1" applyBorder="1" applyAlignment="1" applyProtection="1">
      <alignment horizontal="center"/>
    </xf>
    <xf numFmtId="0" fontId="3" fillId="21" borderId="5" xfId="0" applyFont="1" applyFill="1" applyBorder="1" applyAlignment="1" applyProtection="1">
      <alignment wrapText="1"/>
    </xf>
    <xf numFmtId="0" fontId="5" fillId="21" borderId="120" xfId="0" applyFont="1" applyFill="1" applyBorder="1" applyAlignment="1" applyProtection="1">
      <alignment horizontal="right"/>
    </xf>
    <xf numFmtId="0" fontId="3" fillId="21" borderId="98" xfId="0" applyFont="1" applyFill="1" applyBorder="1" applyAlignment="1" applyProtection="1">
      <alignment horizontal="left"/>
    </xf>
    <xf numFmtId="0" fontId="5" fillId="21" borderId="118" xfId="0" applyFont="1" applyFill="1" applyBorder="1" applyAlignment="1" applyProtection="1">
      <alignment horizontal="right"/>
    </xf>
    <xf numFmtId="0" fontId="3" fillId="21" borderId="127" xfId="0" applyFont="1" applyFill="1" applyBorder="1" applyAlignment="1" applyProtection="1">
      <alignment horizontal="left"/>
    </xf>
    <xf numFmtId="0" fontId="5" fillId="21" borderId="15" xfId="0" applyFont="1" applyFill="1" applyBorder="1" applyAlignment="1" applyProtection="1">
      <alignment horizontal="right"/>
    </xf>
    <xf numFmtId="0" fontId="5" fillId="21" borderId="2" xfId="0" applyFont="1" applyFill="1" applyBorder="1" applyAlignment="1" applyProtection="1">
      <alignment horizontal="left"/>
    </xf>
    <xf numFmtId="0" fontId="3" fillId="21" borderId="2" xfId="0" applyFont="1" applyFill="1" applyBorder="1" applyAlignment="1" applyProtection="1">
      <alignment horizontal="left"/>
    </xf>
    <xf numFmtId="0" fontId="5" fillId="21" borderId="13" xfId="0" applyFont="1" applyFill="1" applyBorder="1" applyAlignment="1" applyProtection="1">
      <alignment horizontal="left"/>
    </xf>
    <xf numFmtId="49" fontId="3" fillId="21" borderId="23" xfId="0" applyNumberFormat="1" applyFont="1" applyFill="1" applyBorder="1" applyAlignment="1" applyProtection="1">
      <alignment horizontal="center"/>
    </xf>
    <xf numFmtId="0" fontId="3" fillId="21" borderId="9" xfId="0" applyFont="1" applyFill="1" applyBorder="1" applyAlignment="1" applyProtection="1">
      <alignment horizontal="left"/>
    </xf>
    <xf numFmtId="0" fontId="3" fillId="21" borderId="5" xfId="0" applyFont="1" applyFill="1" applyBorder="1" applyAlignment="1" applyProtection="1">
      <alignment horizontal="left"/>
    </xf>
    <xf numFmtId="0" fontId="5" fillId="21" borderId="15" xfId="0" applyFont="1" applyFill="1" applyBorder="1" applyAlignment="1" applyProtection="1">
      <alignment horizontal="left"/>
    </xf>
    <xf numFmtId="0" fontId="5" fillId="21" borderId="118" xfId="0" applyFont="1" applyFill="1" applyBorder="1" applyAlignment="1" applyProtection="1">
      <alignment horizontal="left"/>
    </xf>
    <xf numFmtId="0" fontId="5" fillId="21" borderId="121" xfId="0" applyFont="1" applyFill="1" applyBorder="1" applyAlignment="1" applyProtection="1">
      <alignment horizontal="left"/>
    </xf>
    <xf numFmtId="0" fontId="3" fillId="21" borderId="15" xfId="0" applyFont="1" applyFill="1" applyBorder="1" applyAlignment="1" applyProtection="1">
      <alignment horizontal="left"/>
    </xf>
    <xf numFmtId="0" fontId="3" fillId="21" borderId="57" xfId="0" applyFont="1" applyFill="1" applyBorder="1" applyAlignment="1" applyProtection="1">
      <alignment horizontal="left"/>
    </xf>
    <xf numFmtId="0" fontId="5" fillId="21" borderId="57" xfId="0" applyFont="1" applyFill="1" applyBorder="1" applyAlignment="1" applyProtection="1">
      <alignment horizontal="right"/>
    </xf>
    <xf numFmtId="0" fontId="3" fillId="21" borderId="54" xfId="0" applyFont="1" applyFill="1" applyBorder="1" applyAlignment="1" applyProtection="1">
      <alignment horizontal="left"/>
    </xf>
    <xf numFmtId="0" fontId="5" fillId="21" borderId="127" xfId="0" applyFont="1" applyFill="1" applyBorder="1" applyAlignment="1" applyProtection="1">
      <alignment horizontal="left" vertical="top"/>
    </xf>
    <xf numFmtId="0" fontId="5" fillId="21" borderId="57" xfId="0" applyFont="1" applyFill="1" applyBorder="1" applyAlignment="1" applyProtection="1">
      <alignment horizontal="left" vertical="top"/>
    </xf>
    <xf numFmtId="0" fontId="5" fillId="21" borderId="21" xfId="0" applyFont="1" applyFill="1" applyBorder="1" applyAlignment="1" applyProtection="1">
      <alignment horizontal="right"/>
    </xf>
    <xf numFmtId="0" fontId="5" fillId="21" borderId="53" xfId="0" applyFont="1" applyFill="1" applyBorder="1" applyAlignment="1" applyProtection="1">
      <alignment horizontal="right"/>
    </xf>
    <xf numFmtId="3" fontId="43" fillId="22" borderId="22" xfId="0" applyNumberFormat="1" applyFont="1" applyFill="1" applyBorder="1" applyProtection="1"/>
    <xf numFmtId="3" fontId="43" fillId="22" borderId="19" xfId="0" applyNumberFormat="1" applyFont="1" applyFill="1" applyBorder="1" applyProtection="1"/>
    <xf numFmtId="3" fontId="43" fillId="22" borderId="22" xfId="0" applyNumberFormat="1" applyFont="1" applyFill="1" applyBorder="1" applyAlignment="1" applyProtection="1">
      <alignment horizontal="right"/>
    </xf>
    <xf numFmtId="3" fontId="43" fillId="22" borderId="24" xfId="0" applyNumberFormat="1" applyFont="1" applyFill="1" applyBorder="1" applyProtection="1"/>
    <xf numFmtId="3" fontId="43" fillId="22" borderId="23" xfId="0" applyNumberFormat="1" applyFont="1" applyFill="1" applyBorder="1" applyProtection="1"/>
    <xf numFmtId="3" fontId="43" fillId="22" borderId="41" xfId="0" applyNumberFormat="1" applyFont="1" applyFill="1" applyBorder="1" applyProtection="1"/>
    <xf numFmtId="3" fontId="43" fillId="22" borderId="53" xfId="0" applyNumberFormat="1" applyFont="1" applyFill="1" applyBorder="1" applyProtection="1"/>
    <xf numFmtId="3" fontId="43" fillId="22" borderId="52" xfId="0" applyNumberFormat="1" applyFont="1" applyFill="1" applyBorder="1" applyProtection="1"/>
    <xf numFmtId="3" fontId="43" fillId="23" borderId="22" xfId="0" applyNumberFormat="1" applyFont="1" applyFill="1" applyBorder="1" applyProtection="1"/>
    <xf numFmtId="3" fontId="43" fillId="23" borderId="52" xfId="0" applyNumberFormat="1" applyFont="1" applyFill="1" applyBorder="1" applyProtection="1"/>
    <xf numFmtId="3" fontId="43" fillId="22" borderId="80" xfId="0" applyNumberFormat="1" applyFont="1" applyFill="1" applyBorder="1" applyProtection="1"/>
    <xf numFmtId="0" fontId="5" fillId="21" borderId="137" xfId="0" applyFont="1" applyFill="1" applyBorder="1" applyAlignment="1" applyProtection="1">
      <alignment horizontal="center" vertical="center" wrapText="1"/>
    </xf>
    <xf numFmtId="3" fontId="43" fillId="22" borderId="138" xfId="0" applyNumberFormat="1" applyFont="1" applyFill="1" applyBorder="1" applyProtection="1"/>
    <xf numFmtId="3" fontId="43" fillId="23" borderId="139" xfId="0" applyNumberFormat="1" applyFont="1" applyFill="1" applyBorder="1" applyProtection="1"/>
    <xf numFmtId="3" fontId="43" fillId="23" borderId="140" xfId="0" applyNumberFormat="1" applyFont="1" applyFill="1" applyBorder="1" applyProtection="1"/>
    <xf numFmtId="3" fontId="43" fillId="23" borderId="122" xfId="0" applyNumberFormat="1" applyFont="1" applyFill="1" applyBorder="1" applyProtection="1"/>
    <xf numFmtId="3" fontId="43" fillId="22" borderId="141" xfId="0" applyNumberFormat="1" applyFont="1" applyFill="1" applyBorder="1" applyProtection="1"/>
    <xf numFmtId="0" fontId="5" fillId="21" borderId="36" xfId="0" applyFont="1" applyFill="1" applyBorder="1" applyProtection="1"/>
    <xf numFmtId="166" fontId="4" fillId="21" borderId="121" xfId="0" applyNumberFormat="1" applyFont="1" applyFill="1" applyBorder="1" applyProtection="1"/>
    <xf numFmtId="0" fontId="5" fillId="21" borderId="142" xfId="0" applyFont="1" applyFill="1" applyBorder="1" applyProtection="1"/>
    <xf numFmtId="166" fontId="6" fillId="21" borderId="143" xfId="0" applyNumberFormat="1" applyFont="1" applyFill="1" applyBorder="1" applyProtection="1"/>
    <xf numFmtId="0" fontId="5" fillId="21" borderId="21" xfId="0" applyFont="1" applyFill="1" applyBorder="1" applyAlignment="1" applyProtection="1">
      <alignment horizontal="left" vertical="top"/>
    </xf>
    <xf numFmtId="0" fontId="5" fillId="21" borderId="53" xfId="0" applyFont="1" applyFill="1" applyBorder="1" applyAlignment="1" applyProtection="1">
      <alignment horizontal="left" vertical="top"/>
    </xf>
    <xf numFmtId="3" fontId="43" fillId="22" borderId="19" xfId="0" applyNumberFormat="1" applyFont="1" applyFill="1" applyBorder="1" applyAlignment="1" applyProtection="1">
      <alignment horizontal="right"/>
    </xf>
    <xf numFmtId="0" fontId="3" fillId="21" borderId="131" xfId="0" applyFont="1" applyFill="1" applyBorder="1" applyProtection="1"/>
    <xf numFmtId="166" fontId="6" fillId="21" borderId="53" xfId="0" applyNumberFormat="1" applyFont="1" applyFill="1" applyBorder="1" applyProtection="1"/>
    <xf numFmtId="0" fontId="3" fillId="21" borderId="50" xfId="0" applyFont="1" applyFill="1" applyBorder="1" applyProtection="1"/>
    <xf numFmtId="166" fontId="6" fillId="21" borderId="52" xfId="0" applyNumberFormat="1" applyFont="1" applyFill="1" applyBorder="1" applyProtection="1"/>
    <xf numFmtId="3" fontId="43" fillId="23" borderId="69" xfId="0" applyNumberFormat="1" applyFont="1" applyFill="1" applyBorder="1" applyProtection="1"/>
    <xf numFmtId="3" fontId="43" fillId="23" borderId="60" xfId="0" applyNumberFormat="1" applyFont="1" applyFill="1" applyBorder="1" applyProtection="1"/>
    <xf numFmtId="0" fontId="3" fillId="21" borderId="144" xfId="0" applyFont="1" applyFill="1" applyBorder="1" applyProtection="1"/>
    <xf numFmtId="3" fontId="43" fillId="22" borderId="24" xfId="0" applyNumberFormat="1" applyFont="1" applyFill="1" applyBorder="1" applyAlignment="1" applyProtection="1">
      <alignment horizontal="right"/>
    </xf>
    <xf numFmtId="3" fontId="43" fillId="23" borderId="85" xfId="0" applyNumberFormat="1" applyFont="1" applyFill="1" applyBorder="1" applyProtection="1"/>
    <xf numFmtId="49" fontId="3" fillId="21" borderId="36" xfId="0" applyNumberFormat="1" applyFont="1" applyFill="1" applyBorder="1" applyAlignment="1" applyProtection="1">
      <alignment horizontal="left"/>
    </xf>
    <xf numFmtId="0" fontId="5" fillId="21" borderId="118" xfId="0" applyFont="1" applyFill="1" applyBorder="1" applyAlignment="1" applyProtection="1"/>
    <xf numFmtId="49" fontId="3" fillId="21" borderId="58" xfId="0" applyNumberFormat="1" applyFont="1" applyFill="1" applyBorder="1" applyAlignment="1" applyProtection="1">
      <alignment horizontal="left"/>
    </xf>
    <xf numFmtId="0" fontId="25" fillId="21" borderId="15" xfId="0" applyFont="1" applyFill="1" applyBorder="1" applyProtection="1"/>
    <xf numFmtId="49" fontId="3" fillId="21" borderId="142" xfId="0" applyNumberFormat="1" applyFont="1" applyFill="1" applyBorder="1" applyAlignment="1" applyProtection="1">
      <alignment horizontal="left"/>
    </xf>
    <xf numFmtId="0" fontId="25" fillId="21" borderId="42" xfId="0" applyFont="1" applyFill="1" applyBorder="1" applyProtection="1"/>
    <xf numFmtId="49" fontId="3" fillId="21" borderId="127" xfId="0" applyNumberFormat="1" applyFont="1" applyFill="1" applyBorder="1" applyProtection="1"/>
    <xf numFmtId="165" fontId="3" fillId="21" borderId="15" xfId="0" applyNumberFormat="1" applyFont="1" applyFill="1" applyBorder="1" applyProtection="1"/>
    <xf numFmtId="0" fontId="24" fillId="21" borderId="145" xfId="0" applyFont="1" applyFill="1" applyBorder="1" applyProtection="1"/>
    <xf numFmtId="0" fontId="24" fillId="21" borderId="15" xfId="0" applyFont="1" applyFill="1" applyBorder="1" applyProtection="1"/>
    <xf numFmtId="0" fontId="5" fillId="21" borderId="2" xfId="0" applyNumberFormat="1" applyFont="1" applyFill="1" applyBorder="1" applyAlignment="1" applyProtection="1">
      <alignment horizontal="center"/>
    </xf>
    <xf numFmtId="0" fontId="14" fillId="21" borderId="2" xfId="0" applyFont="1" applyFill="1" applyBorder="1" applyProtection="1"/>
    <xf numFmtId="49" fontId="3" fillId="21" borderId="2" xfId="0" applyNumberFormat="1" applyFont="1" applyFill="1" applyBorder="1" applyAlignment="1" applyProtection="1">
      <alignment horizontal="center"/>
    </xf>
    <xf numFmtId="0" fontId="14" fillId="21" borderId="15" xfId="0" applyFont="1" applyFill="1" applyBorder="1" applyProtection="1"/>
    <xf numFmtId="0" fontId="3" fillId="21" borderId="5" xfId="0" applyFont="1" applyFill="1" applyBorder="1" applyAlignment="1" applyProtection="1">
      <alignment horizontal="center"/>
    </xf>
    <xf numFmtId="49" fontId="8" fillId="21" borderId="2" xfId="0" applyNumberFormat="1" applyFont="1" applyFill="1" applyBorder="1" applyAlignment="1" applyProtection="1">
      <alignment horizontal="center"/>
    </xf>
    <xf numFmtId="0" fontId="24" fillId="21" borderId="118" xfId="0" applyFont="1" applyFill="1" applyBorder="1" applyProtection="1"/>
    <xf numFmtId="49" fontId="5" fillId="21" borderId="13" xfId="0" applyNumberFormat="1" applyFont="1" applyFill="1" applyBorder="1" applyAlignment="1" applyProtection="1">
      <alignment horizontal="center"/>
    </xf>
    <xf numFmtId="49" fontId="5" fillId="21" borderId="84" xfId="0" applyNumberFormat="1" applyFont="1" applyFill="1" applyBorder="1" applyAlignment="1" applyProtection="1">
      <alignment horizontal="center"/>
    </xf>
    <xf numFmtId="0" fontId="14" fillId="21" borderId="84" xfId="0" applyFont="1" applyFill="1" applyBorder="1" applyProtection="1"/>
    <xf numFmtId="3" fontId="5" fillId="21" borderId="95" xfId="0" applyNumberFormat="1" applyFont="1" applyFill="1" applyBorder="1" applyProtection="1"/>
    <xf numFmtId="3" fontId="5" fillId="21" borderId="88" xfId="0" applyNumberFormat="1" applyFont="1" applyFill="1" applyBorder="1" applyProtection="1"/>
    <xf numFmtId="166" fontId="26" fillId="21" borderId="56" xfId="0" applyNumberFormat="1" applyFont="1" applyFill="1" applyBorder="1" applyAlignment="1" applyProtection="1">
      <alignment horizontal="center"/>
    </xf>
    <xf numFmtId="166" fontId="26" fillId="21" borderId="60" xfId="0" applyNumberFormat="1" applyFont="1" applyFill="1" applyBorder="1" applyAlignment="1" applyProtection="1">
      <alignment horizontal="center"/>
    </xf>
    <xf numFmtId="166" fontId="27" fillId="21" borderId="147" xfId="0" applyNumberFormat="1" applyFont="1" applyFill="1" applyBorder="1" applyProtection="1"/>
    <xf numFmtId="166" fontId="27" fillId="21" borderId="90" xfId="0" applyNumberFormat="1" applyFont="1" applyFill="1" applyBorder="1" applyProtection="1"/>
    <xf numFmtId="166" fontId="6" fillId="21" borderId="148" xfId="0" applyNumberFormat="1" applyFont="1" applyFill="1" applyBorder="1" applyProtection="1"/>
    <xf numFmtId="166" fontId="6" fillId="21" borderId="149" xfId="0" applyNumberFormat="1" applyFont="1" applyFill="1" applyBorder="1" applyProtection="1"/>
    <xf numFmtId="166" fontId="6" fillId="21" borderId="54" xfId="0" applyNumberFormat="1" applyFont="1" applyFill="1" applyBorder="1" applyProtection="1"/>
    <xf numFmtId="166" fontId="6" fillId="21" borderId="18" xfId="0" applyNumberFormat="1" applyFont="1" applyFill="1" applyBorder="1" applyProtection="1"/>
    <xf numFmtId="0" fontId="7" fillId="21" borderId="19" xfId="0" applyFont="1" applyFill="1" applyBorder="1" applyProtection="1"/>
    <xf numFmtId="0" fontId="5" fillId="21" borderId="58" xfId="0" applyFont="1" applyFill="1" applyBorder="1" applyAlignment="1" applyProtection="1">
      <alignment horizontal="center"/>
    </xf>
    <xf numFmtId="0" fontId="5" fillId="21" borderId="57" xfId="0" applyFont="1" applyFill="1" applyBorder="1" applyAlignment="1" applyProtection="1"/>
    <xf numFmtId="0" fontId="5" fillId="21" borderId="142" xfId="0" applyFont="1" applyFill="1" applyBorder="1" applyAlignment="1" applyProtection="1">
      <alignment horizontal="right"/>
    </xf>
    <xf numFmtId="0" fontId="5" fillId="21" borderId="143" xfId="0" applyFont="1" applyFill="1" applyBorder="1" applyAlignment="1" applyProtection="1">
      <alignment horizontal="right"/>
    </xf>
    <xf numFmtId="3" fontId="2" fillId="23" borderId="58" xfId="0" applyNumberFormat="1" applyFont="1" applyFill="1" applyBorder="1" applyAlignment="1" applyProtection="1">
      <alignment horizontal="right"/>
    </xf>
    <xf numFmtId="3" fontId="2" fillId="23" borderId="57" xfId="0" applyNumberFormat="1" applyFont="1" applyFill="1" applyBorder="1" applyAlignment="1" applyProtection="1">
      <alignment horizontal="right"/>
    </xf>
    <xf numFmtId="3" fontId="2" fillId="23" borderId="58" xfId="0" applyNumberFormat="1" applyFont="1" applyFill="1" applyBorder="1" applyProtection="1"/>
    <xf numFmtId="3" fontId="2" fillId="23" borderId="57" xfId="0" applyNumberFormat="1" applyFont="1" applyFill="1" applyBorder="1" applyProtection="1"/>
    <xf numFmtId="3" fontId="2" fillId="22" borderId="58" xfId="0" applyNumberFormat="1" applyFont="1" applyFill="1" applyBorder="1" applyProtection="1"/>
    <xf numFmtId="3" fontId="2" fillId="22" borderId="57" xfId="0" applyNumberFormat="1" applyFont="1" applyFill="1" applyBorder="1" applyProtection="1"/>
    <xf numFmtId="3" fontId="43" fillId="23" borderId="58" xfId="0" applyNumberFormat="1" applyFont="1" applyFill="1" applyBorder="1" applyProtection="1"/>
    <xf numFmtId="3" fontId="43" fillId="23" borderId="57" xfId="0" applyNumberFormat="1" applyFont="1" applyFill="1" applyBorder="1" applyProtection="1"/>
    <xf numFmtId="3" fontId="43" fillId="22" borderId="58" xfId="0" applyNumberFormat="1" applyFont="1" applyFill="1" applyBorder="1" applyProtection="1"/>
    <xf numFmtId="3" fontId="43" fillId="22" borderId="57" xfId="0" applyNumberFormat="1" applyFont="1" applyFill="1" applyBorder="1" applyProtection="1"/>
    <xf numFmtId="0" fontId="98" fillId="21" borderId="58" xfId="0" applyFont="1" applyFill="1" applyBorder="1" applyProtection="1"/>
    <xf numFmtId="0" fontId="98" fillId="21" borderId="57" xfId="0" applyFont="1" applyFill="1" applyBorder="1" applyProtection="1"/>
    <xf numFmtId="49" fontId="8" fillId="21" borderId="132" xfId="0" applyNumberFormat="1" applyFont="1" applyFill="1" applyBorder="1" applyAlignment="1" applyProtection="1">
      <alignment horizontal="center"/>
    </xf>
    <xf numFmtId="49" fontId="8" fillId="21" borderId="133" xfId="0" applyNumberFormat="1" applyFont="1" applyFill="1" applyBorder="1" applyAlignment="1" applyProtection="1">
      <alignment horizontal="center"/>
    </xf>
    <xf numFmtId="49" fontId="8" fillId="21" borderId="133" xfId="0" applyNumberFormat="1" applyFont="1" applyFill="1" applyBorder="1" applyAlignment="1" applyProtection="1">
      <alignment horizontal="left"/>
    </xf>
    <xf numFmtId="49" fontId="8" fillId="21" borderId="34" xfId="0" applyNumberFormat="1" applyFont="1" applyFill="1" applyBorder="1" applyAlignment="1" applyProtection="1">
      <alignment horizontal="center"/>
    </xf>
    <xf numFmtId="49" fontId="8" fillId="21" borderId="35" xfId="0" applyNumberFormat="1" applyFont="1" applyFill="1" applyBorder="1" applyAlignment="1" applyProtection="1">
      <alignment horizontal="center"/>
    </xf>
    <xf numFmtId="49" fontId="8" fillId="21" borderId="35" xfId="0" applyNumberFormat="1" applyFont="1" applyFill="1" applyBorder="1" applyAlignment="1" applyProtection="1">
      <alignment horizontal="left"/>
    </xf>
    <xf numFmtId="49" fontId="8" fillId="21" borderId="7" xfId="0" applyNumberFormat="1" applyFont="1" applyFill="1" applyBorder="1" applyAlignment="1" applyProtection="1">
      <alignment horizontal="center"/>
    </xf>
    <xf numFmtId="49" fontId="8" fillId="21" borderId="5" xfId="0" applyNumberFormat="1" applyFont="1" applyFill="1" applyBorder="1" applyAlignment="1" applyProtection="1">
      <alignment horizontal="center"/>
    </xf>
    <xf numFmtId="49" fontId="8" fillId="21" borderId="150" xfId="0" applyNumberFormat="1" applyFont="1" applyFill="1" applyBorder="1" applyAlignment="1" applyProtection="1">
      <alignment horizontal="center"/>
    </xf>
    <xf numFmtId="49" fontId="8" fillId="21" borderId="42" xfId="0" applyNumberFormat="1" applyFont="1" applyFill="1" applyBorder="1" applyAlignment="1" applyProtection="1">
      <alignment horizontal="left"/>
    </xf>
    <xf numFmtId="166" fontId="6" fillId="21" borderId="9" xfId="0" applyNumberFormat="1" applyFont="1" applyFill="1" applyBorder="1" applyProtection="1"/>
    <xf numFmtId="3" fontId="9" fillId="24" borderId="20" xfId="0" applyNumberFormat="1" applyFont="1" applyFill="1" applyBorder="1" applyProtection="1"/>
    <xf numFmtId="0" fontId="5" fillId="21" borderId="124" xfId="0" applyFont="1" applyFill="1" applyBorder="1" applyAlignment="1" applyProtection="1">
      <alignment horizontal="left"/>
    </xf>
    <xf numFmtId="1" fontId="5" fillId="21" borderId="42" xfId="0" applyNumberFormat="1" applyFont="1" applyFill="1" applyBorder="1" applyAlignment="1" applyProtection="1">
      <alignment horizontal="left"/>
    </xf>
    <xf numFmtId="0" fontId="5" fillId="21" borderId="1" xfId="0" applyFont="1" applyFill="1" applyBorder="1" applyProtection="1"/>
    <xf numFmtId="3" fontId="15" fillId="21" borderId="147" xfId="0" applyNumberFormat="1" applyFont="1" applyFill="1" applyBorder="1" applyProtection="1"/>
    <xf numFmtId="3" fontId="15" fillId="21" borderId="90" xfId="0" applyNumberFormat="1" applyFont="1" applyFill="1" applyBorder="1" applyProtection="1"/>
    <xf numFmtId="3" fontId="2" fillId="21" borderId="18" xfId="0" applyNumberFormat="1" applyFont="1" applyFill="1" applyBorder="1" applyProtection="1"/>
    <xf numFmtId="49" fontId="3" fillId="21" borderId="151" xfId="0" applyNumberFormat="1" applyFont="1" applyFill="1" applyBorder="1" applyAlignment="1" applyProtection="1">
      <alignment horizontal="center"/>
    </xf>
    <xf numFmtId="0" fontId="3" fillId="21" borderId="151" xfId="0" applyFont="1" applyFill="1" applyBorder="1" applyProtection="1"/>
    <xf numFmtId="49" fontId="3" fillId="21" borderId="5" xfId="0" applyNumberFormat="1" applyFont="1" applyFill="1" applyBorder="1" applyAlignment="1" applyProtection="1">
      <alignment horizontal="center"/>
    </xf>
    <xf numFmtId="166" fontId="3" fillId="21" borderId="2" xfId="0" applyNumberFormat="1" applyFont="1" applyFill="1" applyBorder="1" applyAlignment="1" applyProtection="1">
      <alignment horizontal="left"/>
    </xf>
    <xf numFmtId="49" fontId="5" fillId="21" borderId="25" xfId="0" applyNumberFormat="1" applyFont="1" applyFill="1" applyBorder="1" applyAlignment="1" applyProtection="1">
      <alignment horizontal="center"/>
    </xf>
    <xf numFmtId="0" fontId="3" fillId="21" borderId="2" xfId="0" applyFont="1" applyFill="1" applyBorder="1" applyAlignment="1" applyProtection="1">
      <alignment horizontal="center"/>
    </xf>
    <xf numFmtId="49" fontId="5" fillId="21" borderId="5" xfId="0" applyNumberFormat="1" applyFont="1" applyFill="1" applyBorder="1" applyAlignment="1" applyProtection="1">
      <alignment horizontal="center"/>
    </xf>
    <xf numFmtId="0" fontId="5" fillId="21" borderId="5" xfId="0" applyFont="1" applyFill="1" applyBorder="1" applyProtection="1"/>
    <xf numFmtId="3" fontId="8" fillId="21" borderId="146" xfId="0" applyNumberFormat="1" applyFont="1" applyFill="1" applyBorder="1" applyAlignment="1" applyProtection="1">
      <alignment horizontal="center"/>
    </xf>
    <xf numFmtId="3" fontId="5" fillId="21" borderId="152" xfId="0" applyNumberFormat="1" applyFont="1" applyFill="1" applyBorder="1" applyAlignment="1" applyProtection="1">
      <alignment horizontal="center"/>
    </xf>
    <xf numFmtId="3" fontId="5" fillId="21" borderId="152" xfId="0" applyNumberFormat="1" applyFont="1" applyFill="1" applyBorder="1" applyProtection="1"/>
    <xf numFmtId="3" fontId="2" fillId="22" borderId="18" xfId="0" applyNumberFormat="1" applyFont="1" applyFill="1" applyBorder="1" applyProtection="1"/>
    <xf numFmtId="3" fontId="2" fillId="22" borderId="60" xfId="0" applyNumberFormat="1" applyFont="1" applyFill="1" applyBorder="1" applyProtection="1"/>
    <xf numFmtId="3" fontId="2" fillId="22" borderId="19" xfId="0" applyNumberFormat="1" applyFont="1" applyFill="1" applyBorder="1" applyProtection="1"/>
    <xf numFmtId="3" fontId="5" fillId="21" borderId="142" xfId="0" applyNumberFormat="1" applyFont="1" applyFill="1" applyBorder="1" applyProtection="1"/>
    <xf numFmtId="3" fontId="5" fillId="21" borderId="143" xfId="0" applyNumberFormat="1" applyFont="1" applyFill="1" applyBorder="1" applyProtection="1"/>
    <xf numFmtId="3" fontId="2" fillId="21" borderId="58" xfId="0" applyNumberFormat="1" applyFont="1" applyFill="1" applyBorder="1" applyProtection="1"/>
    <xf numFmtId="3" fontId="2" fillId="21" borderId="57" xfId="0" applyNumberFormat="1" applyFont="1" applyFill="1" applyBorder="1" applyProtection="1"/>
    <xf numFmtId="3" fontId="43" fillId="22" borderId="50" xfId="0" applyNumberFormat="1" applyFont="1" applyFill="1" applyBorder="1" applyProtection="1"/>
    <xf numFmtId="3" fontId="43" fillId="21" borderId="58" xfId="0" applyNumberFormat="1" applyFont="1" applyFill="1" applyBorder="1" applyProtection="1"/>
    <xf numFmtId="3" fontId="43" fillId="21" borderId="57" xfId="0" applyNumberFormat="1" applyFont="1" applyFill="1" applyBorder="1" applyProtection="1"/>
    <xf numFmtId="3" fontId="43" fillId="21" borderId="60" xfId="0" applyNumberFormat="1" applyFont="1" applyFill="1" applyBorder="1" applyProtection="1"/>
    <xf numFmtId="3" fontId="43" fillId="21" borderId="131" xfId="0" applyNumberFormat="1" applyFont="1" applyFill="1" applyBorder="1" applyProtection="1"/>
    <xf numFmtId="3" fontId="43" fillId="22" borderId="51" xfId="0" applyNumberFormat="1" applyFont="1" applyFill="1" applyBorder="1" applyProtection="1"/>
    <xf numFmtId="3" fontId="43" fillId="22" borderId="26" xfId="0" applyNumberFormat="1" applyFont="1" applyFill="1" applyBorder="1" applyProtection="1"/>
    <xf numFmtId="3" fontId="2" fillId="22" borderId="88" xfId="0" applyNumberFormat="1" applyFont="1" applyFill="1" applyBorder="1" applyProtection="1"/>
    <xf numFmtId="0" fontId="3" fillId="21" borderId="73" xfId="0" applyFont="1" applyFill="1" applyBorder="1" applyProtection="1"/>
    <xf numFmtId="0" fontId="0" fillId="21" borderId="74" xfId="0" applyFill="1" applyBorder="1" applyProtection="1"/>
    <xf numFmtId="0" fontId="0" fillId="21" borderId="64" xfId="0" applyFill="1" applyBorder="1" applyProtection="1"/>
    <xf numFmtId="0" fontId="3" fillId="21" borderId="75" xfId="0" applyFont="1" applyFill="1" applyBorder="1" applyProtection="1"/>
    <xf numFmtId="0" fontId="0" fillId="21" borderId="76" xfId="0" applyFill="1" applyBorder="1" applyProtection="1"/>
    <xf numFmtId="0" fontId="0" fillId="21" borderId="92" xfId="0" applyFill="1" applyBorder="1" applyProtection="1"/>
    <xf numFmtId="0" fontId="3" fillId="21" borderId="75" xfId="0" applyFont="1" applyFill="1" applyBorder="1" applyAlignment="1" applyProtection="1">
      <alignment horizontal="left"/>
    </xf>
    <xf numFmtId="0" fontId="0" fillId="21" borderId="76" xfId="0" applyFill="1" applyBorder="1" applyAlignment="1" applyProtection="1">
      <alignment horizontal="left"/>
    </xf>
    <xf numFmtId="3" fontId="5" fillId="21" borderId="137" xfId="0" applyNumberFormat="1" applyFont="1" applyFill="1" applyBorder="1" applyAlignment="1" applyProtection="1">
      <alignment horizontal="center" vertical="center" wrapText="1"/>
    </xf>
    <xf numFmtId="3" fontId="15" fillId="21" borderId="153" xfId="0" applyNumberFormat="1" applyFont="1" applyFill="1" applyBorder="1" applyAlignment="1" applyProtection="1">
      <alignment horizontal="center" vertical="center" wrapText="1"/>
    </xf>
    <xf numFmtId="3" fontId="5" fillId="21" borderId="153" xfId="0" applyNumberFormat="1" applyFont="1" applyFill="1" applyBorder="1" applyAlignment="1" applyProtection="1">
      <alignment horizontal="center" vertical="center" wrapText="1"/>
    </xf>
    <xf numFmtId="9" fontId="43" fillId="21" borderId="140" xfId="0" applyNumberFormat="1" applyFont="1" applyFill="1" applyBorder="1" applyProtection="1"/>
    <xf numFmtId="3" fontId="43" fillId="22" borderId="140" xfId="0" applyNumberFormat="1" applyFont="1" applyFill="1" applyBorder="1" applyProtection="1"/>
    <xf numFmtId="9" fontId="43" fillId="21" borderId="138" xfId="0" applyNumberFormat="1" applyFont="1" applyFill="1" applyBorder="1" applyProtection="1"/>
    <xf numFmtId="9" fontId="43" fillId="21" borderId="154" xfId="0" applyNumberFormat="1" applyFont="1" applyFill="1" applyBorder="1" applyProtection="1"/>
    <xf numFmtId="49" fontId="3" fillId="21" borderId="35" xfId="0" applyNumberFormat="1" applyFont="1" applyFill="1" applyBorder="1" applyAlignment="1" applyProtection="1">
      <alignment horizontal="left"/>
    </xf>
    <xf numFmtId="3" fontId="2" fillId="21" borderId="35" xfId="0" applyNumberFormat="1" applyFont="1" applyFill="1" applyBorder="1" applyProtection="1"/>
    <xf numFmtId="49" fontId="3" fillId="21" borderId="2" xfId="0" applyNumberFormat="1" applyFont="1" applyFill="1" applyBorder="1" applyAlignment="1" applyProtection="1">
      <alignment horizontal="left"/>
    </xf>
    <xf numFmtId="3" fontId="2" fillId="21" borderId="5" xfId="0" applyNumberFormat="1" applyFont="1" applyFill="1" applyBorder="1" applyProtection="1"/>
    <xf numFmtId="49" fontId="5" fillId="21" borderId="25" xfId="0" applyNumberFormat="1" applyFont="1" applyFill="1" applyBorder="1" applyAlignment="1" applyProtection="1">
      <alignment horizontal="left"/>
    </xf>
    <xf numFmtId="0" fontId="8" fillId="21" borderId="25" xfId="0" applyFont="1" applyFill="1" applyBorder="1" applyProtection="1"/>
    <xf numFmtId="3" fontId="2" fillId="21" borderId="25" xfId="0" applyNumberFormat="1" applyFont="1" applyFill="1" applyBorder="1" applyProtection="1"/>
    <xf numFmtId="49" fontId="3" fillId="21" borderId="95" xfId="0" applyNumberFormat="1" applyFont="1" applyFill="1" applyBorder="1" applyAlignment="1" applyProtection="1">
      <alignment horizontal="left"/>
    </xf>
    <xf numFmtId="49" fontId="3" fillId="21" borderId="120" xfId="0" applyNumberFormat="1" applyFont="1" applyFill="1" applyBorder="1" applyAlignment="1" applyProtection="1">
      <alignment horizontal="left"/>
    </xf>
    <xf numFmtId="0" fontId="3" fillId="21" borderId="127" xfId="0" applyFont="1" applyFill="1" applyBorder="1" applyAlignment="1" applyProtection="1">
      <alignment horizontal="left" vertical="top"/>
    </xf>
    <xf numFmtId="0" fontId="3" fillId="21" borderId="15" xfId="0" applyFont="1" applyFill="1" applyBorder="1" applyAlignment="1" applyProtection="1">
      <alignment horizontal="right"/>
    </xf>
    <xf numFmtId="0" fontId="5" fillId="21" borderId="155" xfId="0" applyFont="1" applyFill="1" applyBorder="1" applyAlignment="1" applyProtection="1">
      <alignment horizontal="right"/>
    </xf>
    <xf numFmtId="0" fontId="5" fillId="21" borderId="116" xfId="0" applyFont="1" applyFill="1" applyBorder="1" applyAlignment="1" applyProtection="1">
      <alignment horizontal="left"/>
    </xf>
    <xf numFmtId="0" fontId="5" fillId="21" borderId="89" xfId="0" applyFont="1" applyFill="1" applyBorder="1" applyAlignment="1" applyProtection="1">
      <alignment horizontal="right"/>
    </xf>
    <xf numFmtId="0" fontId="3" fillId="21" borderId="13" xfId="0" applyFont="1" applyFill="1" applyBorder="1" applyAlignment="1" applyProtection="1">
      <alignment horizontal="center"/>
    </xf>
    <xf numFmtId="0" fontId="8" fillId="21" borderId="21" xfId="0" applyFont="1" applyFill="1" applyBorder="1" applyAlignment="1" applyProtection="1">
      <alignment horizontal="center"/>
    </xf>
    <xf numFmtId="0" fontId="8" fillId="21" borderId="9" xfId="0" applyFont="1" applyFill="1" applyBorder="1" applyAlignment="1" applyProtection="1">
      <alignment horizontal="center"/>
    </xf>
    <xf numFmtId="0" fontId="8" fillId="21" borderId="82" xfId="0" applyFont="1" applyFill="1" applyBorder="1" applyAlignment="1" applyProtection="1">
      <alignment horizontal="left"/>
    </xf>
    <xf numFmtId="0" fontId="8" fillId="21" borderId="22" xfId="0" applyFont="1" applyFill="1" applyBorder="1" applyAlignment="1" applyProtection="1">
      <alignment horizontal="center"/>
    </xf>
    <xf numFmtId="0" fontId="8" fillId="21" borderId="24" xfId="0" applyFont="1" applyFill="1" applyBorder="1" applyAlignment="1" applyProtection="1">
      <alignment horizontal="center"/>
    </xf>
    <xf numFmtId="0" fontId="14" fillId="21" borderId="66" xfId="0" applyFont="1" applyFill="1" applyBorder="1" applyAlignment="1" applyProtection="1">
      <alignment horizontal="left"/>
    </xf>
    <xf numFmtId="0" fontId="3" fillId="21" borderId="82" xfId="0" applyFont="1" applyFill="1" applyBorder="1" applyAlignment="1" applyProtection="1">
      <alignment horizontal="left"/>
    </xf>
    <xf numFmtId="0" fontId="5" fillId="21" borderId="156" xfId="0" applyFont="1" applyFill="1" applyBorder="1" applyAlignment="1" applyProtection="1">
      <alignment horizontal="left"/>
    </xf>
    <xf numFmtId="0" fontId="5" fillId="21" borderId="121" xfId="0" applyFont="1" applyFill="1" applyBorder="1" applyAlignment="1" applyProtection="1">
      <alignment horizontal="center"/>
    </xf>
    <xf numFmtId="0" fontId="5" fillId="21" borderId="57" xfId="0" applyFont="1" applyFill="1" applyBorder="1" applyAlignment="1" applyProtection="1">
      <alignment horizontal="center"/>
    </xf>
    <xf numFmtId="0" fontId="3" fillId="21" borderId="2" xfId="0" applyFont="1" applyFill="1" applyBorder="1" applyAlignment="1" applyProtection="1">
      <alignment horizontal="right"/>
    </xf>
    <xf numFmtId="0" fontId="3" fillId="21" borderId="146" xfId="0" applyFont="1" applyFill="1" applyBorder="1" applyAlignment="1" applyProtection="1">
      <alignment horizontal="center"/>
    </xf>
    <xf numFmtId="0" fontId="5" fillId="21" borderId="118" xfId="0" applyFont="1" applyFill="1" applyBorder="1" applyProtection="1"/>
    <xf numFmtId="0" fontId="3" fillId="21" borderId="127" xfId="0" applyFont="1" applyFill="1" applyBorder="1" applyAlignment="1" applyProtection="1">
      <alignment vertical="top"/>
    </xf>
    <xf numFmtId="1" fontId="3" fillId="21" borderId="15" xfId="0" applyNumberFormat="1" applyFont="1" applyFill="1" applyBorder="1" applyAlignment="1" applyProtection="1">
      <alignment horizontal="left"/>
    </xf>
    <xf numFmtId="0" fontId="5" fillId="21" borderId="15" xfId="0" applyFont="1" applyFill="1" applyBorder="1" applyProtection="1"/>
    <xf numFmtId="0" fontId="7" fillId="21" borderId="129" xfId="0" applyFont="1" applyFill="1" applyBorder="1" applyProtection="1"/>
    <xf numFmtId="0" fontId="8" fillId="21" borderId="1" xfId="0" applyFont="1" applyFill="1" applyBorder="1" applyProtection="1"/>
    <xf numFmtId="3" fontId="2" fillId="21" borderId="90" xfId="0" applyNumberFormat="1" applyFont="1" applyFill="1" applyBorder="1" applyProtection="1"/>
    <xf numFmtId="0" fontId="3" fillId="21" borderId="127" xfId="0" applyFont="1" applyFill="1" applyBorder="1" applyAlignment="1" applyProtection="1">
      <alignment horizontal="center"/>
    </xf>
    <xf numFmtId="1" fontId="3" fillId="21" borderId="9" xfId="0" applyNumberFormat="1" applyFont="1" applyFill="1" applyBorder="1" applyAlignment="1" applyProtection="1">
      <alignment horizontal="center"/>
    </xf>
    <xf numFmtId="0" fontId="3" fillId="21" borderId="9" xfId="0" applyFont="1" applyFill="1" applyBorder="1" applyProtection="1"/>
    <xf numFmtId="0" fontId="3" fillId="21" borderId="47" xfId="0" applyFont="1" applyFill="1" applyBorder="1" applyAlignment="1" applyProtection="1">
      <alignment horizontal="left"/>
    </xf>
    <xf numFmtId="0" fontId="5" fillId="21" borderId="158" xfId="0" applyFont="1" applyFill="1" applyBorder="1" applyAlignment="1" applyProtection="1">
      <alignment horizontal="center"/>
    </xf>
    <xf numFmtId="0" fontId="3" fillId="21" borderId="159" xfId="0" applyFont="1" applyFill="1" applyBorder="1" applyAlignment="1" applyProtection="1">
      <alignment horizontal="left" vertical="top"/>
    </xf>
    <xf numFmtId="0" fontId="5" fillId="21" borderId="160" xfId="0" applyFont="1" applyFill="1" applyBorder="1" applyAlignment="1" applyProtection="1">
      <alignment horizontal="center"/>
    </xf>
    <xf numFmtId="0" fontId="5" fillId="21" borderId="159" xfId="0" applyFont="1" applyFill="1" applyBorder="1" applyAlignment="1" applyProtection="1">
      <alignment horizontal="left"/>
    </xf>
    <xf numFmtId="0" fontId="5" fillId="21" borderId="160" xfId="0" applyFont="1" applyFill="1" applyBorder="1" applyAlignment="1" applyProtection="1">
      <alignment horizontal="right"/>
    </xf>
    <xf numFmtId="49" fontId="8" fillId="21" borderId="14" xfId="0" applyNumberFormat="1" applyFont="1" applyFill="1" applyBorder="1" applyAlignment="1" applyProtection="1">
      <alignment horizontal="center"/>
    </xf>
    <xf numFmtId="49" fontId="8" fillId="21" borderId="9" xfId="0" applyNumberFormat="1" applyFont="1" applyFill="1" applyBorder="1" applyAlignment="1" applyProtection="1">
      <alignment horizontal="center"/>
    </xf>
    <xf numFmtId="1" fontId="8" fillId="21" borderId="133" xfId="0" applyNumberFormat="1" applyFont="1" applyFill="1" applyBorder="1" applyAlignment="1" applyProtection="1">
      <alignment horizontal="center"/>
    </xf>
    <xf numFmtId="1" fontId="8" fillId="21" borderId="133" xfId="0" applyNumberFormat="1" applyFont="1" applyFill="1" applyBorder="1" applyAlignment="1" applyProtection="1">
      <alignment horizontal="left"/>
    </xf>
    <xf numFmtId="1" fontId="8" fillId="21" borderId="42" xfId="0" applyNumberFormat="1" applyFont="1" applyFill="1" applyBorder="1" applyAlignment="1" applyProtection="1">
      <alignment horizontal="center"/>
    </xf>
    <xf numFmtId="49" fontId="8" fillId="21" borderId="162" xfId="0" applyNumberFormat="1" applyFont="1" applyFill="1" applyBorder="1" applyAlignment="1" applyProtection="1">
      <alignment horizontal="center"/>
    </xf>
    <xf numFmtId="0" fontId="14" fillId="21" borderId="118" xfId="0" applyFont="1" applyFill="1" applyBorder="1" applyAlignment="1" applyProtection="1">
      <alignment horizontal="left"/>
    </xf>
    <xf numFmtId="0" fontId="14" fillId="21" borderId="15" xfId="0" applyFont="1" applyFill="1" applyBorder="1" applyAlignment="1" applyProtection="1">
      <alignment horizontal="left"/>
    </xf>
    <xf numFmtId="0" fontId="5" fillId="21" borderId="163" xfId="0" applyFont="1" applyFill="1" applyBorder="1" applyAlignment="1" applyProtection="1">
      <alignment horizontal="left"/>
    </xf>
    <xf numFmtId="0" fontId="3" fillId="21" borderId="89" xfId="0" applyFont="1" applyFill="1" applyBorder="1" applyAlignment="1" applyProtection="1">
      <alignment horizontal="left"/>
    </xf>
    <xf numFmtId="0" fontId="5" fillId="21" borderId="42" xfId="0" applyFont="1" applyFill="1" applyBorder="1" applyAlignment="1" applyProtection="1">
      <alignment horizontal="left"/>
    </xf>
    <xf numFmtId="1" fontId="8" fillId="21" borderId="5" xfId="0" applyNumberFormat="1" applyFont="1" applyFill="1" applyBorder="1" applyAlignment="1" applyProtection="1">
      <alignment horizontal="center"/>
    </xf>
    <xf numFmtId="0" fontId="8" fillId="21" borderId="5" xfId="0" applyFont="1" applyFill="1" applyBorder="1" applyProtection="1"/>
    <xf numFmtId="166" fontId="14" fillId="21" borderId="60" xfId="0" applyNumberFormat="1" applyFont="1" applyFill="1" applyBorder="1" applyAlignment="1" applyProtection="1">
      <alignment horizontal="left"/>
    </xf>
    <xf numFmtId="166" fontId="14" fillId="21" borderId="88" xfId="0" applyNumberFormat="1" applyFont="1" applyFill="1" applyBorder="1" applyAlignment="1" applyProtection="1">
      <alignment horizontal="left"/>
    </xf>
    <xf numFmtId="166" fontId="20" fillId="21" borderId="90" xfId="0" applyNumberFormat="1" applyFont="1" applyFill="1" applyBorder="1" applyAlignment="1" applyProtection="1">
      <alignment horizontal="left"/>
    </xf>
    <xf numFmtId="0" fontId="14" fillId="21" borderId="116" xfId="0" applyFont="1" applyFill="1" applyBorder="1" applyProtection="1"/>
    <xf numFmtId="0" fontId="14" fillId="21" borderId="90" xfId="0" applyFont="1" applyFill="1" applyBorder="1" applyProtection="1"/>
    <xf numFmtId="166" fontId="4" fillId="21" borderId="60" xfId="0" applyNumberFormat="1" applyFont="1" applyFill="1" applyBorder="1" applyAlignment="1" applyProtection="1">
      <alignment horizontal="left"/>
    </xf>
    <xf numFmtId="0" fontId="7" fillId="21" borderId="164" xfId="0" applyFont="1" applyFill="1" applyBorder="1" applyProtection="1"/>
    <xf numFmtId="166" fontId="20" fillId="21" borderId="90" xfId="0" applyNumberFormat="1" applyFont="1" applyFill="1" applyBorder="1" applyProtection="1"/>
    <xf numFmtId="1" fontId="3" fillId="21" borderId="155" xfId="0" applyNumberFormat="1" applyFont="1" applyFill="1" applyBorder="1" applyAlignment="1" applyProtection="1">
      <alignment horizontal="left"/>
    </xf>
    <xf numFmtId="0" fontId="12" fillId="21" borderId="116" xfId="0" applyFont="1" applyFill="1" applyBorder="1" applyAlignment="1" applyProtection="1">
      <alignment horizontal="left"/>
    </xf>
    <xf numFmtId="0" fontId="5" fillId="21" borderId="1" xfId="0" applyFont="1" applyFill="1" applyBorder="1" applyAlignment="1" applyProtection="1">
      <alignment horizontal="left"/>
    </xf>
    <xf numFmtId="166" fontId="5" fillId="21" borderId="90" xfId="0" applyNumberFormat="1" applyFont="1" applyFill="1" applyBorder="1" applyAlignment="1" applyProtection="1">
      <alignment horizontal="left"/>
    </xf>
    <xf numFmtId="1" fontId="14" fillId="21" borderId="25" xfId="0" applyNumberFormat="1" applyFont="1" applyFill="1" applyBorder="1" applyAlignment="1" applyProtection="1">
      <alignment horizontal="center"/>
    </xf>
    <xf numFmtId="1" fontId="3" fillId="21" borderId="84" xfId="0" applyNumberFormat="1" applyFont="1" applyFill="1" applyBorder="1" applyAlignment="1" applyProtection="1">
      <alignment horizontal="center"/>
    </xf>
    <xf numFmtId="0" fontId="3" fillId="21" borderId="98" xfId="0" applyFont="1" applyFill="1" applyBorder="1" applyAlignment="1" applyProtection="1">
      <alignment horizontal="left" vertical="top" wrapText="1"/>
    </xf>
    <xf numFmtId="0" fontId="58" fillId="21" borderId="120" xfId="0" applyFont="1" applyFill="1" applyBorder="1" applyProtection="1"/>
    <xf numFmtId="0" fontId="4" fillId="21" borderId="89" xfId="0" applyFont="1" applyFill="1" applyBorder="1" applyAlignment="1" applyProtection="1"/>
    <xf numFmtId="0" fontId="88" fillId="21" borderId="89" xfId="0" applyFont="1" applyFill="1" applyBorder="1" applyAlignment="1"/>
    <xf numFmtId="1" fontId="3" fillId="21" borderId="98" xfId="0" applyNumberFormat="1" applyFont="1" applyFill="1" applyBorder="1" applyAlignment="1" applyProtection="1">
      <alignment horizontal="left"/>
    </xf>
    <xf numFmtId="0" fontId="3" fillId="21" borderId="118" xfId="0" applyFont="1" applyFill="1" applyBorder="1" applyAlignment="1" applyProtection="1">
      <alignment horizontal="left"/>
    </xf>
    <xf numFmtId="3" fontId="3" fillId="21" borderId="165" xfId="0" applyNumberFormat="1" applyFont="1" applyFill="1" applyBorder="1" applyAlignment="1" applyProtection="1">
      <alignment horizontal="left"/>
    </xf>
    <xf numFmtId="3" fontId="3" fillId="21" borderId="166" xfId="0" applyNumberFormat="1" applyFont="1" applyFill="1" applyBorder="1" applyProtection="1"/>
    <xf numFmtId="1" fontId="3" fillId="21" borderId="127" xfId="0" applyNumberFormat="1" applyFont="1" applyFill="1" applyBorder="1" applyAlignment="1" applyProtection="1">
      <alignment horizontal="left"/>
    </xf>
    <xf numFmtId="3" fontId="3" fillId="21" borderId="15" xfId="0" applyNumberFormat="1" applyFont="1" applyFill="1" applyBorder="1" applyAlignment="1" applyProtection="1">
      <alignment horizontal="left"/>
    </xf>
    <xf numFmtId="0" fontId="3" fillId="21" borderId="0" xfId="0" applyFont="1" applyFill="1" applyBorder="1" applyProtection="1"/>
    <xf numFmtId="3" fontId="3" fillId="21" borderId="15" xfId="0" applyNumberFormat="1" applyFont="1" applyFill="1" applyBorder="1" applyProtection="1"/>
    <xf numFmtId="0" fontId="7" fillId="21" borderId="116" xfId="0" applyFont="1" applyFill="1" applyBorder="1" applyProtection="1"/>
    <xf numFmtId="0" fontId="3" fillId="21" borderId="1" xfId="0" applyFont="1" applyFill="1" applyBorder="1" applyProtection="1"/>
    <xf numFmtId="0" fontId="3" fillId="21" borderId="42" xfId="0" applyFont="1" applyFill="1" applyBorder="1" applyProtection="1"/>
    <xf numFmtId="49" fontId="3" fillId="21" borderId="135" xfId="0" applyNumberFormat="1" applyFont="1" applyFill="1" applyBorder="1" applyAlignment="1" applyProtection="1">
      <alignment horizontal="left"/>
    </xf>
    <xf numFmtId="0" fontId="3" fillId="21" borderId="136" xfId="0" applyFont="1" applyFill="1" applyBorder="1" applyProtection="1"/>
    <xf numFmtId="170" fontId="3" fillId="21" borderId="35" xfId="0" applyNumberFormat="1" applyFont="1" applyFill="1" applyBorder="1" applyAlignment="1" applyProtection="1">
      <alignment horizontal="left"/>
    </xf>
    <xf numFmtId="49" fontId="8" fillId="21" borderId="134" xfId="0" applyNumberFormat="1" applyFont="1" applyFill="1" applyBorder="1" applyAlignment="1" applyProtection="1">
      <alignment horizontal="center"/>
    </xf>
    <xf numFmtId="49" fontId="3" fillId="21" borderId="125" xfId="0" applyNumberFormat="1" applyFont="1" applyFill="1" applyBorder="1" applyAlignment="1" applyProtection="1">
      <alignment horizontal="center"/>
    </xf>
    <xf numFmtId="3" fontId="2" fillId="21" borderId="35" xfId="0" applyNumberFormat="1" applyFont="1" applyFill="1" applyBorder="1" applyAlignment="1" applyProtection="1">
      <alignment horizontal="right"/>
    </xf>
    <xf numFmtId="0" fontId="5" fillId="21" borderId="70" xfId="0" applyFont="1" applyFill="1" applyBorder="1" applyProtection="1"/>
    <xf numFmtId="0" fontId="8" fillId="21" borderId="2" xfId="0" applyFont="1" applyFill="1" applyBorder="1" applyAlignment="1" applyProtection="1">
      <alignment wrapText="1"/>
    </xf>
    <xf numFmtId="49" fontId="8" fillId="21" borderId="131" xfId="0" applyNumberFormat="1" applyFont="1" applyFill="1" applyBorder="1" applyAlignment="1" applyProtection="1">
      <alignment horizontal="center"/>
    </xf>
    <xf numFmtId="0" fontId="14" fillId="21" borderId="42" xfId="0" applyFont="1" applyFill="1" applyBorder="1" applyAlignment="1" applyProtection="1">
      <alignment horizontal="left"/>
    </xf>
    <xf numFmtId="0" fontId="5" fillId="21" borderId="2" xfId="0" applyFont="1" applyFill="1" applyBorder="1" applyAlignment="1" applyProtection="1">
      <alignment horizontal="left" wrapText="1"/>
    </xf>
    <xf numFmtId="0" fontId="8" fillId="21" borderId="2" xfId="0" applyFont="1" applyFill="1" applyBorder="1" applyAlignment="1" applyProtection="1">
      <alignment horizontal="left"/>
    </xf>
    <xf numFmtId="49" fontId="8" fillId="21" borderId="144" xfId="0" applyNumberFormat="1" applyFont="1" applyFill="1" applyBorder="1" applyAlignment="1" applyProtection="1">
      <alignment horizontal="center"/>
    </xf>
    <xf numFmtId="0" fontId="8" fillId="21" borderId="13" xfId="0" applyFont="1" applyFill="1" applyBorder="1" applyProtection="1"/>
    <xf numFmtId="49" fontId="8" fillId="21" borderId="100" xfId="0" applyNumberFormat="1" applyFont="1" applyFill="1" applyBorder="1" applyAlignment="1" applyProtection="1">
      <alignment horizontal="center"/>
    </xf>
    <xf numFmtId="1" fontId="3" fillId="21" borderId="23" xfId="0" applyNumberFormat="1" applyFont="1" applyFill="1" applyBorder="1" applyAlignment="1" applyProtection="1">
      <alignment horizontal="left" vertical="top" wrapText="1"/>
    </xf>
    <xf numFmtId="0" fontId="3" fillId="21" borderId="167" xfId="0" applyFont="1" applyFill="1" applyBorder="1" applyAlignment="1" applyProtection="1">
      <alignment vertical="top"/>
    </xf>
    <xf numFmtId="0" fontId="8" fillId="21" borderId="168" xfId="0" applyFont="1" applyFill="1" applyBorder="1" applyProtection="1"/>
    <xf numFmtId="0" fontId="11" fillId="21" borderId="127" xfId="0" applyFont="1" applyFill="1" applyBorder="1" applyProtection="1"/>
    <xf numFmtId="0" fontId="8" fillId="21" borderId="44" xfId="0" applyFont="1" applyFill="1" applyBorder="1" applyProtection="1"/>
    <xf numFmtId="0" fontId="0" fillId="21" borderId="127" xfId="0" applyFill="1" applyBorder="1" applyProtection="1"/>
    <xf numFmtId="0" fontId="12" fillId="25" borderId="116" xfId="0" applyFont="1" applyFill="1" applyBorder="1" applyProtection="1"/>
    <xf numFmtId="49" fontId="11" fillId="25" borderId="58" xfId="0" applyNumberFormat="1" applyFont="1" applyFill="1" applyBorder="1" applyProtection="1"/>
    <xf numFmtId="0" fontId="19" fillId="21" borderId="169" xfId="0" applyFont="1" applyFill="1" applyBorder="1" applyProtection="1"/>
    <xf numFmtId="49" fontId="13" fillId="21" borderId="127" xfId="0" applyNumberFormat="1" applyFont="1" applyFill="1" applyBorder="1" applyAlignment="1" applyProtection="1">
      <alignment horizontal="left"/>
    </xf>
    <xf numFmtId="0" fontId="14" fillId="21" borderId="170" xfId="0" applyFont="1" applyFill="1" applyBorder="1" applyAlignment="1" applyProtection="1">
      <alignment wrapText="1"/>
    </xf>
    <xf numFmtId="0" fontId="8" fillId="21" borderId="3" xfId="0" applyFont="1" applyFill="1" applyBorder="1" applyAlignment="1" applyProtection="1"/>
    <xf numFmtId="0" fontId="8" fillId="21" borderId="6" xfId="0" applyFont="1" applyFill="1" applyBorder="1" applyProtection="1"/>
    <xf numFmtId="0" fontId="14" fillId="21" borderId="117" xfId="0" applyFont="1" applyFill="1" applyBorder="1" applyProtection="1"/>
    <xf numFmtId="0" fontId="8" fillId="21" borderId="3" xfId="0" applyFont="1" applyFill="1" applyBorder="1" applyProtection="1"/>
    <xf numFmtId="0" fontId="14" fillId="21" borderId="96" xfId="0" applyFont="1" applyFill="1" applyBorder="1" applyProtection="1"/>
    <xf numFmtId="0" fontId="14" fillId="21" borderId="44" xfId="0" applyFont="1" applyFill="1" applyBorder="1" applyProtection="1"/>
    <xf numFmtId="0" fontId="8" fillId="21" borderId="72" xfId="0" applyFont="1" applyFill="1" applyBorder="1" applyProtection="1"/>
    <xf numFmtId="0" fontId="14" fillId="21" borderId="170" xfId="0" applyFont="1" applyFill="1" applyBorder="1" applyProtection="1"/>
    <xf numFmtId="0" fontId="5" fillId="21" borderId="170" xfId="0" applyFont="1" applyFill="1" applyBorder="1" applyAlignment="1" applyProtection="1">
      <alignment wrapText="1"/>
    </xf>
    <xf numFmtId="0" fontId="3" fillId="21" borderId="6" xfId="0" applyFont="1" applyFill="1" applyBorder="1" applyProtection="1"/>
    <xf numFmtId="0" fontId="14" fillId="21" borderId="94" xfId="0" applyFont="1" applyFill="1" applyBorder="1" applyProtection="1"/>
    <xf numFmtId="49" fontId="3" fillId="21" borderId="3" xfId="0" applyNumberFormat="1" applyFont="1" applyFill="1" applyBorder="1" applyAlignment="1" applyProtection="1">
      <alignment horizontal="left"/>
    </xf>
    <xf numFmtId="49" fontId="3" fillId="21" borderId="92" xfId="0" applyNumberFormat="1" applyFont="1" applyFill="1" applyBorder="1" applyAlignment="1" applyProtection="1">
      <alignment horizontal="left"/>
    </xf>
    <xf numFmtId="0" fontId="3" fillId="21" borderId="3" xfId="0" applyFont="1" applyFill="1" applyBorder="1" applyAlignment="1" applyProtection="1">
      <alignment wrapText="1"/>
    </xf>
    <xf numFmtId="0" fontId="14" fillId="21" borderId="94" xfId="0" applyFont="1" applyFill="1" applyBorder="1" applyAlignment="1" applyProtection="1"/>
    <xf numFmtId="0" fontId="3" fillId="21" borderId="3" xfId="0" applyFont="1" applyFill="1" applyBorder="1" applyProtection="1"/>
    <xf numFmtId="0" fontId="104" fillId="21" borderId="3" xfId="0" applyFont="1" applyFill="1" applyBorder="1" applyProtection="1"/>
    <xf numFmtId="0" fontId="8" fillId="21" borderId="10" xfId="0" applyFont="1" applyFill="1" applyBorder="1" applyProtection="1"/>
    <xf numFmtId="0" fontId="8" fillId="21" borderId="99" xfId="0" applyFont="1" applyFill="1" applyBorder="1" applyProtection="1"/>
    <xf numFmtId="3" fontId="3" fillId="21" borderId="128" xfId="0" applyNumberFormat="1" applyFont="1" applyFill="1" applyBorder="1" applyAlignment="1" applyProtection="1">
      <alignment horizontal="left" vertical="top" wrapText="1"/>
    </xf>
    <xf numFmtId="3" fontId="3" fillId="21" borderId="15" xfId="0" applyNumberFormat="1" applyFont="1" applyFill="1" applyBorder="1" applyAlignment="1" applyProtection="1">
      <alignment horizontal="left" vertical="top"/>
    </xf>
    <xf numFmtId="3" fontId="3" fillId="21" borderId="68" xfId="0" applyNumberFormat="1" applyFont="1" applyFill="1" applyBorder="1" applyAlignment="1" applyProtection="1">
      <alignment horizontal="left" vertical="top" wrapText="1"/>
    </xf>
    <xf numFmtId="3" fontId="3" fillId="21" borderId="16" xfId="0" applyNumberFormat="1" applyFont="1" applyFill="1" applyBorder="1" applyAlignment="1" applyProtection="1">
      <alignment horizontal="left" vertical="top" wrapText="1"/>
    </xf>
    <xf numFmtId="3" fontId="3" fillId="21" borderId="60" xfId="0" applyNumberFormat="1" applyFont="1" applyFill="1" applyBorder="1" applyAlignment="1" applyProtection="1">
      <alignment horizontal="left" vertical="top" wrapText="1"/>
    </xf>
    <xf numFmtId="3" fontId="3" fillId="21" borderId="155" xfId="0" applyNumberFormat="1" applyFont="1" applyFill="1" applyBorder="1" applyProtection="1"/>
    <xf numFmtId="0" fontId="3" fillId="21" borderId="155" xfId="0" applyFont="1" applyFill="1" applyBorder="1" applyAlignment="1" applyProtection="1">
      <alignment horizontal="left" vertical="top" wrapText="1"/>
    </xf>
    <xf numFmtId="0" fontId="3" fillId="21" borderId="155" xfId="0" applyFont="1" applyFill="1" applyBorder="1" applyProtection="1"/>
    <xf numFmtId="3" fontId="8" fillId="21" borderId="16" xfId="0" applyNumberFormat="1" applyFont="1" applyFill="1" applyBorder="1" applyProtection="1"/>
    <xf numFmtId="0" fontId="8" fillId="21" borderId="150" xfId="0" applyFont="1" applyFill="1" applyBorder="1" applyProtection="1"/>
    <xf numFmtId="49" fontId="11" fillId="21" borderId="171" xfId="0" applyNumberFormat="1" applyFont="1" applyFill="1" applyBorder="1" applyProtection="1"/>
    <xf numFmtId="49" fontId="11" fillId="21" borderId="169" xfId="0" applyNumberFormat="1" applyFont="1" applyFill="1" applyBorder="1" applyProtection="1"/>
    <xf numFmtId="49" fontId="11" fillId="21" borderId="136" xfId="0" applyNumberFormat="1" applyFont="1" applyFill="1" applyBorder="1" applyProtection="1"/>
    <xf numFmtId="49" fontId="11" fillId="21" borderId="113" xfId="0" applyNumberFormat="1" applyFont="1" applyFill="1" applyBorder="1" applyProtection="1"/>
    <xf numFmtId="49" fontId="11" fillId="21" borderId="126" xfId="0" applyNumberFormat="1" applyFont="1" applyFill="1" applyBorder="1" applyProtection="1"/>
    <xf numFmtId="49" fontId="11" fillId="21" borderId="172" xfId="0" applyNumberFormat="1" applyFont="1" applyFill="1" applyBorder="1" applyProtection="1"/>
    <xf numFmtId="49" fontId="11" fillId="21" borderId="4" xfId="0" applyNumberFormat="1" applyFont="1" applyFill="1" applyBorder="1" applyProtection="1"/>
    <xf numFmtId="49" fontId="11" fillId="21" borderId="3" xfId="0" applyNumberFormat="1" applyFont="1" applyFill="1" applyBorder="1" applyProtection="1"/>
    <xf numFmtId="49" fontId="11" fillId="21" borderId="2" xfId="0" applyNumberFormat="1" applyFont="1" applyFill="1" applyBorder="1" applyProtection="1"/>
    <xf numFmtId="49" fontId="11" fillId="21" borderId="82" xfId="0" applyNumberFormat="1" applyFont="1" applyFill="1" applyBorder="1" applyProtection="1"/>
    <xf numFmtId="49" fontId="11" fillId="21" borderId="65" xfId="0" applyNumberFormat="1" applyFont="1" applyFill="1" applyBorder="1" applyProtection="1"/>
    <xf numFmtId="49" fontId="11" fillId="21" borderId="53" xfId="0" applyNumberFormat="1" applyFont="1" applyFill="1" applyBorder="1" applyProtection="1"/>
    <xf numFmtId="3" fontId="13" fillId="21" borderId="14" xfId="0" applyNumberFormat="1" applyFont="1" applyFill="1" applyBorder="1" applyAlignment="1" applyProtection="1">
      <alignment horizontal="right"/>
    </xf>
    <xf numFmtId="3" fontId="13" fillId="21" borderId="10" xfId="0" applyNumberFormat="1" applyFont="1" applyFill="1" applyBorder="1" applyAlignment="1" applyProtection="1">
      <alignment horizontal="right"/>
    </xf>
    <xf numFmtId="3" fontId="13" fillId="21" borderId="9" xfId="0" applyNumberFormat="1" applyFont="1" applyFill="1" applyBorder="1" applyAlignment="1" applyProtection="1">
      <alignment horizontal="right"/>
    </xf>
    <xf numFmtId="3" fontId="13" fillId="21" borderId="20" xfId="0" applyNumberFormat="1" applyFont="1" applyFill="1" applyBorder="1" applyAlignment="1" applyProtection="1">
      <alignment horizontal="right"/>
    </xf>
    <xf numFmtId="3" fontId="13" fillId="21" borderId="101" xfId="0" applyNumberFormat="1" applyFont="1" applyFill="1" applyBorder="1" applyAlignment="1" applyProtection="1">
      <alignment horizontal="right"/>
    </xf>
    <xf numFmtId="3" fontId="13" fillId="21" borderId="117" xfId="0" applyNumberFormat="1" applyFont="1" applyFill="1" applyBorder="1" applyAlignment="1" applyProtection="1">
      <alignment horizontal="right"/>
    </xf>
    <xf numFmtId="3" fontId="13" fillId="21" borderId="124" xfId="0" applyNumberFormat="1" applyFont="1" applyFill="1" applyBorder="1" applyAlignment="1" applyProtection="1">
      <alignment horizontal="right"/>
    </xf>
    <xf numFmtId="3" fontId="13" fillId="21" borderId="95" xfId="0" applyNumberFormat="1" applyFont="1" applyFill="1" applyBorder="1" applyAlignment="1" applyProtection="1">
      <alignment horizontal="right"/>
    </xf>
    <xf numFmtId="3" fontId="13" fillId="21" borderId="118" xfId="0" applyNumberFormat="1" applyFont="1" applyFill="1" applyBorder="1" applyAlignment="1" applyProtection="1">
      <alignment horizontal="right"/>
    </xf>
    <xf numFmtId="3" fontId="13" fillId="21" borderId="96" xfId="0" applyNumberFormat="1" applyFont="1" applyFill="1" applyBorder="1" applyAlignment="1" applyProtection="1">
      <alignment horizontal="right"/>
    </xf>
    <xf numFmtId="3" fontId="13" fillId="21" borderId="88" xfId="0" applyNumberFormat="1" applyFont="1" applyFill="1" applyBorder="1" applyAlignment="1" applyProtection="1">
      <alignment horizontal="right"/>
    </xf>
    <xf numFmtId="3" fontId="13" fillId="21" borderId="4" xfId="0" applyNumberFormat="1" applyFont="1" applyFill="1" applyBorder="1" applyAlignment="1" applyProtection="1">
      <alignment horizontal="right"/>
    </xf>
    <xf numFmtId="3" fontId="13" fillId="21" borderId="3" xfId="0" applyNumberFormat="1" applyFont="1" applyFill="1" applyBorder="1" applyAlignment="1" applyProtection="1">
      <alignment horizontal="right"/>
    </xf>
    <xf numFmtId="3" fontId="13" fillId="21" borderId="55" xfId="0" applyNumberFormat="1" applyFont="1" applyFill="1" applyBorder="1" applyAlignment="1" applyProtection="1">
      <alignment horizontal="right"/>
    </xf>
    <xf numFmtId="3" fontId="13" fillId="21" borderId="54" xfId="0" applyNumberFormat="1" applyFont="1" applyFill="1" applyBorder="1" applyAlignment="1" applyProtection="1">
      <alignment horizontal="right"/>
    </xf>
    <xf numFmtId="3" fontId="13" fillId="21" borderId="2" xfId="0" applyNumberFormat="1" applyFont="1" applyFill="1" applyBorder="1" applyAlignment="1" applyProtection="1">
      <alignment horizontal="right"/>
    </xf>
    <xf numFmtId="3" fontId="13" fillId="21" borderId="65" xfId="0" applyNumberFormat="1" applyFont="1" applyFill="1" applyBorder="1" applyAlignment="1" applyProtection="1">
      <alignment horizontal="right"/>
    </xf>
    <xf numFmtId="3" fontId="13" fillId="21" borderId="18" xfId="0" applyNumberFormat="1" applyFont="1" applyFill="1" applyBorder="1" applyAlignment="1" applyProtection="1">
      <alignment horizontal="right"/>
    </xf>
    <xf numFmtId="3" fontId="13" fillId="21" borderId="7" xfId="0" applyNumberFormat="1" applyFont="1" applyFill="1" applyBorder="1" applyAlignment="1" applyProtection="1">
      <alignment horizontal="right"/>
    </xf>
    <xf numFmtId="3" fontId="13" fillId="21" borderId="6" xfId="0" applyNumberFormat="1" applyFont="1" applyFill="1" applyBorder="1" applyAlignment="1" applyProtection="1">
      <alignment horizontal="right"/>
    </xf>
    <xf numFmtId="3" fontId="13" fillId="21" borderId="5" xfId="0" applyNumberFormat="1" applyFont="1" applyFill="1" applyBorder="1" applyAlignment="1" applyProtection="1">
      <alignment horizontal="right"/>
    </xf>
    <xf numFmtId="3" fontId="13" fillId="21" borderId="19" xfId="0" applyNumberFormat="1" applyFont="1" applyFill="1" applyBorder="1" applyAlignment="1" applyProtection="1">
      <alignment horizontal="right"/>
    </xf>
    <xf numFmtId="3" fontId="5" fillId="21" borderId="119" xfId="0" applyNumberFormat="1" applyFont="1" applyFill="1" applyBorder="1" applyAlignment="1" applyProtection="1">
      <alignment horizontal="left" vertical="top" wrapText="1"/>
    </xf>
    <xf numFmtId="3" fontId="3" fillId="21" borderId="127" xfId="0" applyNumberFormat="1" applyFont="1" applyFill="1" applyBorder="1" applyAlignment="1" applyProtection="1">
      <alignment horizontal="left" vertical="top" wrapText="1"/>
    </xf>
    <xf numFmtId="0" fontId="3" fillId="21" borderId="162" xfId="0" applyFont="1" applyFill="1" applyBorder="1" applyAlignment="1" applyProtection="1">
      <alignment horizontal="left" vertical="top" wrapText="1"/>
    </xf>
    <xf numFmtId="3" fontId="5" fillId="21" borderId="161" xfId="0" applyNumberFormat="1" applyFont="1" applyFill="1" applyBorder="1" applyAlignment="1" applyProtection="1">
      <alignment vertical="top" wrapText="1"/>
    </xf>
    <xf numFmtId="3" fontId="8" fillId="21" borderId="127" xfId="0" applyNumberFormat="1" applyFont="1" applyFill="1" applyBorder="1" applyProtection="1"/>
    <xf numFmtId="3" fontId="5" fillId="21" borderId="161" xfId="0" applyNumberFormat="1" applyFont="1" applyFill="1" applyBorder="1" applyProtection="1"/>
    <xf numFmtId="3" fontId="8" fillId="21" borderId="161" xfId="0" applyNumberFormat="1" applyFont="1" applyFill="1" applyBorder="1" applyProtection="1"/>
    <xf numFmtId="0" fontId="8" fillId="21" borderId="127" xfId="0" applyFont="1" applyFill="1" applyBorder="1" applyProtection="1"/>
    <xf numFmtId="0" fontId="8" fillId="21" borderId="116" xfId="0" applyFont="1" applyFill="1" applyBorder="1" applyProtection="1"/>
    <xf numFmtId="0" fontId="11" fillId="21" borderId="174" xfId="0" applyFont="1" applyFill="1" applyBorder="1" applyProtection="1"/>
    <xf numFmtId="49" fontId="11" fillId="21" borderId="135" xfId="0" applyNumberFormat="1" applyFont="1" applyFill="1" applyBorder="1" applyProtection="1"/>
    <xf numFmtId="49" fontId="11" fillId="21" borderId="175" xfId="0" applyNumberFormat="1" applyFont="1" applyFill="1" applyBorder="1" applyProtection="1"/>
    <xf numFmtId="49" fontId="11" fillId="21" borderId="21" xfId="0" applyNumberFormat="1" applyFont="1" applyFill="1" applyBorder="1" applyProtection="1"/>
    <xf numFmtId="49" fontId="11" fillId="21" borderId="108" xfId="0" applyNumberFormat="1" applyFont="1" applyFill="1" applyBorder="1" applyProtection="1"/>
    <xf numFmtId="3" fontId="13" fillId="21" borderId="23" xfId="0" applyNumberFormat="1" applyFont="1" applyFill="1" applyBorder="1" applyAlignment="1" applyProtection="1">
      <alignment horizontal="right"/>
    </xf>
    <xf numFmtId="3" fontId="13" fillId="21" borderId="98" xfId="0" applyNumberFormat="1" applyFont="1" applyFill="1" applyBorder="1" applyAlignment="1" applyProtection="1">
      <alignment horizontal="right"/>
    </xf>
    <xf numFmtId="3" fontId="13" fillId="21" borderId="21" xfId="0" applyNumberFormat="1" applyFont="1" applyFill="1" applyBorder="1" applyAlignment="1" applyProtection="1">
      <alignment horizontal="right"/>
    </xf>
    <xf numFmtId="3" fontId="13" fillId="21" borderId="22" xfId="0" applyNumberFormat="1" applyFont="1" applyFill="1" applyBorder="1" applyAlignment="1" applyProtection="1">
      <alignment horizontal="right"/>
    </xf>
    <xf numFmtId="3" fontId="3" fillId="21" borderId="130" xfId="0" applyNumberFormat="1" applyFont="1" applyFill="1" applyBorder="1" applyAlignment="1" applyProtection="1">
      <alignment horizontal="left" vertical="top" wrapText="1"/>
    </xf>
    <xf numFmtId="3" fontId="3" fillId="21" borderId="69" xfId="0" applyNumberFormat="1" applyFont="1" applyFill="1" applyBorder="1" applyAlignment="1" applyProtection="1">
      <alignment horizontal="left" vertical="top" wrapText="1"/>
    </xf>
    <xf numFmtId="3" fontId="5" fillId="21" borderId="119" xfId="0" applyNumberFormat="1" applyFont="1" applyFill="1" applyBorder="1" applyAlignment="1" applyProtection="1">
      <alignment horizontal="left" vertical="top"/>
    </xf>
    <xf numFmtId="3" fontId="5" fillId="21" borderId="161" xfId="0" applyNumberFormat="1" applyFont="1" applyFill="1" applyBorder="1" applyAlignment="1" applyProtection="1">
      <alignment horizontal="left" vertical="top" wrapText="1"/>
    </xf>
    <xf numFmtId="0" fontId="8" fillId="21" borderId="161" xfId="0" applyFont="1" applyFill="1" applyBorder="1" applyProtection="1"/>
    <xf numFmtId="0" fontId="8" fillId="21" borderId="174" xfId="0" applyFont="1" applyFill="1" applyBorder="1" applyProtection="1"/>
    <xf numFmtId="49" fontId="11" fillId="21" borderId="176" xfId="0" applyNumberFormat="1" applyFont="1" applyFill="1" applyBorder="1" applyProtection="1"/>
    <xf numFmtId="49" fontId="11" fillId="21" borderId="177" xfId="0" applyNumberFormat="1" applyFont="1" applyFill="1" applyBorder="1" applyProtection="1"/>
    <xf numFmtId="49" fontId="11" fillId="21" borderId="28" xfId="0" applyNumberFormat="1" applyFont="1" applyFill="1" applyBorder="1" applyProtection="1"/>
    <xf numFmtId="49" fontId="11" fillId="21" borderId="103" xfId="0" applyNumberFormat="1" applyFont="1" applyFill="1" applyBorder="1" applyProtection="1"/>
    <xf numFmtId="3" fontId="13" fillId="21" borderId="30" xfId="0" applyNumberFormat="1" applyFont="1" applyFill="1" applyBorder="1" applyAlignment="1" applyProtection="1">
      <alignment horizontal="right"/>
    </xf>
    <xf numFmtId="3" fontId="13" fillId="21" borderId="31" xfId="0" applyNumberFormat="1" applyFont="1" applyFill="1" applyBorder="1" applyAlignment="1" applyProtection="1">
      <alignment horizontal="right"/>
    </xf>
    <xf numFmtId="3" fontId="13" fillId="21" borderId="47" xfId="0" applyNumberFormat="1" applyFont="1" applyFill="1" applyBorder="1" applyAlignment="1" applyProtection="1">
      <alignment horizontal="right"/>
    </xf>
    <xf numFmtId="3" fontId="13" fillId="21" borderId="119" xfId="0" applyNumberFormat="1" applyFont="1" applyFill="1" applyBorder="1" applyAlignment="1" applyProtection="1">
      <alignment horizontal="right"/>
    </xf>
    <xf numFmtId="3" fontId="13" fillId="21" borderId="28" xfId="0" applyNumberFormat="1" applyFont="1" applyFill="1" applyBorder="1" applyAlignment="1" applyProtection="1">
      <alignment horizontal="right"/>
    </xf>
    <xf numFmtId="3" fontId="13" fillId="21" borderId="103" xfId="0" applyNumberFormat="1" applyFont="1" applyFill="1" applyBorder="1" applyAlignment="1" applyProtection="1">
      <alignment horizontal="right"/>
    </xf>
    <xf numFmtId="3" fontId="13" fillId="21" borderId="29" xfId="0" applyNumberFormat="1" applyFont="1" applyFill="1" applyBorder="1" applyAlignment="1" applyProtection="1">
      <alignment horizontal="right"/>
    </xf>
    <xf numFmtId="3" fontId="13" fillId="21" borderId="32" xfId="0" applyNumberFormat="1" applyFont="1" applyFill="1" applyBorder="1" applyAlignment="1" applyProtection="1">
      <alignment horizontal="right"/>
    </xf>
    <xf numFmtId="0" fontId="8" fillId="21" borderId="155" xfId="0" applyFont="1" applyFill="1" applyBorder="1" applyAlignment="1" applyProtection="1">
      <alignment horizontal="left"/>
    </xf>
    <xf numFmtId="0" fontId="3" fillId="21" borderId="155" xfId="0" applyFont="1" applyFill="1" applyBorder="1" applyAlignment="1" applyProtection="1">
      <alignment horizontal="left"/>
    </xf>
    <xf numFmtId="0" fontId="8" fillId="21" borderId="15" xfId="0" applyFont="1" applyFill="1" applyBorder="1" applyAlignment="1" applyProtection="1">
      <alignment horizontal="left"/>
    </xf>
    <xf numFmtId="0" fontId="8" fillId="21" borderId="155" xfId="0" applyFont="1" applyFill="1" applyBorder="1" applyProtection="1"/>
    <xf numFmtId="0" fontId="8" fillId="21" borderId="155" xfId="0" applyFont="1" applyFill="1" applyBorder="1" applyAlignment="1" applyProtection="1">
      <alignment horizontal="center"/>
    </xf>
    <xf numFmtId="0" fontId="22" fillId="21" borderId="155" xfId="0" applyFont="1" applyFill="1" applyBorder="1" applyProtection="1"/>
    <xf numFmtId="0" fontId="33" fillId="21" borderId="155" xfId="0" applyFont="1" applyFill="1" applyBorder="1" applyProtection="1"/>
    <xf numFmtId="3" fontId="16" fillId="21" borderId="155" xfId="0" applyNumberFormat="1" applyFont="1" applyFill="1" applyBorder="1" applyProtection="1"/>
    <xf numFmtId="3" fontId="42" fillId="21" borderId="155" xfId="0" applyNumberFormat="1" applyFont="1" applyFill="1" applyBorder="1" applyProtection="1"/>
    <xf numFmtId="3" fontId="90" fillId="21" borderId="155" xfId="0" applyNumberFormat="1" applyFont="1" applyFill="1" applyBorder="1" applyProtection="1"/>
    <xf numFmtId="3" fontId="40" fillId="21" borderId="159" xfId="0" applyNumberFormat="1" applyFont="1" applyFill="1" applyBorder="1" applyProtection="1"/>
    <xf numFmtId="3" fontId="40" fillId="21" borderId="28" xfId="0" applyNumberFormat="1" applyFont="1" applyFill="1" applyBorder="1" applyAlignment="1" applyProtection="1">
      <alignment horizontal="right"/>
    </xf>
    <xf numFmtId="3" fontId="2" fillId="21" borderId="29" xfId="0" applyNumberFormat="1" applyFont="1" applyFill="1" applyBorder="1" applyAlignment="1" applyProtection="1">
      <alignment horizontal="right"/>
    </xf>
    <xf numFmtId="3" fontId="43" fillId="21" borderId="66" xfId="0" applyNumberFormat="1" applyFont="1" applyFill="1" applyBorder="1" applyProtection="1"/>
    <xf numFmtId="3" fontId="43" fillId="21" borderId="5" xfId="0" applyNumberFormat="1" applyFont="1" applyFill="1" applyBorder="1" applyProtection="1"/>
    <xf numFmtId="3" fontId="43" fillId="21" borderId="4" xfId="0" applyNumberFormat="1" applyFont="1" applyFill="1" applyBorder="1" applyProtection="1"/>
    <xf numFmtId="3" fontId="43" fillId="21" borderId="82" xfId="0" applyNumberFormat="1" applyFont="1" applyFill="1" applyBorder="1" applyProtection="1"/>
    <xf numFmtId="3" fontId="41" fillId="21" borderId="91" xfId="0" applyNumberFormat="1" applyFont="1" applyFill="1" applyBorder="1" applyProtection="1"/>
    <xf numFmtId="3" fontId="42" fillId="21" borderId="156" xfId="0" applyNumberFormat="1" applyFont="1" applyFill="1" applyBorder="1" applyProtection="1"/>
    <xf numFmtId="3" fontId="90" fillId="21" borderId="156" xfId="0" applyNumberFormat="1" applyFont="1" applyFill="1" applyBorder="1" applyProtection="1"/>
    <xf numFmtId="3" fontId="13" fillId="26" borderId="103" xfId="0" applyNumberFormat="1" applyFont="1" applyFill="1" applyBorder="1" applyAlignment="1" applyProtection="1">
      <alignment horizontal="right"/>
    </xf>
    <xf numFmtId="0" fontId="23" fillId="21" borderId="101" xfId="0" applyFont="1" applyFill="1" applyBorder="1" applyProtection="1"/>
    <xf numFmtId="0" fontId="23" fillId="21" borderId="96" xfId="0" applyFont="1" applyFill="1" applyBorder="1" applyProtection="1"/>
    <xf numFmtId="0" fontId="23" fillId="21" borderId="120" xfId="0" applyFont="1" applyFill="1" applyBorder="1" applyProtection="1"/>
    <xf numFmtId="0" fontId="23" fillId="21" borderId="121" xfId="0" applyFont="1" applyFill="1" applyBorder="1" applyProtection="1"/>
    <xf numFmtId="0" fontId="23" fillId="21" borderId="4" xfId="0" applyFont="1" applyFill="1" applyBorder="1" applyProtection="1"/>
    <xf numFmtId="0" fontId="23" fillId="21" borderId="65" xfId="0" applyFont="1" applyFill="1" applyBorder="1" applyProtection="1"/>
    <xf numFmtId="0" fontId="23" fillId="21" borderId="82" xfId="0" applyFont="1" applyFill="1" applyBorder="1" applyProtection="1"/>
    <xf numFmtId="0" fontId="23" fillId="21" borderId="53" xfId="0" applyFont="1" applyFill="1" applyBorder="1" applyProtection="1"/>
    <xf numFmtId="3" fontId="2" fillId="21" borderId="15" xfId="0" applyNumberFormat="1" applyFont="1" applyFill="1" applyBorder="1" applyProtection="1"/>
    <xf numFmtId="3" fontId="43" fillId="21" borderId="2" xfId="0" applyNumberFormat="1" applyFont="1" applyFill="1" applyBorder="1" applyProtection="1"/>
    <xf numFmtId="3" fontId="34" fillId="21" borderId="0" xfId="0" applyNumberFormat="1" applyFont="1" applyFill="1" applyBorder="1" applyAlignment="1" applyProtection="1"/>
    <xf numFmtId="3" fontId="2" fillId="21" borderId="28" xfId="0" applyNumberFormat="1" applyFont="1" applyFill="1" applyBorder="1" applyAlignment="1" applyProtection="1">
      <alignment horizontal="right"/>
    </xf>
    <xf numFmtId="3" fontId="43" fillId="21" borderId="155" xfId="0" applyNumberFormat="1" applyFont="1" applyFill="1" applyBorder="1" applyProtection="1"/>
    <xf numFmtId="3" fontId="2" fillId="22" borderId="28" xfId="0" applyNumberFormat="1" applyFont="1" applyFill="1" applyBorder="1" applyAlignment="1" applyProtection="1">
      <alignment horizontal="right"/>
    </xf>
    <xf numFmtId="3" fontId="42" fillId="21" borderId="4" xfId="0" applyNumberFormat="1" applyFont="1" applyFill="1" applyBorder="1" applyProtection="1"/>
    <xf numFmtId="3" fontId="42" fillId="21" borderId="82" xfId="0" applyNumberFormat="1" applyFont="1" applyFill="1" applyBorder="1" applyProtection="1"/>
    <xf numFmtId="3" fontId="90" fillId="21" borderId="82" xfId="0" applyNumberFormat="1" applyFont="1" applyFill="1" applyBorder="1" applyProtection="1"/>
    <xf numFmtId="3" fontId="46" fillId="21" borderId="2" xfId="0" applyNumberFormat="1" applyFont="1" applyFill="1" applyBorder="1" applyAlignment="1" applyProtection="1">
      <alignment horizontal="right"/>
    </xf>
    <xf numFmtId="3" fontId="2" fillId="21" borderId="45" xfId="0" applyNumberFormat="1" applyFont="1" applyFill="1" applyBorder="1" applyAlignment="1" applyProtection="1">
      <alignment horizontal="right"/>
    </xf>
    <xf numFmtId="3" fontId="43" fillId="21" borderId="91" xfId="0" applyNumberFormat="1" applyFont="1" applyFill="1" applyBorder="1" applyProtection="1"/>
    <xf numFmtId="3" fontId="43" fillId="21" borderId="156" xfId="0" applyNumberFormat="1" applyFont="1" applyFill="1" applyBorder="1" applyProtection="1"/>
    <xf numFmtId="3" fontId="103" fillId="21" borderId="4" xfId="0" applyNumberFormat="1" applyFont="1" applyFill="1" applyBorder="1" applyProtection="1"/>
    <xf numFmtId="3" fontId="103" fillId="21" borderId="82" xfId="0" applyNumberFormat="1" applyFont="1" applyFill="1" applyBorder="1" applyProtection="1"/>
    <xf numFmtId="3" fontId="47" fillId="21" borderId="4" xfId="0" applyNumberFormat="1" applyFont="1" applyFill="1" applyBorder="1" applyProtection="1"/>
    <xf numFmtId="3" fontId="40" fillId="21" borderId="30" xfId="0" applyNumberFormat="1" applyFont="1" applyFill="1" applyBorder="1" applyAlignment="1" applyProtection="1">
      <alignment horizontal="right"/>
    </xf>
    <xf numFmtId="3" fontId="42" fillId="21" borderId="91" xfId="0" applyNumberFormat="1" applyFont="1" applyFill="1" applyBorder="1" applyProtection="1"/>
    <xf numFmtId="3" fontId="40" fillId="21" borderId="105" xfId="0" applyNumberFormat="1" applyFont="1" applyFill="1" applyBorder="1" applyAlignment="1" applyProtection="1">
      <alignment horizontal="right"/>
    </xf>
    <xf numFmtId="3" fontId="42" fillId="21" borderId="181" xfId="0" applyNumberFormat="1" applyFont="1" applyFill="1" applyBorder="1" applyProtection="1"/>
    <xf numFmtId="3" fontId="42" fillId="21" borderId="39" xfId="0" applyNumberFormat="1" applyFont="1" applyFill="1" applyBorder="1" applyProtection="1"/>
    <xf numFmtId="3" fontId="90" fillId="21" borderId="39" xfId="0" applyNumberFormat="1" applyFont="1" applyFill="1" applyBorder="1" applyProtection="1"/>
    <xf numFmtId="3" fontId="3" fillId="21" borderId="30" xfId="0" applyNumberFormat="1" applyFont="1" applyFill="1" applyBorder="1" applyAlignment="1" applyProtection="1">
      <alignment horizontal="center"/>
    </xf>
    <xf numFmtId="3" fontId="3" fillId="21" borderId="49" xfId="0" applyNumberFormat="1" applyFont="1" applyFill="1" applyBorder="1" applyAlignment="1" applyProtection="1"/>
    <xf numFmtId="3" fontId="8" fillId="21" borderId="48" xfId="0" applyNumberFormat="1" applyFont="1" applyFill="1" applyBorder="1" applyAlignment="1" applyProtection="1">
      <alignment horizontal="left" vertical="top" wrapText="1"/>
    </xf>
    <xf numFmtId="3" fontId="8" fillId="21" borderId="167" xfId="0" applyNumberFormat="1" applyFont="1" applyFill="1" applyBorder="1" applyAlignment="1" applyProtection="1">
      <alignment horizontal="left" vertical="top" wrapText="1"/>
    </xf>
    <xf numFmtId="3" fontId="3" fillId="21" borderId="183" xfId="0" applyNumberFormat="1" applyFont="1" applyFill="1" applyBorder="1" applyAlignment="1" applyProtection="1">
      <alignment horizontal="center"/>
    </xf>
    <xf numFmtId="3" fontId="3" fillId="21" borderId="29" xfId="0" applyNumberFormat="1" applyFont="1" applyFill="1" applyBorder="1" applyAlignment="1" applyProtection="1">
      <alignment horizontal="center"/>
    </xf>
    <xf numFmtId="3" fontId="3" fillId="21" borderId="184" xfId="0" applyNumberFormat="1" applyFont="1" applyFill="1" applyBorder="1" applyAlignment="1" applyProtection="1"/>
    <xf numFmtId="3" fontId="8" fillId="21" borderId="185" xfId="0" applyNumberFormat="1" applyFont="1" applyFill="1" applyBorder="1" applyAlignment="1" applyProtection="1"/>
    <xf numFmtId="3" fontId="8" fillId="21" borderId="186" xfId="0" applyNumberFormat="1" applyFont="1" applyFill="1" applyBorder="1" applyAlignment="1" applyProtection="1"/>
    <xf numFmtId="3" fontId="3" fillId="21" borderId="45" xfId="0" applyNumberFormat="1" applyFont="1" applyFill="1" applyBorder="1" applyAlignment="1" applyProtection="1">
      <alignment horizontal="center"/>
    </xf>
    <xf numFmtId="3" fontId="5" fillId="21" borderId="77" xfId="0" applyNumberFormat="1" applyFont="1" applyFill="1" applyBorder="1" applyAlignment="1" applyProtection="1"/>
    <xf numFmtId="3" fontId="8" fillId="21" borderId="78" xfId="0" applyNumberFormat="1" applyFont="1" applyFill="1" applyBorder="1" applyAlignment="1" applyProtection="1"/>
    <xf numFmtId="3" fontId="8" fillId="21" borderId="180" xfId="0" applyNumberFormat="1" applyFont="1" applyFill="1" applyBorder="1" applyAlignment="1" applyProtection="1"/>
    <xf numFmtId="3" fontId="3" fillId="21" borderId="187" xfId="0" applyNumberFormat="1" applyFont="1" applyFill="1" applyBorder="1" applyAlignment="1" applyProtection="1">
      <alignment vertical="center"/>
    </xf>
    <xf numFmtId="3" fontId="8" fillId="21" borderId="187" xfId="0" applyNumberFormat="1" applyFont="1" applyFill="1" applyBorder="1" applyProtection="1"/>
    <xf numFmtId="3" fontId="3" fillId="21" borderId="109" xfId="0" applyNumberFormat="1" applyFont="1" applyFill="1" applyBorder="1" applyAlignment="1" applyProtection="1">
      <alignment vertical="center"/>
    </xf>
    <xf numFmtId="3" fontId="8" fillId="21" borderId="75" xfId="0" applyNumberFormat="1" applyFont="1" applyFill="1" applyBorder="1" applyProtection="1"/>
    <xf numFmtId="3" fontId="8" fillId="21" borderId="92" xfId="0" applyNumberFormat="1" applyFont="1" applyFill="1" applyBorder="1" applyProtection="1"/>
    <xf numFmtId="3" fontId="3" fillId="21" borderId="188" xfId="0" applyNumberFormat="1" applyFont="1" applyFill="1" applyBorder="1" applyAlignment="1" applyProtection="1"/>
    <xf numFmtId="3" fontId="3" fillId="21" borderId="109" xfId="0" applyNumberFormat="1" applyFont="1" applyFill="1" applyBorder="1" applyProtection="1"/>
    <xf numFmtId="3" fontId="8" fillId="21" borderId="109" xfId="0" applyNumberFormat="1" applyFont="1" applyFill="1" applyBorder="1" applyProtection="1"/>
    <xf numFmtId="3" fontId="8" fillId="21" borderId="78" xfId="0" applyNumberFormat="1" applyFont="1" applyFill="1" applyBorder="1" applyProtection="1"/>
    <xf numFmtId="3" fontId="8" fillId="21" borderId="180" xfId="0" applyNumberFormat="1" applyFont="1" applyFill="1" applyBorder="1" applyProtection="1"/>
    <xf numFmtId="0" fontId="3" fillId="21" borderId="60" xfId="0" applyFont="1" applyFill="1" applyBorder="1" applyAlignment="1" applyProtection="1">
      <alignment horizontal="left"/>
    </xf>
    <xf numFmtId="0" fontId="3" fillId="21" borderId="124" xfId="0" applyFont="1" applyFill="1" applyBorder="1" applyProtection="1"/>
    <xf numFmtId="0" fontId="3" fillId="21" borderId="189" xfId="0" applyFont="1" applyFill="1" applyBorder="1" applyAlignment="1" applyProtection="1">
      <alignment vertical="top" wrapText="1"/>
    </xf>
    <xf numFmtId="0" fontId="3" fillId="21" borderId="113" xfId="0" applyFont="1" applyFill="1" applyBorder="1" applyAlignment="1" applyProtection="1">
      <alignment horizontal="left" vertical="top" wrapText="1"/>
    </xf>
    <xf numFmtId="0" fontId="3" fillId="21" borderId="136" xfId="0" applyFont="1" applyFill="1" applyBorder="1" applyAlignment="1" applyProtection="1">
      <alignment horizontal="left" vertical="top" wrapText="1"/>
    </xf>
    <xf numFmtId="0" fontId="3" fillId="21" borderId="189" xfId="0" applyFont="1" applyFill="1" applyBorder="1" applyAlignment="1" applyProtection="1">
      <alignment horizontal="left" vertical="top" wrapText="1"/>
    </xf>
    <xf numFmtId="0" fontId="3" fillId="21" borderId="60" xfId="0" applyFont="1" applyFill="1" applyBorder="1" applyProtection="1"/>
    <xf numFmtId="0" fontId="7" fillId="21" borderId="90" xfId="0" applyFont="1" applyFill="1" applyBorder="1" applyProtection="1"/>
    <xf numFmtId="0" fontId="3" fillId="21" borderId="44" xfId="0" applyFont="1" applyFill="1" applyBorder="1" applyProtection="1"/>
    <xf numFmtId="0" fontId="3" fillId="21" borderId="171" xfId="0" applyFont="1" applyFill="1" applyBorder="1" applyAlignment="1" applyProtection="1">
      <alignment horizontal="left" vertical="top" wrapText="1"/>
    </xf>
    <xf numFmtId="0" fontId="3" fillId="21" borderId="127" xfId="0" applyFont="1" applyFill="1" applyBorder="1" applyProtection="1"/>
    <xf numFmtId="0" fontId="5" fillId="21" borderId="127" xfId="0" applyFont="1" applyFill="1" applyBorder="1" applyProtection="1"/>
    <xf numFmtId="0" fontId="3" fillId="21" borderId="16" xfId="0" applyFont="1" applyFill="1" applyBorder="1" applyProtection="1"/>
    <xf numFmtId="0" fontId="3" fillId="21" borderId="64" xfId="0" applyFont="1" applyFill="1" applyBorder="1" applyProtection="1"/>
    <xf numFmtId="0" fontId="3" fillId="21" borderId="68" xfId="0" applyFont="1" applyFill="1" applyBorder="1" applyProtection="1"/>
    <xf numFmtId="0" fontId="3" fillId="21" borderId="147" xfId="0" applyFont="1" applyFill="1" applyBorder="1" applyProtection="1"/>
    <xf numFmtId="0" fontId="3" fillId="21" borderId="114" xfId="0" applyFont="1" applyFill="1" applyBorder="1" applyProtection="1"/>
    <xf numFmtId="0" fontId="44" fillId="21" borderId="179" xfId="0" applyFont="1" applyFill="1" applyBorder="1" applyProtection="1"/>
    <xf numFmtId="0" fontId="5" fillId="21" borderId="101" xfId="0" applyFont="1" applyFill="1" applyBorder="1" applyProtection="1"/>
    <xf numFmtId="0" fontId="5" fillId="21" borderId="16" xfId="0" applyFont="1" applyFill="1" applyBorder="1" applyProtection="1"/>
    <xf numFmtId="49" fontId="7" fillId="21" borderId="127" xfId="0" applyNumberFormat="1" applyFont="1" applyFill="1" applyBorder="1" applyAlignment="1" applyProtection="1">
      <alignment horizontal="left"/>
    </xf>
    <xf numFmtId="3" fontId="35" fillId="21" borderId="15" xfId="0" applyNumberFormat="1" applyFont="1" applyFill="1" applyBorder="1" applyAlignment="1" applyProtection="1"/>
    <xf numFmtId="3" fontId="35" fillId="21" borderId="56" xfId="0" applyNumberFormat="1" applyFont="1" applyFill="1" applyBorder="1" applyAlignment="1" applyProtection="1"/>
    <xf numFmtId="49" fontId="5" fillId="21" borderId="155" xfId="0" applyNumberFormat="1" applyFont="1" applyFill="1" applyBorder="1" applyAlignment="1" applyProtection="1"/>
    <xf numFmtId="49" fontId="5" fillId="21" borderId="0" xfId="0" applyNumberFormat="1" applyFont="1" applyFill="1" applyBorder="1" applyAlignment="1" applyProtection="1"/>
    <xf numFmtId="49" fontId="5" fillId="21" borderId="123" xfId="0" applyNumberFormat="1" applyFont="1" applyFill="1" applyBorder="1" applyAlignment="1" applyProtection="1"/>
    <xf numFmtId="49" fontId="5" fillId="21" borderId="27" xfId="0" applyNumberFormat="1" applyFont="1" applyFill="1" applyBorder="1" applyAlignment="1" applyProtection="1"/>
    <xf numFmtId="3" fontId="2" fillId="21" borderId="15" xfId="0" applyNumberFormat="1" applyFont="1" applyFill="1" applyBorder="1" applyAlignment="1" applyProtection="1">
      <alignment horizontal="right"/>
    </xf>
    <xf numFmtId="3" fontId="10" fillId="21" borderId="15" xfId="0" applyNumberFormat="1" applyFont="1" applyFill="1" applyBorder="1" applyProtection="1"/>
    <xf numFmtId="3" fontId="10" fillId="21" borderId="56" xfId="0" applyNumberFormat="1" applyFont="1" applyFill="1" applyBorder="1" applyProtection="1"/>
    <xf numFmtId="3" fontId="10" fillId="21" borderId="0" xfId="0" applyNumberFormat="1" applyFont="1" applyFill="1" applyBorder="1" applyProtection="1"/>
    <xf numFmtId="49" fontId="3" fillId="21" borderId="39" xfId="0" applyNumberFormat="1" applyFont="1" applyFill="1" applyBorder="1" applyAlignment="1" applyProtection="1"/>
    <xf numFmtId="49" fontId="5" fillId="21" borderId="11" xfId="0" applyNumberFormat="1" applyFont="1" applyFill="1" applyBorder="1" applyAlignment="1" applyProtection="1"/>
    <xf numFmtId="3" fontId="35" fillId="21" borderId="60" xfId="0" applyNumberFormat="1" applyFont="1" applyFill="1" applyBorder="1" applyAlignment="1" applyProtection="1"/>
    <xf numFmtId="49" fontId="5" fillId="21" borderId="57" xfId="0" applyNumberFormat="1" applyFont="1" applyFill="1" applyBorder="1" applyAlignment="1" applyProtection="1"/>
    <xf numFmtId="3" fontId="35" fillId="21" borderId="0" xfId="0" applyNumberFormat="1" applyFont="1" applyFill="1" applyBorder="1" applyAlignment="1" applyProtection="1"/>
    <xf numFmtId="3" fontId="2" fillId="21" borderId="68" xfId="0" applyNumberFormat="1" applyFont="1" applyFill="1" applyBorder="1" applyAlignment="1" applyProtection="1">
      <alignment horizontal="right"/>
    </xf>
    <xf numFmtId="3" fontId="35" fillId="21" borderId="57" xfId="0" applyNumberFormat="1" applyFont="1" applyFill="1" applyBorder="1" applyAlignment="1" applyProtection="1"/>
    <xf numFmtId="3" fontId="35" fillId="21" borderId="15" xfId="0" applyNumberFormat="1" applyFont="1" applyFill="1" applyBorder="1" applyProtection="1"/>
    <xf numFmtId="49" fontId="5" fillId="21" borderId="15" xfId="0" applyNumberFormat="1" applyFont="1" applyFill="1" applyBorder="1" applyAlignment="1" applyProtection="1"/>
    <xf numFmtId="3" fontId="2" fillId="27" borderId="17" xfId="0" applyNumberFormat="1" applyFont="1" applyFill="1" applyBorder="1" applyAlignment="1" applyProtection="1">
      <alignment horizontal="right"/>
    </xf>
    <xf numFmtId="49" fontId="3" fillId="21" borderId="134" xfId="0" applyNumberFormat="1" applyFont="1" applyFill="1" applyBorder="1" applyAlignment="1" applyProtection="1">
      <alignment horizontal="left"/>
    </xf>
    <xf numFmtId="0" fontId="5" fillId="21" borderId="64" xfId="0" applyFont="1" applyFill="1" applyBorder="1" applyProtection="1"/>
    <xf numFmtId="49" fontId="3" fillId="21" borderId="22" xfId="0" applyNumberFormat="1" applyFont="1" applyFill="1" applyBorder="1" applyAlignment="1" applyProtection="1">
      <alignment horizontal="left"/>
    </xf>
    <xf numFmtId="49" fontId="3" fillId="21" borderId="92" xfId="0" applyNumberFormat="1" applyFont="1" applyFill="1" applyBorder="1" applyProtection="1"/>
    <xf numFmtId="49" fontId="3" fillId="21" borderId="92" xfId="0" applyNumberFormat="1" applyFont="1" applyFill="1" applyBorder="1" applyAlignment="1" applyProtection="1">
      <alignment wrapText="1"/>
    </xf>
    <xf numFmtId="49" fontId="3" fillId="21" borderId="21" xfId="0" applyNumberFormat="1" applyFont="1" applyFill="1" applyBorder="1" applyAlignment="1" applyProtection="1">
      <alignment horizontal="left"/>
    </xf>
    <xf numFmtId="49" fontId="3" fillId="21" borderId="55" xfId="0" applyNumberFormat="1" applyFont="1" applyFill="1" applyBorder="1" applyAlignment="1" applyProtection="1">
      <alignment wrapText="1"/>
    </xf>
    <xf numFmtId="49" fontId="3" fillId="21" borderId="23" xfId="0" applyNumberFormat="1" applyFont="1" applyFill="1" applyBorder="1" applyAlignment="1" applyProtection="1">
      <alignment horizontal="left"/>
    </xf>
    <xf numFmtId="0" fontId="5" fillId="21" borderId="48" xfId="0" applyFont="1" applyFill="1" applyBorder="1" applyProtection="1"/>
    <xf numFmtId="49" fontId="3" fillId="21" borderId="76" xfId="0" applyNumberFormat="1" applyFont="1" applyFill="1" applyBorder="1" applyProtection="1"/>
    <xf numFmtId="49" fontId="3" fillId="21" borderId="65" xfId="0" applyNumberFormat="1" applyFont="1" applyFill="1" applyBorder="1" applyAlignment="1" applyProtection="1">
      <alignment wrapText="1"/>
    </xf>
    <xf numFmtId="0" fontId="5" fillId="21" borderId="167" xfId="0" applyFont="1" applyFill="1" applyBorder="1" applyProtection="1"/>
    <xf numFmtId="49" fontId="3" fillId="21" borderId="55" xfId="0" applyNumberFormat="1" applyFont="1" applyFill="1" applyBorder="1" applyProtection="1"/>
    <xf numFmtId="49" fontId="3" fillId="21" borderId="6" xfId="0" applyNumberFormat="1" applyFont="1" applyFill="1" applyBorder="1" applyAlignment="1" applyProtection="1">
      <alignment wrapText="1"/>
    </xf>
    <xf numFmtId="49" fontId="3" fillId="21" borderId="3" xfId="0" applyNumberFormat="1" applyFont="1" applyFill="1" applyBorder="1" applyAlignment="1" applyProtection="1">
      <alignment wrapText="1"/>
    </xf>
    <xf numFmtId="49" fontId="3" fillId="21" borderId="179" xfId="0" applyNumberFormat="1" applyFont="1" applyFill="1" applyBorder="1" applyAlignment="1" applyProtection="1">
      <alignment wrapText="1"/>
    </xf>
    <xf numFmtId="0" fontId="5" fillId="21" borderId="191" xfId="0" applyFont="1" applyFill="1" applyBorder="1" applyProtection="1"/>
    <xf numFmtId="49" fontId="3" fillId="21" borderId="12" xfId="0" applyNumberFormat="1" applyFont="1" applyFill="1" applyBorder="1" applyProtection="1"/>
    <xf numFmtId="49" fontId="3" fillId="21" borderId="54" xfId="0" applyNumberFormat="1" applyFont="1" applyFill="1" applyBorder="1" applyProtection="1"/>
    <xf numFmtId="49" fontId="3" fillId="21" borderId="54" xfId="0" applyNumberFormat="1" applyFont="1" applyFill="1" applyBorder="1" applyAlignment="1" applyProtection="1">
      <alignment wrapText="1"/>
    </xf>
    <xf numFmtId="49" fontId="3" fillId="21" borderId="6" xfId="12" applyNumberFormat="1" applyFont="1" applyFill="1" applyBorder="1" applyAlignment="1" applyProtection="1"/>
    <xf numFmtId="49" fontId="3" fillId="21" borderId="130" xfId="0" applyNumberFormat="1" applyFont="1" applyFill="1" applyBorder="1" applyAlignment="1" applyProtection="1">
      <alignment horizontal="left"/>
    </xf>
    <xf numFmtId="49" fontId="3" fillId="21" borderId="173" xfId="12" applyNumberFormat="1" applyFont="1" applyFill="1" applyBorder="1" applyAlignment="1" applyProtection="1"/>
    <xf numFmtId="49" fontId="3" fillId="21" borderId="127" xfId="0" applyNumberFormat="1" applyFont="1" applyFill="1" applyBorder="1" applyAlignment="1" applyProtection="1">
      <alignment horizontal="left"/>
    </xf>
    <xf numFmtId="49" fontId="3" fillId="21" borderId="56" xfId="12" applyNumberFormat="1" applyFont="1" applyFill="1" applyBorder="1" applyAlignment="1" applyProtection="1"/>
    <xf numFmtId="49" fontId="3" fillId="21" borderId="170" xfId="12" applyNumberFormat="1" applyFont="1" applyFill="1" applyBorder="1" applyAlignment="1" applyProtection="1"/>
    <xf numFmtId="49" fontId="3" fillId="21" borderId="179" xfId="12" applyNumberFormat="1" applyFont="1" applyFill="1" applyBorder="1" applyAlignment="1" applyProtection="1"/>
    <xf numFmtId="49" fontId="3" fillId="21" borderId="6" xfId="0" applyNumberFormat="1" applyFont="1" applyFill="1" applyBorder="1" applyProtection="1"/>
    <xf numFmtId="49" fontId="3" fillId="21" borderId="92" xfId="12" applyNumberFormat="1" applyFont="1" applyFill="1" applyBorder="1" applyAlignment="1" applyProtection="1"/>
    <xf numFmtId="49" fontId="3" fillId="21" borderId="24" xfId="0" applyNumberFormat="1" applyFont="1" applyFill="1" applyBorder="1" applyAlignment="1" applyProtection="1">
      <alignment horizontal="left"/>
    </xf>
    <xf numFmtId="49" fontId="3" fillId="21" borderId="72" xfId="12" applyNumberFormat="1" applyFont="1" applyFill="1" applyBorder="1" applyAlignment="1" applyProtection="1"/>
    <xf numFmtId="49" fontId="3" fillId="21" borderId="12" xfId="12" applyNumberFormat="1" applyFont="1" applyFill="1" applyBorder="1" applyAlignment="1" applyProtection="1"/>
    <xf numFmtId="0" fontId="3" fillId="21" borderId="0" xfId="0" applyFont="1" applyFill="1" applyBorder="1" applyAlignment="1" applyProtection="1">
      <alignment horizontal="center"/>
    </xf>
    <xf numFmtId="0" fontId="2" fillId="21" borderId="39" xfId="0" applyFont="1" applyFill="1" applyBorder="1" applyProtection="1"/>
    <xf numFmtId="0" fontId="3" fillId="21" borderId="58" xfId="0" applyFont="1" applyFill="1" applyBorder="1" applyProtection="1"/>
    <xf numFmtId="0" fontId="9" fillId="21" borderId="39" xfId="0" applyFont="1" applyFill="1" applyBorder="1" applyProtection="1"/>
    <xf numFmtId="0" fontId="2" fillId="21" borderId="0" xfId="0" applyFont="1" applyFill="1" applyBorder="1" applyProtection="1"/>
    <xf numFmtId="0" fontId="9" fillId="21" borderId="144" xfId="0" applyFont="1" applyFill="1" applyBorder="1" applyProtection="1"/>
    <xf numFmtId="0" fontId="7" fillId="21" borderId="124" xfId="0" applyFont="1" applyFill="1" applyBorder="1" applyProtection="1"/>
    <xf numFmtId="0" fontId="2" fillId="21" borderId="124" xfId="0" applyFont="1" applyFill="1" applyBorder="1" applyProtection="1"/>
    <xf numFmtId="0" fontId="7" fillId="21" borderId="0" xfId="0" applyFont="1" applyFill="1" applyBorder="1" applyProtection="1"/>
    <xf numFmtId="0" fontId="7" fillId="21" borderId="0" xfId="0" applyFont="1" applyFill="1" applyBorder="1" applyAlignment="1" applyProtection="1">
      <alignment horizontal="left" vertical="top" wrapText="1"/>
    </xf>
    <xf numFmtId="0" fontId="2" fillId="21" borderId="0" xfId="0" applyFont="1" applyFill="1" applyBorder="1" applyAlignment="1" applyProtection="1">
      <alignment horizontal="left" vertical="top" wrapText="1"/>
    </xf>
    <xf numFmtId="49" fontId="3" fillId="21" borderId="36" xfId="6" applyNumberFormat="1" applyFont="1" applyFill="1" applyBorder="1" applyAlignment="1" applyProtection="1">
      <alignment horizontal="left"/>
    </xf>
    <xf numFmtId="0" fontId="3" fillId="21" borderId="118" xfId="6" applyFont="1" applyFill="1" applyBorder="1" applyAlignment="1" applyProtection="1"/>
    <xf numFmtId="0" fontId="3" fillId="21" borderId="120" xfId="6" applyFont="1" applyFill="1" applyBorder="1" applyProtection="1"/>
    <xf numFmtId="0" fontId="3" fillId="21" borderId="124" xfId="6" applyFont="1" applyFill="1" applyBorder="1" applyProtection="1"/>
    <xf numFmtId="0" fontId="3" fillId="21" borderId="95" xfId="6" applyFont="1" applyFill="1" applyBorder="1" applyProtection="1"/>
    <xf numFmtId="49" fontId="3" fillId="21" borderId="58" xfId="6" applyNumberFormat="1" applyFont="1" applyFill="1" applyBorder="1" applyAlignment="1" applyProtection="1">
      <alignment horizontal="left" vertical="top"/>
    </xf>
    <xf numFmtId="0" fontId="3" fillId="21" borderId="15" xfId="6" applyFont="1" applyFill="1" applyBorder="1" applyProtection="1"/>
    <xf numFmtId="0" fontId="22" fillId="21" borderId="162" xfId="6" applyFont="1" applyFill="1" applyBorder="1" applyProtection="1"/>
    <xf numFmtId="0" fontId="22" fillId="21" borderId="68" xfId="6" applyFont="1" applyFill="1" applyBorder="1" applyProtection="1"/>
    <xf numFmtId="3" fontId="3" fillId="21" borderId="168" xfId="6" applyNumberFormat="1" applyFont="1" applyFill="1" applyBorder="1" applyAlignment="1" applyProtection="1">
      <alignment wrapText="1"/>
    </xf>
    <xf numFmtId="3" fontId="3" fillId="21" borderId="160" xfId="6" applyNumberFormat="1" applyFont="1" applyFill="1" applyBorder="1" applyProtection="1"/>
    <xf numFmtId="0" fontId="3" fillId="21" borderId="160" xfId="6" applyFont="1" applyFill="1" applyBorder="1" applyProtection="1"/>
    <xf numFmtId="49" fontId="3" fillId="21" borderId="58" xfId="6" applyNumberFormat="1" applyFont="1" applyFill="1" applyBorder="1" applyAlignment="1" applyProtection="1">
      <alignment horizontal="left"/>
    </xf>
    <xf numFmtId="0" fontId="3" fillId="21" borderId="56" xfId="6" applyFont="1" applyFill="1" applyBorder="1" applyProtection="1"/>
    <xf numFmtId="3" fontId="3" fillId="21" borderId="16" xfId="6" applyNumberFormat="1" applyFont="1" applyFill="1" applyBorder="1" applyProtection="1"/>
    <xf numFmtId="49" fontId="7" fillId="21" borderId="58" xfId="6" applyNumberFormat="1" applyFont="1" applyFill="1" applyBorder="1" applyAlignment="1" applyProtection="1">
      <alignment horizontal="left"/>
    </xf>
    <xf numFmtId="0" fontId="3" fillId="21" borderId="170" xfId="6" applyFont="1" applyFill="1" applyBorder="1" applyProtection="1"/>
    <xf numFmtId="0" fontId="3" fillId="21" borderId="160" xfId="6" applyFont="1" applyFill="1" applyBorder="1" applyAlignment="1" applyProtection="1">
      <alignment horizontal="left"/>
    </xf>
    <xf numFmtId="0" fontId="3" fillId="21" borderId="0" xfId="6" applyFont="1" applyFill="1" applyBorder="1" applyProtection="1"/>
    <xf numFmtId="0" fontId="5" fillId="21" borderId="170" xfId="6" applyFont="1" applyFill="1" applyBorder="1" applyProtection="1"/>
    <xf numFmtId="49" fontId="5" fillId="21" borderId="58" xfId="6" applyNumberFormat="1" applyFont="1" applyFill="1" applyBorder="1" applyAlignment="1" applyProtection="1">
      <alignment horizontal="left"/>
    </xf>
    <xf numFmtId="0" fontId="7" fillId="21" borderId="178" xfId="6" applyFont="1" applyFill="1" applyBorder="1" applyProtection="1"/>
    <xf numFmtId="0" fontId="3" fillId="21" borderId="194" xfId="6" applyFont="1" applyFill="1" applyBorder="1" applyProtection="1"/>
    <xf numFmtId="0" fontId="3" fillId="21" borderId="178" xfId="6" applyFont="1" applyFill="1" applyBorder="1" applyProtection="1"/>
    <xf numFmtId="0" fontId="5" fillId="21" borderId="35" xfId="6" applyFont="1" applyFill="1" applyBorder="1" applyAlignment="1" applyProtection="1">
      <alignment horizontal="left"/>
    </xf>
    <xf numFmtId="0" fontId="5" fillId="21" borderId="35" xfId="6" applyFont="1" applyFill="1" applyBorder="1" applyProtection="1"/>
    <xf numFmtId="0" fontId="3" fillId="21" borderId="2" xfId="6" applyFont="1" applyFill="1" applyBorder="1" applyAlignment="1" applyProtection="1">
      <alignment horizontal="left"/>
    </xf>
    <xf numFmtId="0" fontId="3" fillId="21" borderId="2" xfId="6" applyFont="1" applyFill="1" applyBorder="1" applyProtection="1"/>
    <xf numFmtId="0" fontId="3" fillId="21" borderId="5" xfId="6" applyFont="1" applyFill="1" applyBorder="1" applyProtection="1"/>
    <xf numFmtId="1" fontId="5" fillId="21" borderId="50" xfId="6" applyNumberFormat="1" applyFont="1" applyFill="1" applyBorder="1" applyAlignment="1" applyProtection="1">
      <alignment horizontal="left"/>
    </xf>
    <xf numFmtId="0" fontId="5" fillId="21" borderId="5" xfId="6" applyFont="1" applyFill="1" applyBorder="1" applyProtection="1"/>
    <xf numFmtId="1" fontId="3" fillId="21" borderId="51" xfId="6" applyNumberFormat="1" applyFont="1" applyFill="1" applyBorder="1" applyAlignment="1" applyProtection="1">
      <alignment horizontal="left"/>
    </xf>
    <xf numFmtId="0" fontId="5" fillId="21" borderId="2" xfId="6" applyFont="1" applyFill="1" applyBorder="1" applyAlignment="1" applyProtection="1">
      <alignment horizontal="left"/>
    </xf>
    <xf numFmtId="0" fontId="5" fillId="21" borderId="2" xfId="6" applyFont="1" applyFill="1" applyBorder="1" applyAlignment="1" applyProtection="1">
      <alignment wrapText="1"/>
    </xf>
    <xf numFmtId="0" fontId="5" fillId="21" borderId="5" xfId="6" applyFont="1" applyFill="1" applyBorder="1" applyAlignment="1" applyProtection="1">
      <alignment wrapText="1"/>
    </xf>
    <xf numFmtId="1" fontId="3" fillId="21" borderId="51" xfId="6" applyNumberFormat="1" applyFont="1" applyFill="1" applyBorder="1" applyProtection="1"/>
    <xf numFmtId="1" fontId="5" fillId="21" borderId="195" xfId="6" applyNumberFormat="1" applyFont="1" applyFill="1" applyBorder="1" applyAlignment="1" applyProtection="1">
      <alignment horizontal="left"/>
    </xf>
    <xf numFmtId="0" fontId="5" fillId="21" borderId="9" xfId="6" applyFont="1" applyFill="1" applyBorder="1" applyProtection="1"/>
    <xf numFmtId="1" fontId="3" fillId="21" borderId="50" xfId="6" applyNumberFormat="1" applyFont="1" applyFill="1" applyBorder="1" applyAlignment="1" applyProtection="1">
      <alignment horizontal="left"/>
    </xf>
    <xf numFmtId="49" fontId="3" fillId="21" borderId="5" xfId="6" applyNumberFormat="1" applyFont="1" applyFill="1" applyBorder="1" applyAlignment="1" applyProtection="1">
      <alignment horizontal="left"/>
    </xf>
    <xf numFmtId="0" fontId="3" fillId="21" borderId="6" xfId="6" applyFont="1" applyFill="1" applyBorder="1" applyAlignment="1" applyProtection="1">
      <alignment wrapText="1"/>
    </xf>
    <xf numFmtId="3" fontId="2" fillId="21" borderId="136" xfId="6" applyNumberFormat="1" applyFont="1" applyFill="1" applyBorder="1" applyProtection="1"/>
    <xf numFmtId="3" fontId="2" fillId="21" borderId="5" xfId="6" applyNumberFormat="1" applyFont="1" applyFill="1" applyBorder="1" applyProtection="1"/>
    <xf numFmtId="3" fontId="43" fillId="21" borderId="5" xfId="6" applyNumberFormat="1" applyFont="1" applyFill="1" applyBorder="1" applyAlignment="1" applyProtection="1">
      <alignment horizontal="right"/>
    </xf>
    <xf numFmtId="3" fontId="43" fillId="21" borderId="2" xfId="6" applyNumberFormat="1" applyFont="1" applyFill="1" applyBorder="1" applyAlignment="1" applyProtection="1">
      <alignment horizontal="right"/>
    </xf>
    <xf numFmtId="3" fontId="43" fillId="21" borderId="15" xfId="6" applyNumberFormat="1" applyFont="1" applyFill="1" applyBorder="1" applyAlignment="1" applyProtection="1">
      <alignment horizontal="right"/>
    </xf>
    <xf numFmtId="3" fontId="40" fillId="21" borderId="11" xfId="6" applyNumberFormat="1" applyFont="1" applyFill="1" applyBorder="1" applyAlignment="1" applyProtection="1">
      <alignment horizontal="right"/>
    </xf>
    <xf numFmtId="3" fontId="40" fillId="21" borderId="173" xfId="6" applyNumberFormat="1" applyFont="1" applyFill="1" applyBorder="1" applyAlignment="1" applyProtection="1">
      <alignment horizontal="right"/>
    </xf>
    <xf numFmtId="3" fontId="40" fillId="21" borderId="0" xfId="6" applyNumberFormat="1" applyFont="1" applyFill="1" applyBorder="1" applyAlignment="1" applyProtection="1">
      <alignment horizontal="right"/>
    </xf>
    <xf numFmtId="3" fontId="40" fillId="21" borderId="86" xfId="6" applyNumberFormat="1" applyFont="1" applyFill="1" applyBorder="1" applyAlignment="1" applyProtection="1">
      <alignment horizontal="right"/>
    </xf>
    <xf numFmtId="3" fontId="40" fillId="21" borderId="39" xfId="6" applyNumberFormat="1" applyFont="1" applyFill="1" applyBorder="1" applyAlignment="1" applyProtection="1">
      <alignment horizontal="right"/>
    </xf>
    <xf numFmtId="3" fontId="2" fillId="21" borderId="9" xfId="6" applyNumberFormat="1" applyFont="1" applyFill="1" applyBorder="1" applyProtection="1"/>
    <xf numFmtId="3" fontId="43" fillId="21" borderId="9" xfId="6" applyNumberFormat="1" applyFont="1" applyFill="1" applyBorder="1" applyProtection="1"/>
    <xf numFmtId="3" fontId="2" fillId="21" borderId="2" xfId="6" applyNumberFormat="1" applyFont="1" applyFill="1" applyBorder="1" applyAlignment="1" applyProtection="1">
      <alignment horizontal="right"/>
    </xf>
    <xf numFmtId="3" fontId="2" fillId="21" borderId="5" xfId="6" applyNumberFormat="1" applyFont="1" applyFill="1" applyBorder="1" applyAlignment="1" applyProtection="1">
      <alignment horizontal="right"/>
    </xf>
    <xf numFmtId="3" fontId="2" fillId="21" borderId="9" xfId="6" applyNumberFormat="1" applyFont="1" applyFill="1" applyBorder="1" applyAlignment="1" applyProtection="1">
      <alignment horizontal="right"/>
    </xf>
    <xf numFmtId="0" fontId="2" fillId="21" borderId="0" xfId="6" applyFont="1" applyFill="1" applyProtection="1"/>
    <xf numFmtId="0" fontId="22" fillId="21" borderId="0" xfId="6" applyFill="1" applyProtection="1"/>
    <xf numFmtId="3" fontId="35" fillId="21" borderId="0" xfId="6" applyNumberFormat="1" applyFont="1" applyFill="1" applyBorder="1" applyProtection="1"/>
    <xf numFmtId="0" fontId="22" fillId="21" borderId="0" xfId="6" applyFont="1" applyFill="1" applyProtection="1"/>
    <xf numFmtId="0" fontId="2" fillId="21" borderId="0" xfId="6" applyFont="1" applyFill="1" applyBorder="1" applyProtection="1"/>
    <xf numFmtId="0" fontId="3" fillId="21" borderId="118" xfId="6" applyFont="1" applyFill="1" applyBorder="1" applyProtection="1"/>
    <xf numFmtId="0" fontId="3" fillId="21" borderId="121" xfId="6" applyFont="1" applyFill="1" applyBorder="1" applyProtection="1"/>
    <xf numFmtId="0" fontId="3" fillId="21" borderId="155" xfId="6" applyFont="1" applyFill="1" applyBorder="1" applyProtection="1"/>
    <xf numFmtId="0" fontId="3" fillId="21" borderId="57" xfId="6" applyFont="1" applyFill="1" applyBorder="1" applyProtection="1"/>
    <xf numFmtId="1" fontId="5" fillId="21" borderId="196" xfId="6" applyNumberFormat="1" applyFont="1" applyFill="1" applyBorder="1" applyAlignment="1" applyProtection="1">
      <alignment horizontal="left"/>
    </xf>
    <xf numFmtId="0" fontId="5" fillId="21" borderId="169" xfId="6" applyFont="1" applyFill="1" applyBorder="1" applyProtection="1"/>
    <xf numFmtId="0" fontId="3" fillId="21" borderId="3" xfId="6" applyFont="1" applyFill="1" applyBorder="1" applyProtection="1"/>
    <xf numFmtId="0" fontId="3" fillId="21" borderId="6" xfId="6" applyFont="1" applyFill="1" applyBorder="1" applyProtection="1"/>
    <xf numFmtId="1" fontId="3" fillId="21" borderId="142" xfId="6" applyNumberFormat="1" applyFont="1" applyFill="1" applyBorder="1" applyAlignment="1" applyProtection="1">
      <alignment horizontal="left"/>
    </xf>
    <xf numFmtId="1" fontId="5" fillId="21" borderId="58" xfId="6" applyNumberFormat="1" applyFont="1" applyFill="1" applyBorder="1" applyAlignment="1" applyProtection="1">
      <alignment horizontal="left"/>
    </xf>
    <xf numFmtId="1" fontId="3" fillId="21" borderId="58" xfId="6" applyNumberFormat="1" applyFont="1" applyFill="1" applyBorder="1" applyAlignment="1" applyProtection="1">
      <alignment horizontal="left"/>
    </xf>
    <xf numFmtId="1" fontId="5" fillId="21" borderId="125" xfId="6" applyNumberFormat="1" applyFont="1" applyFill="1" applyBorder="1" applyAlignment="1" applyProtection="1">
      <alignment horizontal="left"/>
    </xf>
    <xf numFmtId="0" fontId="5" fillId="21" borderId="114" xfId="6" applyFont="1" applyFill="1" applyBorder="1" applyProtection="1"/>
    <xf numFmtId="0" fontId="3" fillId="21" borderId="72" xfId="6" applyFont="1" applyFill="1" applyBorder="1" applyProtection="1"/>
    <xf numFmtId="3" fontId="3" fillId="21" borderId="56" xfId="0" applyNumberFormat="1" applyFont="1" applyFill="1" applyBorder="1" applyProtection="1"/>
    <xf numFmtId="49" fontId="7" fillId="21" borderId="58" xfId="0" applyNumberFormat="1" applyFont="1" applyFill="1" applyBorder="1" applyAlignment="1" applyProtection="1">
      <alignment horizontal="left"/>
    </xf>
    <xf numFmtId="49" fontId="12" fillId="21" borderId="58" xfId="0" applyNumberFormat="1" applyFont="1" applyFill="1" applyBorder="1" applyAlignment="1" applyProtection="1">
      <alignment horizontal="left"/>
    </xf>
    <xf numFmtId="1" fontId="5" fillId="21" borderId="134" xfId="0" applyNumberFormat="1" applyFont="1" applyFill="1" applyBorder="1" applyAlignment="1" applyProtection="1">
      <alignment horizontal="left"/>
    </xf>
    <xf numFmtId="1" fontId="3" fillId="21" borderId="22" xfId="0" applyNumberFormat="1" applyFont="1" applyFill="1" applyBorder="1" applyAlignment="1" applyProtection="1">
      <alignment horizontal="left"/>
    </xf>
    <xf numFmtId="1" fontId="5" fillId="21" borderId="22" xfId="0" applyNumberFormat="1" applyFont="1" applyFill="1" applyBorder="1" applyAlignment="1" applyProtection="1">
      <alignment horizontal="left"/>
    </xf>
    <xf numFmtId="1" fontId="5" fillId="21" borderId="130" xfId="0" applyNumberFormat="1" applyFont="1" applyFill="1" applyBorder="1" applyAlignment="1" applyProtection="1">
      <alignment horizontal="left"/>
    </xf>
    <xf numFmtId="3" fontId="3" fillId="21" borderId="193" xfId="0" applyNumberFormat="1" applyFont="1" applyFill="1" applyBorder="1" applyAlignment="1" applyProtection="1">
      <alignment wrapText="1"/>
    </xf>
    <xf numFmtId="3" fontId="3" fillId="21" borderId="44" xfId="0" applyNumberFormat="1" applyFont="1" applyFill="1" applyBorder="1" applyProtection="1"/>
    <xf numFmtId="3" fontId="3" fillId="21" borderId="0" xfId="0" applyNumberFormat="1" applyFont="1" applyFill="1" applyBorder="1" applyProtection="1"/>
    <xf numFmtId="0" fontId="9" fillId="21" borderId="178" xfId="0" applyFont="1" applyFill="1" applyBorder="1" applyAlignment="1" applyProtection="1">
      <alignment horizontal="left" wrapText="1"/>
    </xf>
    <xf numFmtId="0" fontId="9" fillId="21" borderId="178" xfId="0" applyFont="1" applyFill="1" applyBorder="1" applyAlignment="1" applyProtection="1">
      <alignment horizontal="left"/>
    </xf>
    <xf numFmtId="3" fontId="2" fillId="21" borderId="136" xfId="0" applyNumberFormat="1" applyFont="1" applyFill="1" applyBorder="1" applyAlignment="1" applyProtection="1">
      <alignment horizontal="right"/>
    </xf>
    <xf numFmtId="3" fontId="43" fillId="21" borderId="35" xfId="0" quotePrefix="1" applyNumberFormat="1" applyFont="1" applyFill="1" applyBorder="1" applyAlignment="1" applyProtection="1">
      <alignment horizontal="right"/>
    </xf>
    <xf numFmtId="3" fontId="2" fillId="21" borderId="5" xfId="0" applyNumberFormat="1" applyFont="1" applyFill="1" applyBorder="1" applyAlignment="1" applyProtection="1">
      <alignment horizontal="right"/>
    </xf>
    <xf numFmtId="3" fontId="43" fillId="21" borderId="2" xfId="0" applyNumberFormat="1" applyFont="1" applyFill="1" applyBorder="1" applyAlignment="1" applyProtection="1">
      <alignment horizontal="right"/>
    </xf>
    <xf numFmtId="3" fontId="43" fillId="21" borderId="5" xfId="0" applyNumberFormat="1" applyFont="1" applyFill="1" applyBorder="1" applyAlignment="1" applyProtection="1">
      <alignment horizontal="right"/>
    </xf>
    <xf numFmtId="3" fontId="2" fillId="21" borderId="173" xfId="0" applyNumberFormat="1" applyFont="1" applyFill="1" applyBorder="1" applyAlignment="1" applyProtection="1">
      <alignment horizontal="right"/>
    </xf>
    <xf numFmtId="3" fontId="43" fillId="21" borderId="11" xfId="0" applyNumberFormat="1" applyFont="1" applyFill="1" applyBorder="1" applyAlignment="1" applyProtection="1">
      <alignment horizontal="right"/>
    </xf>
    <xf numFmtId="3" fontId="2" fillId="21" borderId="86" xfId="0" applyNumberFormat="1" applyFont="1" applyFill="1" applyBorder="1" applyAlignment="1" applyProtection="1">
      <alignment horizontal="right"/>
    </xf>
    <xf numFmtId="3" fontId="2" fillId="21" borderId="2" xfId="0" applyNumberFormat="1" applyFont="1" applyFill="1" applyBorder="1" applyAlignment="1" applyProtection="1">
      <alignment horizontal="right"/>
    </xf>
    <xf numFmtId="3" fontId="2" fillId="21" borderId="25" xfId="0" applyNumberFormat="1" applyFont="1" applyFill="1" applyBorder="1" applyAlignment="1" applyProtection="1">
      <alignment horizontal="right"/>
    </xf>
    <xf numFmtId="3" fontId="43" fillId="21" borderId="13" xfId="0" quotePrefix="1" applyNumberFormat="1" applyFont="1" applyFill="1" applyBorder="1" applyAlignment="1" applyProtection="1">
      <alignment horizontal="right"/>
    </xf>
    <xf numFmtId="3" fontId="40" fillId="21" borderId="15" xfId="0" applyNumberFormat="1" applyFont="1" applyFill="1" applyBorder="1" applyAlignment="1" applyProtection="1">
      <alignment horizontal="right"/>
    </xf>
    <xf numFmtId="3" fontId="43" fillId="21" borderId="15" xfId="0" applyNumberFormat="1" applyFont="1" applyFill="1" applyBorder="1" applyAlignment="1" applyProtection="1">
      <alignment horizontal="right"/>
    </xf>
    <xf numFmtId="3" fontId="2" fillId="9" borderId="20" xfId="0" applyNumberFormat="1" applyFont="1" applyFill="1" applyBorder="1" applyProtection="1"/>
    <xf numFmtId="3" fontId="2" fillId="9" borderId="19" xfId="0" applyNumberFormat="1" applyFont="1" applyFill="1" applyBorder="1" applyProtection="1"/>
    <xf numFmtId="172" fontId="34" fillId="0" borderId="0" xfId="0" applyNumberFormat="1" applyFont="1" applyFill="1" applyBorder="1" applyAlignment="1" applyProtection="1">
      <alignment horizontal="left" vertical="justify" wrapText="1"/>
    </xf>
    <xf numFmtId="0" fontId="3" fillId="21" borderId="118" xfId="0" applyFont="1" applyFill="1" applyBorder="1" applyAlignment="1" applyProtection="1">
      <alignment horizontal="right"/>
    </xf>
    <xf numFmtId="0" fontId="8" fillId="21" borderId="98" xfId="0" applyFont="1" applyFill="1" applyBorder="1" applyAlignment="1" applyProtection="1">
      <alignment horizontal="center"/>
    </xf>
    <xf numFmtId="0" fontId="8" fillId="21" borderId="127" xfId="0" applyFont="1" applyFill="1" applyBorder="1" applyAlignment="1" applyProtection="1">
      <alignment horizontal="center"/>
    </xf>
    <xf numFmtId="0" fontId="8" fillId="21" borderId="130" xfId="0" applyFont="1" applyFill="1" applyBorder="1" applyAlignment="1" applyProtection="1">
      <alignment horizontal="center"/>
    </xf>
    <xf numFmtId="0" fontId="3" fillId="21" borderId="98" xfId="0" applyFont="1" applyFill="1" applyBorder="1" applyAlignment="1" applyProtection="1">
      <alignment horizontal="center"/>
    </xf>
    <xf numFmtId="0" fontId="8" fillId="0" borderId="124" xfId="0" applyFont="1" applyFill="1" applyBorder="1" applyAlignment="1" applyProtection="1">
      <alignment horizontal="center"/>
    </xf>
    <xf numFmtId="0" fontId="3" fillId="0" borderId="124" xfId="0" applyFont="1" applyFill="1" applyBorder="1" applyAlignment="1" applyProtection="1">
      <alignment horizontal="right"/>
    </xf>
    <xf numFmtId="0" fontId="34" fillId="0" borderId="0" xfId="0" applyFont="1" applyFill="1" applyAlignment="1" applyProtection="1">
      <alignment horizontal="right"/>
    </xf>
    <xf numFmtId="49" fontId="22" fillId="2" borderId="124" xfId="0" applyNumberFormat="1" applyFont="1" applyFill="1" applyBorder="1" applyProtection="1"/>
    <xf numFmtId="0" fontId="22" fillId="2" borderId="124" xfId="0" applyFont="1" applyFill="1" applyBorder="1" applyProtection="1"/>
    <xf numFmtId="0" fontId="8" fillId="2" borderId="124" xfId="0" applyFont="1" applyFill="1" applyBorder="1" applyProtection="1"/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/>
    <xf numFmtId="0" fontId="22" fillId="2" borderId="0" xfId="0" applyFont="1" applyFill="1" applyBorder="1" applyAlignment="1" applyProtection="1">
      <alignment vertical="top"/>
    </xf>
    <xf numFmtId="0" fontId="0" fillId="0" borderId="0" xfId="0" applyBorder="1" applyAlignment="1">
      <alignment vertical="top"/>
    </xf>
    <xf numFmtId="0" fontId="2" fillId="0" borderId="6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wrapText="1"/>
    </xf>
    <xf numFmtId="0" fontId="35" fillId="0" borderId="58" xfId="0" applyFont="1" applyFill="1" applyBorder="1" applyProtection="1"/>
    <xf numFmtId="0" fontId="35" fillId="0" borderId="0" xfId="0" applyFont="1" applyFill="1" applyProtection="1"/>
    <xf numFmtId="0" fontId="109" fillId="0" borderId="0" xfId="0" applyFont="1" applyFill="1" applyProtection="1"/>
    <xf numFmtId="0" fontId="5" fillId="21" borderId="42" xfId="0" applyFont="1" applyFill="1" applyBorder="1" applyAlignment="1" applyProtection="1">
      <alignment wrapText="1"/>
    </xf>
    <xf numFmtId="3" fontId="2" fillId="28" borderId="18" xfId="0" applyNumberFormat="1" applyFont="1" applyFill="1" applyBorder="1" applyAlignment="1" applyProtection="1">
      <alignment horizontal="right"/>
    </xf>
    <xf numFmtId="3" fontId="2" fillId="21" borderId="118" xfId="0" applyNumberFormat="1" applyFont="1" applyFill="1" applyBorder="1" applyAlignment="1" applyProtection="1">
      <alignment horizontal="right"/>
    </xf>
    <xf numFmtId="3" fontId="2" fillId="21" borderId="13" xfId="0" applyNumberFormat="1" applyFont="1" applyFill="1" applyBorder="1" applyAlignment="1" applyProtection="1">
      <alignment horizontal="right"/>
    </xf>
    <xf numFmtId="3" fontId="10" fillId="28" borderId="7" xfId="0" applyNumberFormat="1" applyFont="1" applyFill="1" applyBorder="1" applyProtection="1"/>
    <xf numFmtId="3" fontId="10" fillId="28" borderId="5" xfId="0" applyNumberFormat="1" applyFont="1" applyFill="1" applyBorder="1" applyProtection="1"/>
    <xf numFmtId="3" fontId="10" fillId="28" borderId="19" xfId="0" applyNumberFormat="1" applyFont="1" applyFill="1" applyBorder="1" applyProtection="1"/>
    <xf numFmtId="0" fontId="34" fillId="21" borderId="0" xfId="0" applyFont="1" applyFill="1" applyBorder="1" applyAlignment="1" applyProtection="1"/>
    <xf numFmtId="0" fontId="34" fillId="21" borderId="39" xfId="0" applyFont="1" applyFill="1" applyBorder="1" applyAlignment="1" applyProtection="1"/>
    <xf numFmtId="49" fontId="2" fillId="10" borderId="139" xfId="0" applyNumberFormat="1" applyFont="1" applyFill="1" applyBorder="1" applyAlignment="1" applyProtection="1"/>
    <xf numFmtId="0" fontId="34" fillId="21" borderId="58" xfId="0" applyFont="1" applyFill="1" applyBorder="1" applyProtection="1"/>
    <xf numFmtId="0" fontId="113" fillId="7" borderId="0" xfId="0" applyFont="1" applyFill="1" applyProtection="1"/>
    <xf numFmtId="1" fontId="3" fillId="21" borderId="197" xfId="0" applyNumberFormat="1" applyFont="1" applyFill="1" applyBorder="1" applyAlignment="1" applyProtection="1">
      <alignment horizontal="center" wrapText="1"/>
    </xf>
    <xf numFmtId="3" fontId="109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1" fontId="5" fillId="0" borderId="0" xfId="0" applyNumberFormat="1" applyFont="1" applyFill="1" applyBorder="1" applyAlignment="1" applyProtection="1">
      <alignment horizontal="left"/>
    </xf>
    <xf numFmtId="0" fontId="91" fillId="0" borderId="0" xfId="0" applyFont="1" applyFill="1" applyProtection="1"/>
    <xf numFmtId="0" fontId="109" fillId="2" borderId="0" xfId="0" applyFont="1" applyFill="1" applyProtection="1"/>
    <xf numFmtId="0" fontId="5" fillId="21" borderId="70" xfId="0" applyFont="1" applyFill="1" applyBorder="1" applyAlignment="1" applyProtection="1">
      <alignment horizontal="left"/>
    </xf>
    <xf numFmtId="166" fontId="43" fillId="21" borderId="0" xfId="0" applyNumberFormat="1" applyFont="1" applyFill="1" applyBorder="1" applyProtection="1"/>
    <xf numFmtId="3" fontId="43" fillId="22" borderId="0" xfId="0" applyNumberFormat="1" applyFont="1" applyFill="1" applyBorder="1" applyAlignment="1" applyProtection="1">
      <alignment horizontal="right"/>
    </xf>
    <xf numFmtId="3" fontId="43" fillId="23" borderId="0" xfId="0" applyNumberFormat="1" applyFont="1" applyFill="1" applyBorder="1" applyProtection="1"/>
    <xf numFmtId="166" fontId="43" fillId="0" borderId="0" xfId="0" applyNumberFormat="1" applyFont="1" applyFill="1" applyBorder="1" applyProtection="1"/>
    <xf numFmtId="3" fontId="43" fillId="0" borderId="0" xfId="0" applyNumberFormat="1" applyFont="1" applyFill="1" applyBorder="1" applyAlignment="1" applyProtection="1">
      <alignment horizontal="right"/>
    </xf>
    <xf numFmtId="3" fontId="43" fillId="0" borderId="0" xfId="0" applyNumberFormat="1" applyFont="1" applyFill="1" applyBorder="1" applyProtection="1"/>
    <xf numFmtId="3" fontId="43" fillId="22" borderId="122" xfId="0" applyNumberFormat="1" applyFont="1" applyFill="1" applyBorder="1" applyProtection="1"/>
    <xf numFmtId="3" fontId="10" fillId="0" borderId="10" xfId="0" applyNumberFormat="1" applyFont="1" applyFill="1" applyBorder="1" applyAlignment="1" applyProtection="1">
      <alignment horizontal="right"/>
      <protection locked="0"/>
    </xf>
    <xf numFmtId="3" fontId="13" fillId="0" borderId="72" xfId="0" applyNumberFormat="1" applyFont="1" applyFill="1" applyBorder="1" applyAlignment="1" applyProtection="1">
      <alignment horizontal="right"/>
      <protection locked="0"/>
    </xf>
    <xf numFmtId="49" fontId="8" fillId="21" borderId="198" xfId="0" applyNumberFormat="1" applyFont="1" applyFill="1" applyBorder="1" applyAlignment="1" applyProtection="1">
      <alignment horizontal="center"/>
    </xf>
    <xf numFmtId="1" fontId="8" fillId="21" borderId="199" xfId="0" applyNumberFormat="1" applyFont="1" applyFill="1" applyBorder="1" applyAlignment="1" applyProtection="1">
      <alignment horizontal="center"/>
    </xf>
    <xf numFmtId="1" fontId="8" fillId="21" borderId="199" xfId="0" applyNumberFormat="1" applyFont="1" applyFill="1" applyBorder="1" applyAlignment="1" applyProtection="1">
      <alignment horizontal="left"/>
    </xf>
    <xf numFmtId="3" fontId="13" fillId="2" borderId="200" xfId="0" applyNumberFormat="1" applyFont="1" applyFill="1" applyBorder="1" applyAlignment="1" applyProtection="1">
      <alignment horizontal="right"/>
      <protection locked="0"/>
    </xf>
    <xf numFmtId="0" fontId="22" fillId="21" borderId="159" xfId="0" applyFont="1" applyFill="1" applyBorder="1" applyAlignment="1" applyProtection="1">
      <alignment horizontal="left" wrapText="1"/>
    </xf>
    <xf numFmtId="0" fontId="3" fillId="21" borderId="158" xfId="0" applyFont="1" applyFill="1" applyBorder="1" applyAlignment="1" applyProtection="1">
      <alignment vertical="top" wrapText="1"/>
    </xf>
    <xf numFmtId="0" fontId="3" fillId="21" borderId="136" xfId="0" applyFont="1" applyFill="1" applyBorder="1" applyAlignment="1" applyProtection="1">
      <alignment horizontal="left" vertical="top" wrapText="1"/>
    </xf>
    <xf numFmtId="49" fontId="3" fillId="21" borderId="133" xfId="0" applyNumberFormat="1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3" fontId="2" fillId="3" borderId="40" xfId="0" applyNumberFormat="1" applyFont="1" applyFill="1" applyBorder="1" applyProtection="1"/>
    <xf numFmtId="3" fontId="3" fillId="21" borderId="162" xfId="0" applyNumberFormat="1" applyFont="1" applyFill="1" applyBorder="1" applyAlignment="1" applyProtection="1">
      <alignment horizontal="left" vertical="top" wrapText="1"/>
    </xf>
    <xf numFmtId="3" fontId="3" fillId="21" borderId="5" xfId="0" applyNumberFormat="1" applyFont="1" applyFill="1" applyBorder="1" applyAlignment="1" applyProtection="1">
      <alignment vertical="top" wrapText="1"/>
    </xf>
    <xf numFmtId="0" fontId="3" fillId="21" borderId="56" xfId="0" applyFont="1" applyFill="1" applyBorder="1" applyAlignment="1" applyProtection="1">
      <alignment vertical="top" wrapText="1"/>
    </xf>
    <xf numFmtId="0" fontId="3" fillId="21" borderId="62" xfId="0" applyFont="1" applyFill="1" applyBorder="1" applyProtection="1"/>
    <xf numFmtId="3" fontId="3" fillId="21" borderId="159" xfId="0" applyNumberFormat="1" applyFont="1" applyFill="1" applyBorder="1" applyAlignment="1" applyProtection="1">
      <alignment vertical="top" wrapText="1"/>
    </xf>
    <xf numFmtId="3" fontId="3" fillId="21" borderId="16" xfId="0" applyNumberFormat="1" applyFont="1" applyFill="1" applyBorder="1" applyAlignment="1" applyProtection="1">
      <alignment vertical="top" wrapText="1"/>
    </xf>
    <xf numFmtId="0" fontId="3" fillId="21" borderId="98" xfId="0" applyFont="1" applyFill="1" applyBorder="1" applyAlignment="1" applyProtection="1">
      <alignment vertical="top"/>
    </xf>
    <xf numFmtId="0" fontId="3" fillId="21" borderId="124" xfId="0" applyFont="1" applyFill="1" applyBorder="1" applyAlignment="1" applyProtection="1">
      <alignment vertical="top"/>
    </xf>
    <xf numFmtId="0" fontId="3" fillId="21" borderId="102" xfId="0" applyFont="1" applyFill="1" applyBorder="1" applyAlignment="1" applyProtection="1">
      <alignment vertical="top"/>
    </xf>
    <xf numFmtId="0" fontId="3" fillId="21" borderId="96" xfId="0" applyFont="1" applyFill="1" applyBorder="1" applyAlignment="1" applyProtection="1">
      <alignment vertical="top"/>
    </xf>
    <xf numFmtId="0" fontId="5" fillId="21" borderId="166" xfId="0" applyFont="1" applyFill="1" applyBorder="1" applyAlignment="1" applyProtection="1">
      <alignment vertical="top"/>
    </xf>
    <xf numFmtId="0" fontId="3" fillId="21" borderId="166" xfId="0" applyFont="1" applyFill="1" applyBorder="1" applyAlignment="1" applyProtection="1">
      <alignment vertical="top"/>
    </xf>
    <xf numFmtId="0" fontId="3" fillId="21" borderId="201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5" fillId="21" borderId="193" xfId="0" applyFont="1" applyFill="1" applyBorder="1" applyAlignment="1" applyProtection="1">
      <alignment vertical="center"/>
    </xf>
    <xf numFmtId="0" fontId="5" fillId="21" borderId="202" xfId="0" applyFont="1" applyFill="1" applyBorder="1" applyAlignment="1" applyProtection="1">
      <alignment vertical="center"/>
    </xf>
    <xf numFmtId="1" fontId="8" fillId="21" borderId="130" xfId="0" applyNumberFormat="1" applyFont="1" applyFill="1" applyBorder="1" applyAlignment="1" applyProtection="1">
      <alignment horizontal="left"/>
    </xf>
    <xf numFmtId="1" fontId="8" fillId="21" borderId="94" xfId="0" applyNumberFormat="1" applyFont="1" applyFill="1" applyBorder="1" applyAlignment="1" applyProtection="1">
      <alignment horizontal="left"/>
    </xf>
    <xf numFmtId="3" fontId="8" fillId="21" borderId="22" xfId="0" applyNumberFormat="1" applyFont="1" applyFill="1" applyBorder="1" applyProtection="1"/>
    <xf numFmtId="3" fontId="8" fillId="21" borderId="7" xfId="0" applyNumberFormat="1" applyFont="1" applyFill="1" applyBorder="1" applyProtection="1"/>
    <xf numFmtId="0" fontId="3" fillId="21" borderId="101" xfId="6" applyFont="1" applyFill="1" applyBorder="1" applyAlignment="1" applyProtection="1">
      <alignment horizontal="left" wrapText="1"/>
    </xf>
    <xf numFmtId="0" fontId="3" fillId="21" borderId="56" xfId="6" applyFont="1" applyFill="1" applyBorder="1" applyAlignment="1" applyProtection="1">
      <alignment horizontal="right"/>
    </xf>
    <xf numFmtId="3" fontId="2" fillId="0" borderId="0" xfId="0" applyNumberFormat="1" applyFont="1" applyFill="1" applyBorder="1" applyProtection="1"/>
    <xf numFmtId="3" fontId="13" fillId="2" borderId="186" xfId="0" applyNumberFormat="1" applyFont="1" applyFill="1" applyBorder="1" applyAlignment="1" applyProtection="1">
      <alignment horizontal="right"/>
      <protection locked="0"/>
    </xf>
    <xf numFmtId="0" fontId="3" fillId="21" borderId="88" xfId="0" applyFont="1" applyFill="1" applyBorder="1" applyAlignment="1" applyProtection="1">
      <alignment vertical="top" wrapText="1"/>
    </xf>
    <xf numFmtId="0" fontId="3" fillId="21" borderId="118" xfId="0" applyFont="1" applyFill="1" applyBorder="1" applyAlignment="1" applyProtection="1">
      <alignment vertical="top" wrapText="1"/>
    </xf>
    <xf numFmtId="3" fontId="3" fillId="21" borderId="44" xfId="6" applyNumberFormat="1" applyFont="1" applyFill="1" applyBorder="1" applyAlignment="1" applyProtection="1">
      <alignment vertical="center"/>
    </xf>
    <xf numFmtId="3" fontId="5" fillId="21" borderId="160" xfId="6" applyNumberFormat="1" applyFont="1" applyFill="1" applyBorder="1" applyAlignment="1" applyProtection="1">
      <alignment vertical="top"/>
    </xf>
    <xf numFmtId="3" fontId="105" fillId="21" borderId="15" xfId="0" applyNumberFormat="1" applyFont="1" applyFill="1" applyBorder="1" applyAlignment="1" applyProtection="1">
      <alignment vertical="center"/>
    </xf>
    <xf numFmtId="3" fontId="105" fillId="21" borderId="56" xfId="0" applyNumberFormat="1" applyFont="1" applyFill="1" applyBorder="1" applyAlignment="1" applyProtection="1">
      <alignment vertical="center"/>
    </xf>
    <xf numFmtId="0" fontId="5" fillId="21" borderId="124" xfId="0" applyFont="1" applyFill="1" applyBorder="1" applyProtection="1"/>
    <xf numFmtId="49" fontId="5" fillId="21" borderId="98" xfId="0" applyNumberFormat="1" applyFont="1" applyFill="1" applyBorder="1" applyAlignment="1" applyProtection="1">
      <alignment horizontal="left"/>
    </xf>
    <xf numFmtId="49" fontId="5" fillId="21" borderId="127" xfId="0" applyNumberFormat="1" applyFont="1" applyFill="1" applyBorder="1" applyAlignment="1" applyProtection="1">
      <alignment horizontal="left" vertical="top"/>
    </xf>
    <xf numFmtId="49" fontId="2" fillId="10" borderId="159" xfId="0" applyNumberFormat="1" applyFont="1" applyFill="1" applyBorder="1" applyAlignment="1" applyProtection="1"/>
    <xf numFmtId="3" fontId="44" fillId="18" borderId="39" xfId="0" applyNumberFormat="1" applyFont="1" applyFill="1" applyBorder="1" applyAlignment="1" applyProtection="1">
      <alignment horizontal="right"/>
    </xf>
    <xf numFmtId="0" fontId="0" fillId="0" borderId="0" xfId="0" applyFill="1" applyAlignment="1" applyProtection="1">
      <alignment vertical="top"/>
    </xf>
    <xf numFmtId="0" fontId="109" fillId="0" borderId="0" xfId="0" applyFont="1" applyFill="1" applyBorder="1" applyAlignment="1" applyProtection="1">
      <alignment horizontal="right"/>
    </xf>
    <xf numFmtId="0" fontId="94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109" fillId="0" borderId="0" xfId="0" applyFont="1" applyFill="1" applyBorder="1" applyAlignment="1" applyProtection="1">
      <alignment horizontal="left"/>
    </xf>
    <xf numFmtId="9" fontId="109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98" fillId="0" borderId="0" xfId="0" applyFont="1" applyFill="1" applyBorder="1" applyProtection="1"/>
    <xf numFmtId="0" fontId="7" fillId="0" borderId="0" xfId="0" applyFont="1" applyFill="1" applyBorder="1" applyAlignment="1" applyProtection="1"/>
    <xf numFmtId="3" fontId="5" fillId="0" borderId="0" xfId="0" applyNumberFormat="1" applyFont="1" applyFill="1" applyBorder="1" applyProtection="1"/>
    <xf numFmtId="3" fontId="5" fillId="0" borderId="0" xfId="0" applyNumberFormat="1" applyFont="1" applyFill="1" applyBorder="1" applyAlignment="1" applyProtection="1">
      <alignment horizontal="center" vertical="center" wrapText="1"/>
    </xf>
    <xf numFmtId="49" fontId="3" fillId="21" borderId="9" xfId="0" applyNumberFormat="1" applyFont="1" applyFill="1" applyBorder="1" applyAlignment="1" applyProtection="1">
      <alignment horizontal="left"/>
    </xf>
    <xf numFmtId="1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center"/>
    </xf>
    <xf numFmtId="49" fontId="8" fillId="0" borderId="0" xfId="0" applyNumberFormat="1" applyFont="1" applyFill="1" applyBorder="1" applyAlignment="1" applyProtection="1">
      <alignment horizontal="left"/>
    </xf>
    <xf numFmtId="3" fontId="3" fillId="21" borderId="75" xfId="0" applyNumberFormat="1" applyFont="1" applyFill="1" applyBorder="1" applyAlignment="1" applyProtection="1"/>
    <xf numFmtId="3" fontId="8" fillId="21" borderId="76" xfId="0" applyNumberFormat="1" applyFont="1" applyFill="1" applyBorder="1" applyAlignment="1" applyProtection="1"/>
    <xf numFmtId="3" fontId="8" fillId="21" borderId="92" xfId="0" applyNumberFormat="1" applyFont="1" applyFill="1" applyBorder="1" applyAlignment="1" applyProtection="1"/>
    <xf numFmtId="3" fontId="2" fillId="0" borderId="203" xfId="0" applyNumberFormat="1" applyFont="1" applyFill="1" applyBorder="1" applyAlignment="1" applyProtection="1">
      <alignment horizontal="right"/>
      <protection locked="0"/>
    </xf>
    <xf numFmtId="49" fontId="3" fillId="0" borderId="0" xfId="10" applyNumberFormat="1" applyFont="1" applyFill="1" applyAlignment="1" applyProtection="1">
      <alignment horizontal="left"/>
    </xf>
    <xf numFmtId="0" fontId="3" fillId="21" borderId="204" xfId="0" applyFont="1" applyFill="1" applyBorder="1" applyAlignment="1" applyProtection="1">
      <alignment horizontal="left"/>
    </xf>
    <xf numFmtId="1" fontId="3" fillId="21" borderId="25" xfId="0" applyNumberFormat="1" applyFont="1" applyFill="1" applyBorder="1" applyAlignment="1" applyProtection="1">
      <alignment horizontal="left"/>
    </xf>
    <xf numFmtId="0" fontId="3" fillId="21" borderId="70" xfId="0" applyFont="1" applyFill="1" applyBorder="1" applyProtection="1"/>
    <xf numFmtId="0" fontId="5" fillId="21" borderId="13" xfId="0" applyFont="1" applyFill="1" applyBorder="1" applyAlignment="1" applyProtection="1">
      <alignment vertical="top" wrapText="1"/>
    </xf>
    <xf numFmtId="0" fontId="14" fillId="21" borderId="25" xfId="0" applyFont="1" applyFill="1" applyBorder="1" applyProtection="1"/>
    <xf numFmtId="0" fontId="5" fillId="21" borderId="84" xfId="0" applyFont="1" applyFill="1" applyBorder="1" applyAlignment="1" applyProtection="1">
      <alignment wrapText="1"/>
    </xf>
    <xf numFmtId="1" fontId="3" fillId="21" borderId="13" xfId="0" applyNumberFormat="1" applyFont="1" applyFill="1" applyBorder="1" applyAlignment="1" applyProtection="1">
      <alignment horizontal="center"/>
    </xf>
    <xf numFmtId="0" fontId="3" fillId="21" borderId="13" xfId="0" applyFont="1" applyFill="1" applyBorder="1" applyProtection="1"/>
    <xf numFmtId="1" fontId="8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8" xfId="0" applyFont="1" applyFill="1" applyBorder="1" applyAlignment="1" applyProtection="1">
      <alignment horizontal="center"/>
    </xf>
    <xf numFmtId="0" fontId="3" fillId="0" borderId="58" xfId="0" applyFont="1" applyFill="1" applyBorder="1" applyAlignment="1" applyProtection="1">
      <alignment horizontal="left"/>
    </xf>
    <xf numFmtId="0" fontId="14" fillId="0" borderId="58" xfId="0" applyFont="1" applyFill="1" applyBorder="1" applyProtection="1"/>
    <xf numFmtId="0" fontId="114" fillId="2" borderId="0" xfId="0" applyFont="1" applyFill="1" applyBorder="1" applyProtection="1"/>
    <xf numFmtId="0" fontId="114" fillId="29" borderId="0" xfId="0" applyFont="1" applyFill="1" applyProtection="1"/>
    <xf numFmtId="0" fontId="5" fillId="21" borderId="193" xfId="6" applyFont="1" applyFill="1" applyBorder="1" applyProtection="1"/>
    <xf numFmtId="3" fontId="5" fillId="21" borderId="158" xfId="6" applyNumberFormat="1" applyFont="1" applyFill="1" applyBorder="1" applyProtection="1"/>
    <xf numFmtId="0" fontId="5" fillId="21" borderId="117" xfId="6" applyFont="1" applyFill="1" applyBorder="1" applyProtection="1"/>
    <xf numFmtId="0" fontId="12" fillId="21" borderId="160" xfId="6" applyFont="1" applyFill="1" applyBorder="1" applyProtection="1"/>
    <xf numFmtId="0" fontId="3" fillId="21" borderId="16" xfId="6" applyFont="1" applyFill="1" applyBorder="1" applyAlignment="1" applyProtection="1">
      <alignment vertical="top" wrapText="1"/>
    </xf>
    <xf numFmtId="3" fontId="5" fillId="21" borderId="160" xfId="0" applyNumberFormat="1" applyFont="1" applyFill="1" applyBorder="1" applyAlignment="1" applyProtection="1">
      <alignment vertical="top"/>
    </xf>
    <xf numFmtId="3" fontId="3" fillId="21" borderId="94" xfId="6" applyNumberFormat="1" applyFont="1" applyFill="1" applyBorder="1" applyAlignment="1" applyProtection="1"/>
    <xf numFmtId="167" fontId="9" fillId="0" borderId="0" xfId="0" applyNumberFormat="1" applyFont="1" applyFill="1" applyBorder="1" applyProtection="1"/>
    <xf numFmtId="0" fontId="100" fillId="0" borderId="0" xfId="0" applyFont="1" applyFill="1" applyBorder="1" applyProtection="1"/>
    <xf numFmtId="0" fontId="100" fillId="0" borderId="0" xfId="0" applyFont="1" applyFill="1" applyBorder="1" applyAlignment="1" applyProtection="1">
      <alignment horizontal="center"/>
    </xf>
    <xf numFmtId="0" fontId="3" fillId="21" borderId="156" xfId="0" applyFont="1" applyFill="1" applyBorder="1" applyAlignment="1" applyProtection="1">
      <alignment horizontal="left" vertical="top" wrapText="1"/>
    </xf>
    <xf numFmtId="0" fontId="3" fillId="21" borderId="91" xfId="0" applyFont="1" applyFill="1" applyBorder="1" applyAlignment="1" applyProtection="1">
      <alignment horizontal="left" vertical="top"/>
    </xf>
    <xf numFmtId="3" fontId="8" fillId="21" borderId="26" xfId="0" applyNumberFormat="1" applyFont="1" applyFill="1" applyBorder="1" applyProtection="1"/>
    <xf numFmtId="3" fontId="3" fillId="21" borderId="26" xfId="0" applyNumberFormat="1" applyFont="1" applyFill="1" applyBorder="1" applyAlignment="1" applyProtection="1">
      <alignment vertical="top" wrapText="1"/>
    </xf>
    <xf numFmtId="0" fontId="15" fillId="21" borderId="160" xfId="0" applyFont="1" applyFill="1" applyBorder="1" applyAlignment="1" applyProtection="1">
      <alignment vertical="top" wrapText="1"/>
    </xf>
    <xf numFmtId="0" fontId="3" fillId="21" borderId="176" xfId="0" applyFont="1" applyFill="1" applyBorder="1" applyAlignment="1" applyProtection="1">
      <alignment horizontal="left" wrapText="1"/>
    </xf>
    <xf numFmtId="0" fontId="15" fillId="21" borderId="159" xfId="0" applyFont="1" applyFill="1" applyBorder="1" applyAlignment="1" applyProtection="1">
      <alignment vertical="top" wrapText="1"/>
    </xf>
    <xf numFmtId="0" fontId="3" fillId="21" borderId="16" xfId="6" applyFont="1" applyFill="1" applyBorder="1" applyAlignment="1" applyProtection="1">
      <alignment horizontal="left" vertical="center" wrapText="1"/>
    </xf>
    <xf numFmtId="0" fontId="5" fillId="21" borderId="194" xfId="6" applyFont="1" applyFill="1" applyBorder="1" applyProtection="1"/>
    <xf numFmtId="0" fontId="110" fillId="2" borderId="0" xfId="0" applyFont="1" applyFill="1" applyProtection="1"/>
    <xf numFmtId="3" fontId="3" fillId="21" borderId="162" xfId="0" applyNumberFormat="1" applyFont="1" applyFill="1" applyBorder="1" applyAlignment="1" applyProtection="1">
      <alignment horizontal="left" vertical="top"/>
    </xf>
    <xf numFmtId="3" fontId="2" fillId="2" borderId="3" xfId="0" applyNumberFormat="1" applyFont="1" applyFill="1" applyBorder="1" applyAlignment="1" applyProtection="1">
      <alignment horizontal="right"/>
      <protection locked="0"/>
    </xf>
    <xf numFmtId="3" fontId="2" fillId="3" borderId="3" xfId="0" applyNumberFormat="1" applyFont="1" applyFill="1" applyBorder="1" applyAlignment="1" applyProtection="1">
      <alignment horizontal="right"/>
    </xf>
    <xf numFmtId="3" fontId="2" fillId="2" borderId="28" xfId="0" applyNumberFormat="1" applyFont="1" applyFill="1" applyBorder="1" applyAlignment="1" applyProtection="1">
      <alignment horizontal="right"/>
      <protection locked="0"/>
    </xf>
    <xf numFmtId="3" fontId="2" fillId="3" borderId="103" xfId="0" applyNumberFormat="1" applyFont="1" applyFill="1" applyBorder="1" applyAlignment="1" applyProtection="1">
      <alignment horizontal="right"/>
    </xf>
    <xf numFmtId="3" fontId="3" fillId="21" borderId="78" xfId="0" applyNumberFormat="1" applyFont="1" applyFill="1" applyBorder="1" applyProtection="1"/>
    <xf numFmtId="3" fontId="5" fillId="0" borderId="58" xfId="0" applyNumberFormat="1" applyFont="1" applyFill="1" applyBorder="1" applyProtection="1"/>
    <xf numFmtId="3" fontId="5" fillId="0" borderId="57" xfId="0" applyNumberFormat="1" applyFont="1" applyFill="1" applyBorder="1" applyProtection="1"/>
    <xf numFmtId="0" fontId="22" fillId="2" borderId="58" xfId="0" applyFont="1" applyFill="1" applyBorder="1" applyProtection="1"/>
    <xf numFmtId="3" fontId="43" fillId="22" borderId="131" xfId="0" applyNumberFormat="1" applyFont="1" applyFill="1" applyBorder="1" applyProtection="1"/>
    <xf numFmtId="0" fontId="3" fillId="21" borderId="112" xfId="0" applyFont="1" applyFill="1" applyBorder="1" applyProtection="1"/>
    <xf numFmtId="0" fontId="3" fillId="21" borderId="27" xfId="0" applyFont="1" applyFill="1" applyBorder="1" applyProtection="1"/>
    <xf numFmtId="3" fontId="2" fillId="22" borderId="0" xfId="0" applyNumberFormat="1" applyFont="1" applyFill="1" applyBorder="1" applyAlignment="1" applyProtection="1">
      <alignment horizontal="right"/>
    </xf>
    <xf numFmtId="0" fontId="2" fillId="22" borderId="0" xfId="0" applyFont="1" applyFill="1" applyBorder="1" applyProtection="1"/>
    <xf numFmtId="14" fontId="3" fillId="21" borderId="124" xfId="0" applyNumberFormat="1" applyFont="1" applyFill="1" applyBorder="1" applyAlignment="1" applyProtection="1">
      <alignment horizontal="center"/>
    </xf>
    <xf numFmtId="0" fontId="3" fillId="21" borderId="101" xfId="0" applyFont="1" applyFill="1" applyBorder="1" applyProtection="1"/>
    <xf numFmtId="14" fontId="3" fillId="21" borderId="95" xfId="0" applyNumberFormat="1" applyFont="1" applyFill="1" applyBorder="1" applyAlignment="1" applyProtection="1">
      <alignment horizontal="center"/>
    </xf>
    <xf numFmtId="3" fontId="2" fillId="22" borderId="39" xfId="0" applyNumberFormat="1" applyFont="1" applyFill="1" applyBorder="1" applyAlignment="1" applyProtection="1">
      <alignment horizontal="right"/>
    </xf>
    <xf numFmtId="0" fontId="2" fillId="22" borderId="39" xfId="0" applyFont="1" applyFill="1" applyBorder="1" applyProtection="1"/>
    <xf numFmtId="14" fontId="3" fillId="21" borderId="0" xfId="0" applyNumberFormat="1" applyFont="1" applyFill="1" applyBorder="1" applyAlignment="1" applyProtection="1">
      <alignment horizontal="center"/>
    </xf>
    <xf numFmtId="0" fontId="3" fillId="21" borderId="39" xfId="0" applyFont="1" applyFill="1" applyBorder="1" applyProtection="1"/>
    <xf numFmtId="0" fontId="3" fillId="21" borderId="67" xfId="0" applyFont="1" applyFill="1" applyBorder="1" applyProtection="1"/>
    <xf numFmtId="0" fontId="2" fillId="21" borderId="27" xfId="0" applyFont="1" applyFill="1" applyBorder="1" applyProtection="1"/>
    <xf numFmtId="14" fontId="3" fillId="21" borderId="39" xfId="0" applyNumberFormat="1" applyFont="1" applyFill="1" applyBorder="1" applyAlignment="1" applyProtection="1">
      <alignment horizontal="center"/>
    </xf>
    <xf numFmtId="49" fontId="2" fillId="10" borderId="37" xfId="0" applyNumberFormat="1" applyFont="1" applyFill="1" applyBorder="1" applyAlignment="1" applyProtection="1"/>
    <xf numFmtId="0" fontId="3" fillId="21" borderId="113" xfId="0" applyFont="1" applyFill="1" applyBorder="1" applyProtection="1"/>
    <xf numFmtId="0" fontId="3" fillId="21" borderId="68" xfId="0" applyFont="1" applyFill="1" applyBorder="1" applyAlignment="1" applyProtection="1">
      <alignment wrapText="1"/>
    </xf>
    <xf numFmtId="0" fontId="3" fillId="21" borderId="160" xfId="0" applyFont="1" applyFill="1" applyBorder="1" applyAlignment="1" applyProtection="1">
      <alignment vertical="top" wrapText="1"/>
    </xf>
    <xf numFmtId="0" fontId="3" fillId="21" borderId="38" xfId="0" applyFont="1" applyFill="1" applyBorder="1" applyAlignment="1" applyProtection="1">
      <alignment horizontal="center"/>
    </xf>
    <xf numFmtId="49" fontId="3" fillId="21" borderId="42" xfId="0" applyNumberFormat="1" applyFont="1" applyFill="1" applyBorder="1" applyAlignment="1" applyProtection="1">
      <alignment horizontal="center" wrapText="1"/>
    </xf>
    <xf numFmtId="49" fontId="3" fillId="21" borderId="132" xfId="0" applyNumberFormat="1" applyFont="1" applyFill="1" applyBorder="1" applyAlignment="1" applyProtection="1">
      <alignment horizontal="center"/>
    </xf>
    <xf numFmtId="49" fontId="3" fillId="21" borderId="133" xfId="0" applyNumberFormat="1" applyFont="1" applyFill="1" applyBorder="1" applyAlignment="1" applyProtection="1">
      <alignment horizontal="center"/>
    </xf>
    <xf numFmtId="0" fontId="3" fillId="21" borderId="157" xfId="0" applyFont="1" applyFill="1" applyBorder="1" applyAlignment="1" applyProtection="1">
      <alignment horizontal="center"/>
    </xf>
    <xf numFmtId="0" fontId="3" fillId="21" borderId="5" xfId="0" applyFont="1" applyFill="1" applyBorder="1" applyAlignment="1" applyProtection="1">
      <alignment horizontal="center" wrapText="1"/>
    </xf>
    <xf numFmtId="49" fontId="3" fillId="21" borderId="34" xfId="0" applyNumberFormat="1" applyFont="1" applyFill="1" applyBorder="1" applyAlignment="1" applyProtection="1">
      <alignment horizontal="center"/>
    </xf>
    <xf numFmtId="49" fontId="3" fillId="21" borderId="35" xfId="0" applyNumberFormat="1" applyFont="1" applyFill="1" applyBorder="1" applyAlignment="1" applyProtection="1">
      <alignment horizontal="center"/>
    </xf>
    <xf numFmtId="49" fontId="3" fillId="21" borderId="106" xfId="0" applyNumberFormat="1" applyFont="1" applyFill="1" applyBorder="1" applyAlignment="1" applyProtection="1">
      <alignment horizontal="center"/>
    </xf>
    <xf numFmtId="1" fontId="3" fillId="21" borderId="2" xfId="0" applyNumberFormat="1" applyFont="1" applyFill="1" applyBorder="1" applyAlignment="1" applyProtection="1">
      <alignment horizontal="center" wrapText="1"/>
    </xf>
    <xf numFmtId="0" fontId="3" fillId="21" borderId="76" xfId="0" applyFont="1" applyFill="1" applyBorder="1" applyAlignment="1" applyProtection="1">
      <alignment horizontal="center" wrapText="1"/>
    </xf>
    <xf numFmtId="0" fontId="8" fillId="0" borderId="0" xfId="0" applyFont="1" applyFill="1" applyProtection="1"/>
    <xf numFmtId="1" fontId="3" fillId="21" borderId="42" xfId="0" applyNumberFormat="1" applyFont="1" applyFill="1" applyBorder="1" applyAlignment="1" applyProtection="1">
      <alignment horizontal="center" vertical="top" wrapText="1"/>
    </xf>
    <xf numFmtId="49" fontId="3" fillId="21" borderId="14" xfId="0" applyNumberFormat="1" applyFont="1" applyFill="1" applyBorder="1" applyAlignment="1" applyProtection="1">
      <alignment horizontal="center"/>
    </xf>
    <xf numFmtId="49" fontId="3" fillId="21" borderId="9" xfId="0" applyNumberFormat="1" applyFont="1" applyFill="1" applyBorder="1" applyAlignment="1" applyProtection="1">
      <alignment horizontal="center"/>
    </xf>
    <xf numFmtId="0" fontId="3" fillId="21" borderId="91" xfId="0" applyFont="1" applyFill="1" applyBorder="1" applyAlignment="1" applyProtection="1">
      <alignment horizontal="center"/>
    </xf>
    <xf numFmtId="1" fontId="3" fillId="21" borderId="25" xfId="0" applyNumberFormat="1" applyFont="1" applyFill="1" applyBorder="1" applyAlignment="1" applyProtection="1">
      <alignment horizontal="center"/>
    </xf>
    <xf numFmtId="3" fontId="3" fillId="21" borderId="25" xfId="0" applyNumberFormat="1" applyFont="1" applyFill="1" applyBorder="1" applyAlignment="1" applyProtection="1">
      <alignment horizontal="left" vertical="top" wrapText="1"/>
    </xf>
    <xf numFmtId="3" fontId="3" fillId="21" borderId="76" xfId="0" applyNumberFormat="1" applyFont="1" applyFill="1" applyBorder="1" applyAlignment="1" applyProtection="1"/>
    <xf numFmtId="3" fontId="3" fillId="21" borderId="92" xfId="0" applyNumberFormat="1" applyFont="1" applyFill="1" applyBorder="1" applyAlignment="1" applyProtection="1"/>
    <xf numFmtId="0" fontId="3" fillId="30" borderId="101" xfId="0" applyFont="1" applyFill="1" applyBorder="1" applyAlignment="1" applyProtection="1">
      <alignment horizontal="left" vertical="top" wrapText="1"/>
    </xf>
    <xf numFmtId="0" fontId="3" fillId="30" borderId="117" xfId="0" applyFont="1" applyFill="1" applyBorder="1" applyAlignment="1" applyProtection="1">
      <alignment horizontal="left" vertical="top"/>
    </xf>
    <xf numFmtId="0" fontId="0" fillId="30" borderId="44" xfId="0" applyFill="1" applyBorder="1" applyProtection="1"/>
    <xf numFmtId="0" fontId="3" fillId="30" borderId="16" xfId="0" applyFont="1" applyFill="1" applyBorder="1" applyAlignment="1" applyProtection="1">
      <alignment horizontal="left" vertical="top" wrapText="1"/>
    </xf>
    <xf numFmtId="3" fontId="3" fillId="30" borderId="170" xfId="0" applyNumberFormat="1" applyFont="1" applyFill="1" applyBorder="1" applyProtection="1"/>
    <xf numFmtId="3" fontId="3" fillId="30" borderId="101" xfId="0" applyNumberFormat="1" applyFont="1" applyFill="1" applyBorder="1" applyAlignment="1" applyProtection="1">
      <alignment horizontal="left" vertical="top" wrapText="1"/>
    </xf>
    <xf numFmtId="0" fontId="3" fillId="30" borderId="120" xfId="0" applyFont="1" applyFill="1" applyBorder="1" applyAlignment="1" applyProtection="1">
      <alignment horizontal="left" vertical="top" wrapText="1"/>
    </xf>
    <xf numFmtId="3" fontId="3" fillId="30" borderId="118" xfId="0" applyNumberFormat="1" applyFont="1" applyFill="1" applyBorder="1" applyAlignment="1" applyProtection="1">
      <alignment horizontal="left" wrapText="1"/>
    </xf>
    <xf numFmtId="49" fontId="3" fillId="30" borderId="118" xfId="0" applyNumberFormat="1" applyFont="1" applyFill="1" applyBorder="1" applyAlignment="1" applyProtection="1">
      <alignment vertical="top"/>
    </xf>
    <xf numFmtId="3" fontId="3" fillId="30" borderId="101" xfId="0" applyNumberFormat="1" applyFont="1" applyFill="1" applyBorder="1" applyAlignment="1" applyProtection="1">
      <alignment vertical="top"/>
    </xf>
    <xf numFmtId="3" fontId="3" fillId="30" borderId="88" xfId="0" applyNumberFormat="1" applyFont="1" applyFill="1" applyBorder="1" applyAlignment="1" applyProtection="1">
      <alignment vertical="top" wrapText="1"/>
    </xf>
    <xf numFmtId="3" fontId="3" fillId="30" borderId="16" xfId="0" applyNumberFormat="1" applyFont="1" applyFill="1" applyBorder="1" applyAlignment="1" applyProtection="1">
      <alignment horizontal="left" vertical="top" wrapText="1"/>
    </xf>
    <xf numFmtId="0" fontId="3" fillId="30" borderId="155" xfId="0" applyFont="1" applyFill="1" applyBorder="1" applyAlignment="1" applyProtection="1">
      <alignment horizontal="left" vertical="top" wrapText="1"/>
    </xf>
    <xf numFmtId="3" fontId="3" fillId="30" borderId="15" xfId="0" applyNumberFormat="1" applyFont="1" applyFill="1" applyBorder="1" applyAlignment="1" applyProtection="1">
      <alignment horizontal="left" vertical="top" wrapText="1"/>
    </xf>
    <xf numFmtId="0" fontId="11" fillId="30" borderId="0" xfId="0" applyFont="1" applyFill="1" applyBorder="1" applyProtection="1"/>
    <xf numFmtId="3" fontId="3" fillId="30" borderId="16" xfId="0" applyNumberFormat="1" applyFont="1" applyFill="1" applyBorder="1" applyAlignment="1" applyProtection="1">
      <alignment vertical="top"/>
    </xf>
    <xf numFmtId="3" fontId="8" fillId="30" borderId="60" xfId="0" applyNumberFormat="1" applyFont="1" applyFill="1" applyBorder="1" applyProtection="1"/>
    <xf numFmtId="0" fontId="5" fillId="30" borderId="44" xfId="0" applyFont="1" applyFill="1" applyBorder="1" applyProtection="1"/>
    <xf numFmtId="3" fontId="8" fillId="30" borderId="16" xfId="0" applyNumberFormat="1" applyFont="1" applyFill="1" applyBorder="1" applyAlignment="1" applyProtection="1">
      <alignment horizontal="left"/>
    </xf>
    <xf numFmtId="0" fontId="8" fillId="30" borderId="170" xfId="0" applyFont="1" applyFill="1" applyBorder="1" applyProtection="1"/>
    <xf numFmtId="3" fontId="8" fillId="30" borderId="155" xfId="0" applyNumberFormat="1" applyFont="1" applyFill="1" applyBorder="1" applyAlignment="1" applyProtection="1">
      <alignment horizontal="left" vertical="top"/>
    </xf>
    <xf numFmtId="0" fontId="0" fillId="30" borderId="0" xfId="0" applyFill="1" applyBorder="1" applyAlignment="1" applyProtection="1">
      <alignment vertical="top" wrapText="1"/>
    </xf>
    <xf numFmtId="0" fontId="11" fillId="30" borderId="16" xfId="0" applyFont="1" applyFill="1" applyBorder="1" applyProtection="1"/>
    <xf numFmtId="0" fontId="8" fillId="30" borderId="60" xfId="0" applyFont="1" applyFill="1" applyBorder="1" applyProtection="1"/>
    <xf numFmtId="0" fontId="11" fillId="30" borderId="62" xfId="0" applyFont="1" applyFill="1" applyBorder="1" applyProtection="1"/>
    <xf numFmtId="0" fontId="8" fillId="30" borderId="150" xfId="0" applyFont="1" applyFill="1" applyBorder="1" applyProtection="1"/>
    <xf numFmtId="0" fontId="8" fillId="30" borderId="42" xfId="0" applyFont="1" applyFill="1" applyBorder="1" applyProtection="1"/>
    <xf numFmtId="3" fontId="8" fillId="30" borderId="150" xfId="0" applyNumberFormat="1" applyFont="1" applyFill="1" applyBorder="1" applyProtection="1"/>
    <xf numFmtId="3" fontId="3" fillId="30" borderId="15" xfId="0" applyNumberFormat="1" applyFont="1" applyFill="1" applyBorder="1" applyAlignment="1" applyProtection="1">
      <alignment horizontal="left" vertical="top"/>
    </xf>
    <xf numFmtId="49" fontId="8" fillId="30" borderId="89" xfId="0" applyNumberFormat="1" applyFont="1" applyFill="1" applyBorder="1" applyProtection="1"/>
    <xf numFmtId="0" fontId="8" fillId="30" borderId="90" xfId="0" applyFont="1" applyFill="1" applyBorder="1" applyProtection="1"/>
    <xf numFmtId="0" fontId="3" fillId="30" borderId="127" xfId="0" applyFont="1" applyFill="1" applyBorder="1" applyAlignment="1" applyProtection="1">
      <alignment vertical="top" wrapText="1"/>
    </xf>
    <xf numFmtId="0" fontId="3" fillId="30" borderId="15" xfId="0" applyFont="1" applyFill="1" applyBorder="1" applyAlignment="1" applyProtection="1">
      <alignment vertical="top" wrapText="1"/>
    </xf>
    <xf numFmtId="3" fontId="3" fillId="30" borderId="60" xfId="0" applyNumberFormat="1" applyFont="1" applyFill="1" applyBorder="1" applyAlignment="1" applyProtection="1">
      <alignment vertical="top" wrapText="1"/>
    </xf>
    <xf numFmtId="0" fontId="8" fillId="30" borderId="127" xfId="0" applyFont="1" applyFill="1" applyBorder="1" applyProtection="1"/>
    <xf numFmtId="0" fontId="8" fillId="30" borderId="15" xfId="0" applyFont="1" applyFill="1" applyBorder="1" applyProtection="1"/>
    <xf numFmtId="0" fontId="8" fillId="30" borderId="116" xfId="0" applyFont="1" applyFill="1" applyBorder="1" applyProtection="1"/>
    <xf numFmtId="171" fontId="34" fillId="0" borderId="0" xfId="0" applyNumberFormat="1" applyFont="1" applyFill="1" applyBorder="1" applyAlignment="1" applyProtection="1">
      <alignment horizontal="left" vertical="top" wrapText="1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0" fontId="5" fillId="21" borderId="191" xfId="0" applyFont="1" applyFill="1" applyBorder="1" applyAlignment="1" applyProtection="1">
      <alignment horizontal="left"/>
    </xf>
    <xf numFmtId="0" fontId="3" fillId="21" borderId="35" xfId="0" applyFont="1" applyFill="1" applyBorder="1" applyAlignment="1" applyProtection="1">
      <alignment horizontal="left"/>
    </xf>
    <xf numFmtId="3" fontId="2" fillId="2" borderId="40" xfId="0" applyNumberFormat="1" applyFont="1" applyFill="1" applyBorder="1" applyAlignment="1" applyProtection="1">
      <alignment horizontal="right"/>
      <protection locked="0"/>
    </xf>
    <xf numFmtId="0" fontId="3" fillId="21" borderId="12" xfId="0" applyFont="1" applyFill="1" applyBorder="1" applyAlignment="1" applyProtection="1">
      <alignment horizontal="left"/>
    </xf>
    <xf numFmtId="0" fontId="5" fillId="21" borderId="25" xfId="0" applyFont="1" applyFill="1" applyBorder="1" applyAlignment="1" applyProtection="1">
      <alignment horizontal="left"/>
    </xf>
    <xf numFmtId="3" fontId="2" fillId="2" borderId="205" xfId="0" applyNumberFormat="1" applyFont="1" applyFill="1" applyBorder="1" applyAlignment="1" applyProtection="1">
      <alignment horizontal="right"/>
      <protection locked="0"/>
    </xf>
    <xf numFmtId="0" fontId="3" fillId="21" borderId="165" xfId="0" applyFont="1" applyFill="1" applyBorder="1" applyAlignment="1" applyProtection="1">
      <alignment horizontal="left" wrapText="1"/>
    </xf>
    <xf numFmtId="49" fontId="8" fillId="0" borderId="206" xfId="0" applyNumberFormat="1" applyFont="1" applyFill="1" applyBorder="1" applyAlignment="1" applyProtection="1">
      <alignment horizontal="center"/>
    </xf>
    <xf numFmtId="49" fontId="3" fillId="0" borderId="206" xfId="0" applyNumberFormat="1" applyFont="1" applyFill="1" applyBorder="1" applyAlignment="1" applyProtection="1">
      <alignment horizontal="center" wrapText="1"/>
    </xf>
    <xf numFmtId="49" fontId="3" fillId="0" borderId="206" xfId="0" applyNumberFormat="1" applyFont="1" applyFill="1" applyBorder="1" applyAlignment="1" applyProtection="1">
      <alignment horizontal="left"/>
    </xf>
    <xf numFmtId="3" fontId="3" fillId="21" borderId="15" xfId="0" applyNumberFormat="1" applyFont="1" applyFill="1" applyBorder="1" applyAlignment="1" applyProtection="1">
      <alignment horizontal="left" wrapText="1"/>
    </xf>
    <xf numFmtId="0" fontId="69" fillId="2" borderId="0" xfId="0" applyFont="1" applyFill="1" applyAlignment="1" applyProtection="1"/>
    <xf numFmtId="3" fontId="5" fillId="21" borderId="118" xfId="0" applyNumberFormat="1" applyFont="1" applyFill="1" applyBorder="1" applyAlignment="1" applyProtection="1">
      <alignment horizontal="left"/>
    </xf>
    <xf numFmtId="3" fontId="5" fillId="21" borderId="15" xfId="0" applyNumberFormat="1" applyFont="1" applyFill="1" applyBorder="1" applyAlignment="1" applyProtection="1">
      <alignment horizontal="left" vertical="top" wrapText="1"/>
    </xf>
    <xf numFmtId="49" fontId="3" fillId="21" borderId="42" xfId="0" applyNumberFormat="1" applyFont="1" applyFill="1" applyBorder="1" applyAlignment="1" applyProtection="1">
      <alignment horizontal="left"/>
    </xf>
    <xf numFmtId="3" fontId="13" fillId="9" borderId="63" xfId="0" applyNumberFormat="1" applyFont="1" applyFill="1" applyBorder="1" applyProtection="1"/>
    <xf numFmtId="0" fontId="9" fillId="0" borderId="0" xfId="0" applyFont="1" applyFill="1" applyProtection="1"/>
    <xf numFmtId="3" fontId="10" fillId="0" borderId="5" xfId="0" quotePrefix="1" applyNumberFormat="1" applyFont="1" applyFill="1" applyBorder="1" applyAlignment="1" applyProtection="1">
      <alignment horizontal="right"/>
      <protection locked="0"/>
    </xf>
    <xf numFmtId="0" fontId="16" fillId="2" borderId="0" xfId="0" applyFont="1" applyFill="1" applyBorder="1" applyAlignment="1" applyProtection="1"/>
    <xf numFmtId="3" fontId="116" fillId="21" borderId="0" xfId="0" applyNumberFormat="1" applyFont="1" applyFill="1" applyBorder="1" applyAlignment="1" applyProtection="1"/>
    <xf numFmtId="3" fontId="116" fillId="21" borderId="44" xfId="0" applyNumberFormat="1" applyFont="1" applyFill="1" applyBorder="1" applyAlignment="1" applyProtection="1"/>
    <xf numFmtId="0" fontId="117" fillId="2" borderId="0" xfId="0" applyFont="1" applyFill="1" applyBorder="1" applyProtection="1"/>
    <xf numFmtId="165" fontId="7" fillId="0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Protection="1"/>
    <xf numFmtId="0" fontId="3" fillId="2" borderId="1" xfId="0" applyFont="1" applyFill="1" applyBorder="1" applyProtection="1"/>
    <xf numFmtId="3" fontId="9" fillId="2" borderId="114" xfId="0" applyNumberFormat="1" applyFont="1" applyFill="1" applyBorder="1" applyProtection="1">
      <protection locked="0"/>
    </xf>
    <xf numFmtId="3" fontId="9" fillId="2" borderId="71" xfId="0" applyNumberFormat="1" applyFont="1" applyFill="1" applyBorder="1" applyProtection="1">
      <protection locked="0"/>
    </xf>
    <xf numFmtId="0" fontId="3" fillId="21" borderId="134" xfId="0" applyFont="1" applyFill="1" applyBorder="1" applyAlignment="1" applyProtection="1">
      <alignment horizontal="center"/>
    </xf>
    <xf numFmtId="0" fontId="94" fillId="7" borderId="0" xfId="0" quotePrefix="1" applyFont="1" applyFill="1" applyBorder="1" applyAlignment="1" applyProtection="1">
      <alignment horizontal="left"/>
    </xf>
    <xf numFmtId="0" fontId="110" fillId="0" borderId="0" xfId="0" applyFont="1" applyFill="1" applyAlignment="1" applyProtection="1">
      <alignment wrapText="1"/>
    </xf>
    <xf numFmtId="3" fontId="3" fillId="21" borderId="9" xfId="0" applyNumberFormat="1" applyFont="1" applyFill="1" applyBorder="1" applyProtection="1"/>
    <xf numFmtId="3" fontId="9" fillId="21" borderId="0" xfId="0" applyNumberFormat="1" applyFont="1" applyFill="1" applyBorder="1" applyProtection="1"/>
    <xf numFmtId="3" fontId="9" fillId="21" borderId="39" xfId="0" applyNumberFormat="1" applyFont="1" applyFill="1" applyBorder="1" applyProtection="1"/>
    <xf numFmtId="3" fontId="7" fillId="21" borderId="0" xfId="0" applyNumberFormat="1" applyFont="1" applyFill="1" applyBorder="1" applyProtection="1"/>
    <xf numFmtId="3" fontId="7" fillId="21" borderId="0" xfId="0" applyNumberFormat="1" applyFont="1" applyFill="1" applyBorder="1" applyAlignment="1" applyProtection="1">
      <alignment horizontal="left" vertical="top" wrapText="1"/>
    </xf>
    <xf numFmtId="3" fontId="2" fillId="21" borderId="159" xfId="0" applyNumberFormat="1" applyFont="1" applyFill="1" applyBorder="1" applyAlignment="1" applyProtection="1">
      <alignment horizontal="right"/>
    </xf>
    <xf numFmtId="3" fontId="2" fillId="21" borderId="131" xfId="0" applyNumberFormat="1" applyFont="1" applyFill="1" applyBorder="1" applyAlignment="1" applyProtection="1">
      <alignment horizontal="right"/>
    </xf>
    <xf numFmtId="3" fontId="2" fillId="22" borderId="159" xfId="0" applyNumberFormat="1" applyFont="1" applyFill="1" applyBorder="1" applyAlignment="1" applyProtection="1">
      <alignment horizontal="left"/>
    </xf>
    <xf numFmtId="3" fontId="2" fillId="22" borderId="45" xfId="0" applyNumberFormat="1" applyFont="1" applyFill="1" applyBorder="1" applyAlignment="1" applyProtection="1">
      <alignment horizontal="right"/>
    </xf>
    <xf numFmtId="0" fontId="9" fillId="31" borderId="207" xfId="0" applyFont="1" applyFill="1" applyBorder="1" applyAlignment="1" applyProtection="1">
      <alignment horizontal="left" vertical="center"/>
    </xf>
    <xf numFmtId="0" fontId="91" fillId="31" borderId="207" xfId="0" applyFont="1" applyFill="1" applyBorder="1" applyAlignment="1" applyProtection="1">
      <alignment horizontal="left" vertical="center"/>
    </xf>
    <xf numFmtId="0" fontId="15" fillId="30" borderId="117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wrapText="1"/>
    </xf>
    <xf numFmtId="0" fontId="22" fillId="21" borderId="58" xfId="6" applyFill="1" applyBorder="1" applyAlignment="1" applyProtection="1">
      <alignment wrapText="1"/>
    </xf>
    <xf numFmtId="0" fontId="22" fillId="21" borderId="44" xfId="6" applyFill="1" applyBorder="1" applyAlignment="1" applyProtection="1">
      <alignment wrapText="1"/>
    </xf>
    <xf numFmtId="49" fontId="5" fillId="21" borderId="147" xfId="0" applyNumberFormat="1" applyFont="1" applyFill="1" applyBorder="1" applyAlignment="1" applyProtection="1">
      <alignment horizontal="center"/>
    </xf>
    <xf numFmtId="49" fontId="5" fillId="21" borderId="90" xfId="0" applyNumberFormat="1" applyFont="1" applyFill="1" applyBorder="1" applyAlignment="1" applyProtection="1">
      <alignment horizontal="center"/>
    </xf>
    <xf numFmtId="0" fontId="3" fillId="21" borderId="209" xfId="0" applyFont="1" applyFill="1" applyBorder="1" applyAlignment="1" applyProtection="1">
      <alignment horizontal="center"/>
    </xf>
    <xf numFmtId="49" fontId="3" fillId="21" borderId="150" xfId="0" applyNumberFormat="1" applyFont="1" applyFill="1" applyBorder="1" applyAlignment="1" applyProtection="1">
      <alignment horizontal="center"/>
    </xf>
    <xf numFmtId="49" fontId="3" fillId="21" borderId="162" xfId="0" applyNumberFormat="1" applyFont="1" applyFill="1" applyBorder="1" applyAlignment="1" applyProtection="1">
      <alignment horizontal="center"/>
    </xf>
    <xf numFmtId="0" fontId="3" fillId="21" borderId="35" xfId="0" applyFont="1" applyFill="1" applyBorder="1" applyAlignment="1" applyProtection="1">
      <alignment horizontal="center"/>
    </xf>
    <xf numFmtId="0" fontId="3" fillId="21" borderId="70" xfId="0" applyFont="1" applyFill="1" applyBorder="1" applyAlignment="1" applyProtection="1">
      <alignment horizontal="center"/>
    </xf>
    <xf numFmtId="3" fontId="3" fillId="21" borderId="27" xfId="0" applyNumberFormat="1" applyFont="1" applyFill="1" applyBorder="1" applyAlignment="1" applyProtection="1"/>
    <xf numFmtId="49" fontId="3" fillId="21" borderId="58" xfId="0" applyNumberFormat="1" applyFont="1" applyFill="1" applyBorder="1" applyAlignment="1" applyProtection="1">
      <alignment horizontal="left" vertical="top"/>
    </xf>
    <xf numFmtId="49" fontId="3" fillId="21" borderId="142" xfId="0" applyNumberFormat="1" applyFont="1" applyFill="1" applyBorder="1" applyAlignment="1" applyProtection="1">
      <alignment horizontal="left" vertical="top"/>
    </xf>
    <xf numFmtId="0" fontId="29" fillId="7" borderId="0" xfId="0" applyFont="1" applyFill="1" applyBorder="1" applyProtection="1"/>
    <xf numFmtId="1" fontId="15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 wrapText="1"/>
    </xf>
    <xf numFmtId="3" fontId="8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>
      <alignment horizontal="center"/>
    </xf>
    <xf numFmtId="3" fontId="2" fillId="22" borderId="25" xfId="0" applyNumberFormat="1" applyFont="1" applyFill="1" applyBorder="1" applyProtection="1"/>
    <xf numFmtId="3" fontId="2" fillId="22" borderId="26" xfId="0" applyNumberFormat="1" applyFont="1" applyFill="1" applyBorder="1" applyProtection="1"/>
    <xf numFmtId="0" fontId="3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1" fontId="3" fillId="0" borderId="0" xfId="0" applyNumberFormat="1" applyFont="1" applyFill="1" applyBorder="1" applyAlignment="1" applyProtection="1">
      <alignment horizontal="center" vertical="top" wrapText="1"/>
    </xf>
    <xf numFmtId="2" fontId="3" fillId="0" borderId="0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alignment horizontal="center" wrapText="1"/>
    </xf>
    <xf numFmtId="49" fontId="116" fillId="0" borderId="0" xfId="0" applyNumberFormat="1" applyFont="1" applyFill="1" applyBorder="1" applyAlignment="1" applyProtection="1">
      <alignment horizontal="center" wrapText="1"/>
    </xf>
    <xf numFmtId="1" fontId="116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3" fontId="2" fillId="2" borderId="114" xfId="0" applyNumberFormat="1" applyFont="1" applyFill="1" applyBorder="1" applyAlignment="1" applyProtection="1">
      <alignment horizontal="right"/>
      <protection locked="0"/>
    </xf>
    <xf numFmtId="3" fontId="2" fillId="2" borderId="6" xfId="0" applyNumberFormat="1" applyFont="1" applyFill="1" applyBorder="1" applyAlignment="1" applyProtection="1">
      <alignment horizontal="right"/>
      <protection locked="0"/>
    </xf>
    <xf numFmtId="49" fontId="3" fillId="21" borderId="35" xfId="0" applyNumberFormat="1" applyFont="1" applyFill="1" applyBorder="1" applyAlignment="1" applyProtection="1">
      <alignment horizontal="left" wrapText="1"/>
    </xf>
    <xf numFmtId="3" fontId="5" fillId="21" borderId="158" xfId="6" applyNumberFormat="1" applyFont="1" applyFill="1" applyBorder="1" applyAlignment="1" applyProtection="1">
      <alignment vertical="top"/>
    </xf>
    <xf numFmtId="3" fontId="4" fillId="0" borderId="0" xfId="0" applyNumberFormat="1" applyFont="1" applyFill="1" applyBorder="1" applyProtection="1"/>
    <xf numFmtId="49" fontId="12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0" fillId="21" borderId="150" xfId="0" applyFill="1" applyBorder="1" applyAlignment="1">
      <alignment vertical="center"/>
    </xf>
    <xf numFmtId="0" fontId="0" fillId="21" borderId="42" xfId="0" applyFill="1" applyBorder="1" applyAlignment="1">
      <alignment vertical="center"/>
    </xf>
    <xf numFmtId="0" fontId="7" fillId="21" borderId="42" xfId="0" applyFont="1" applyFill="1" applyBorder="1" applyAlignment="1" applyProtection="1"/>
    <xf numFmtId="0" fontId="0" fillId="21" borderId="163" xfId="0" applyFill="1" applyBorder="1" applyAlignment="1" applyProtection="1">
      <alignment wrapText="1"/>
    </xf>
    <xf numFmtId="0" fontId="0" fillId="21" borderId="42" xfId="0" applyFill="1" applyBorder="1" applyAlignment="1">
      <alignment vertical="center" wrapText="1"/>
    </xf>
    <xf numFmtId="0" fontId="7" fillId="21" borderId="42" xfId="0" applyFont="1" applyFill="1" applyBorder="1" applyProtection="1"/>
    <xf numFmtId="0" fontId="0" fillId="21" borderId="142" xfId="0" applyFill="1" applyBorder="1" applyAlignment="1">
      <alignment horizontal="left" vertical="center"/>
    </xf>
    <xf numFmtId="0" fontId="0" fillId="21" borderId="1" xfId="0" applyFill="1" applyBorder="1" applyAlignment="1">
      <alignment horizontal="left" vertical="center"/>
    </xf>
    <xf numFmtId="0" fontId="0" fillId="21" borderId="89" xfId="0" applyFill="1" applyBorder="1" applyAlignment="1">
      <alignment horizontal="left" vertical="center"/>
    </xf>
    <xf numFmtId="0" fontId="0" fillId="21" borderId="90" xfId="0" applyFill="1" applyBorder="1" applyAlignment="1">
      <alignment horizontal="left" wrapText="1"/>
    </xf>
    <xf numFmtId="0" fontId="5" fillId="21" borderId="159" xfId="0" applyFont="1" applyFill="1" applyBorder="1" applyAlignment="1" applyProtection="1">
      <alignment vertical="top" wrapText="1"/>
    </xf>
    <xf numFmtId="0" fontId="3" fillId="21" borderId="16" xfId="0" applyFont="1" applyFill="1" applyBorder="1" applyAlignment="1" applyProtection="1">
      <alignment vertical="center"/>
    </xf>
    <xf numFmtId="0" fontId="3" fillId="21" borderId="15" xfId="0" applyFont="1" applyFill="1" applyBorder="1" applyAlignment="1" applyProtection="1">
      <alignment vertical="center"/>
    </xf>
    <xf numFmtId="0" fontId="3" fillId="21" borderId="15" xfId="0" applyFont="1" applyFill="1" applyBorder="1" applyAlignment="1" applyProtection="1">
      <alignment vertical="center" wrapText="1"/>
    </xf>
    <xf numFmtId="0" fontId="0" fillId="21" borderId="194" xfId="0" applyFill="1" applyBorder="1" applyAlignment="1">
      <alignment horizontal="center" vertical="center"/>
    </xf>
    <xf numFmtId="0" fontId="0" fillId="21" borderId="178" xfId="0" applyFill="1" applyBorder="1" applyAlignment="1" applyProtection="1">
      <alignment vertical="top" wrapText="1"/>
    </xf>
    <xf numFmtId="0" fontId="3" fillId="21" borderId="123" xfId="0" applyFont="1" applyFill="1" applyBorder="1" applyAlignment="1" applyProtection="1">
      <alignment vertical="top"/>
    </xf>
    <xf numFmtId="0" fontId="3" fillId="21" borderId="68" xfId="0" applyFont="1" applyFill="1" applyBorder="1" applyAlignment="1" applyProtection="1">
      <alignment horizontal="left" vertical="top" wrapText="1"/>
    </xf>
    <xf numFmtId="0" fontId="15" fillId="21" borderId="170" xfId="0" applyFont="1" applyFill="1" applyBorder="1" applyAlignment="1" applyProtection="1">
      <alignment horizontal="center" vertical="center" wrapText="1"/>
    </xf>
    <xf numFmtId="0" fontId="7" fillId="21" borderId="160" xfId="0" applyFont="1" applyFill="1" applyBorder="1" applyAlignment="1" applyProtection="1"/>
    <xf numFmtId="0" fontId="3" fillId="21" borderId="15" xfId="0" applyFont="1" applyFill="1" applyBorder="1" applyAlignment="1" applyProtection="1"/>
    <xf numFmtId="0" fontId="3" fillId="21" borderId="128" xfId="0" applyFont="1" applyFill="1" applyBorder="1" applyAlignment="1" applyProtection="1">
      <alignment horizontal="left" vertical="top" wrapText="1"/>
    </xf>
    <xf numFmtId="0" fontId="3" fillId="21" borderId="69" xfId="0" applyFont="1" applyFill="1" applyBorder="1" applyAlignment="1" applyProtection="1">
      <alignment horizontal="left" vertical="top" wrapText="1"/>
    </xf>
    <xf numFmtId="0" fontId="3" fillId="21" borderId="58" xfId="0" applyFont="1" applyFill="1" applyBorder="1" applyAlignment="1" applyProtection="1">
      <alignment horizontal="left" vertical="center"/>
    </xf>
    <xf numFmtId="0" fontId="3" fillId="21" borderId="0" xfId="0" applyFont="1" applyFill="1" applyBorder="1" applyAlignment="1" applyProtection="1">
      <alignment horizontal="left" vertical="center"/>
    </xf>
    <xf numFmtId="0" fontId="3" fillId="21" borderId="155" xfId="0" applyFont="1" applyFill="1" applyBorder="1" applyAlignment="1" applyProtection="1">
      <alignment horizontal="left" vertical="center"/>
    </xf>
    <xf numFmtId="0" fontId="3" fillId="21" borderId="60" xfId="0" applyFont="1" applyFill="1" applyBorder="1" applyAlignment="1" applyProtection="1">
      <alignment horizontal="left" wrapText="1"/>
    </xf>
    <xf numFmtId="3" fontId="3" fillId="21" borderId="160" xfId="6" applyNumberFormat="1" applyFont="1" applyFill="1" applyBorder="1" applyAlignment="1" applyProtection="1"/>
    <xf numFmtId="3" fontId="5" fillId="21" borderId="160" xfId="6" applyNumberFormat="1" applyFont="1" applyFill="1" applyBorder="1" applyAlignment="1" applyProtection="1">
      <alignment vertical="top" wrapText="1"/>
    </xf>
    <xf numFmtId="49" fontId="3" fillId="21" borderId="178" xfId="6" applyNumberFormat="1" applyFont="1" applyFill="1" applyBorder="1" applyProtection="1"/>
    <xf numFmtId="3" fontId="3" fillId="21" borderId="170" xfId="6" applyNumberFormat="1" applyFont="1" applyFill="1" applyBorder="1" applyAlignment="1" applyProtection="1"/>
    <xf numFmtId="0" fontId="3" fillId="21" borderId="194" xfId="6" applyFont="1" applyFill="1" applyBorder="1" applyAlignment="1" applyProtection="1">
      <alignment horizontal="left" vertical="center"/>
    </xf>
    <xf numFmtId="0" fontId="5" fillId="21" borderId="162" xfId="6" applyFont="1" applyFill="1" applyBorder="1" applyAlignment="1" applyProtection="1">
      <alignment vertical="top"/>
    </xf>
    <xf numFmtId="0" fontId="3" fillId="21" borderId="68" xfId="0" applyFont="1" applyFill="1" applyBorder="1" applyAlignment="1" applyProtection="1">
      <alignment vertical="top"/>
    </xf>
    <xf numFmtId="0" fontId="5" fillId="21" borderId="27" xfId="6" applyFont="1" applyFill="1" applyBorder="1" applyAlignment="1" applyProtection="1"/>
    <xf numFmtId="0" fontId="3" fillId="21" borderId="15" xfId="6" applyFont="1" applyFill="1" applyBorder="1" applyAlignment="1" applyProtection="1">
      <alignment horizontal="right"/>
    </xf>
    <xf numFmtId="0" fontId="3" fillId="21" borderId="155" xfId="6" applyFont="1" applyFill="1" applyBorder="1" applyAlignment="1" applyProtection="1"/>
    <xf numFmtId="0" fontId="3" fillId="21" borderId="15" xfId="6" applyFont="1" applyFill="1" applyBorder="1" applyAlignment="1" applyProtection="1"/>
    <xf numFmtId="0" fontId="3" fillId="21" borderId="15" xfId="6" applyFont="1" applyFill="1" applyBorder="1" applyAlignment="1" applyProtection="1">
      <alignment horizontal="left" vertical="top" wrapText="1"/>
    </xf>
    <xf numFmtId="0" fontId="3" fillId="21" borderId="16" xfId="6" applyFont="1" applyFill="1" applyBorder="1" applyAlignment="1" applyProtection="1">
      <alignment horizontal="left" vertical="top" wrapText="1"/>
    </xf>
    <xf numFmtId="49" fontId="3" fillId="21" borderId="160" xfId="6" applyNumberFormat="1" applyFont="1" applyFill="1" applyBorder="1" applyAlignment="1" applyProtection="1">
      <alignment vertical="top"/>
    </xf>
    <xf numFmtId="0" fontId="0" fillId="21" borderId="15" xfId="0" applyFill="1" applyBorder="1" applyAlignment="1">
      <alignment vertical="top" wrapText="1"/>
    </xf>
    <xf numFmtId="0" fontId="0" fillId="21" borderId="42" xfId="0" applyFill="1" applyBorder="1" applyAlignment="1">
      <alignment vertical="top" wrapText="1"/>
    </xf>
    <xf numFmtId="0" fontId="3" fillId="21" borderId="178" xfId="0" applyFont="1" applyFill="1" applyBorder="1" applyAlignment="1" applyProtection="1">
      <alignment horizontal="left" vertical="center"/>
    </xf>
    <xf numFmtId="3" fontId="109" fillId="0" borderId="58" xfId="0" applyNumberFormat="1" applyFont="1" applyFill="1" applyBorder="1" applyProtection="1"/>
    <xf numFmtId="3" fontId="3" fillId="32" borderId="42" xfId="0" applyNumberFormat="1" applyFont="1" applyFill="1" applyBorder="1" applyAlignment="1" applyProtection="1">
      <alignment horizontal="left" vertical="top" wrapText="1"/>
    </xf>
    <xf numFmtId="3" fontId="3" fillId="21" borderId="42" xfId="0" applyNumberFormat="1" applyFont="1" applyFill="1" applyBorder="1" applyAlignment="1" applyProtection="1">
      <alignment horizontal="left" vertical="top"/>
    </xf>
    <xf numFmtId="0" fontId="0" fillId="21" borderId="44" xfId="0" applyFill="1" applyBorder="1" applyProtection="1"/>
    <xf numFmtId="3" fontId="5" fillId="21" borderId="210" xfId="0" applyNumberFormat="1" applyFont="1" applyFill="1" applyBorder="1" applyAlignment="1" applyProtection="1">
      <alignment horizontal="left" vertical="center" wrapText="1"/>
    </xf>
    <xf numFmtId="3" fontId="5" fillId="21" borderId="92" xfId="0" applyNumberFormat="1" applyFont="1" applyFill="1" applyBorder="1" applyAlignment="1" applyProtection="1">
      <alignment vertical="top" wrapText="1"/>
    </xf>
    <xf numFmtId="3" fontId="5" fillId="21" borderId="25" xfId="0" applyNumberFormat="1" applyFont="1" applyFill="1" applyBorder="1" applyAlignment="1" applyProtection="1">
      <alignment vertical="top"/>
    </xf>
    <xf numFmtId="0" fontId="3" fillId="21" borderId="133" xfId="0" applyFont="1" applyFill="1" applyBorder="1" applyProtection="1"/>
    <xf numFmtId="3" fontId="9" fillId="2" borderId="208" xfId="0" applyNumberFormat="1" applyFont="1" applyFill="1" applyBorder="1" applyProtection="1">
      <protection locked="0"/>
    </xf>
    <xf numFmtId="0" fontId="5" fillId="21" borderId="96" xfId="6" applyFont="1" applyFill="1" applyBorder="1" applyProtection="1"/>
    <xf numFmtId="0" fontId="5" fillId="21" borderId="44" xfId="6" applyFont="1" applyFill="1" applyBorder="1" applyProtection="1"/>
    <xf numFmtId="0" fontId="5" fillId="21" borderId="27" xfId="6" applyFont="1" applyFill="1" applyBorder="1" applyAlignment="1" applyProtection="1">
      <alignment horizontal="left"/>
    </xf>
    <xf numFmtId="0" fontId="5" fillId="21" borderId="193" xfId="6" applyFont="1" applyFill="1" applyBorder="1" applyAlignment="1" applyProtection="1">
      <alignment horizontal="left"/>
    </xf>
    <xf numFmtId="0" fontId="3" fillId="21" borderId="56" xfId="6" applyFont="1" applyFill="1" applyBorder="1" applyAlignment="1" applyProtection="1">
      <alignment vertical="top"/>
    </xf>
    <xf numFmtId="0" fontId="3" fillId="21" borderId="56" xfId="6" applyFont="1" applyFill="1" applyBorder="1" applyAlignment="1" applyProtection="1">
      <alignment horizontal="left" vertical="center"/>
    </xf>
    <xf numFmtId="3" fontId="3" fillId="21" borderId="44" xfId="6" applyNumberFormat="1" applyFont="1" applyFill="1" applyBorder="1" applyAlignment="1" applyProtection="1">
      <alignment wrapText="1"/>
    </xf>
    <xf numFmtId="3" fontId="3" fillId="21" borderId="44" xfId="6" applyNumberFormat="1" applyFont="1" applyFill="1" applyBorder="1" applyAlignment="1" applyProtection="1">
      <alignment vertical="center" wrapText="1"/>
    </xf>
    <xf numFmtId="0" fontId="5" fillId="21" borderId="193" xfId="0" applyFont="1" applyFill="1" applyBorder="1" applyAlignment="1" applyProtection="1">
      <alignment horizontal="left"/>
    </xf>
    <xf numFmtId="0" fontId="5" fillId="21" borderId="96" xfId="0" applyFont="1" applyFill="1" applyBorder="1" applyAlignment="1" applyProtection="1">
      <alignment horizontal="left"/>
    </xf>
    <xf numFmtId="0" fontId="5" fillId="21" borderId="27" xfId="0" applyFont="1" applyFill="1" applyBorder="1" applyAlignment="1" applyProtection="1">
      <alignment horizontal="left"/>
    </xf>
    <xf numFmtId="0" fontId="5" fillId="21" borderId="44" xfId="0" applyFont="1" applyFill="1" applyBorder="1" applyAlignment="1" applyProtection="1">
      <alignment horizontal="left"/>
    </xf>
    <xf numFmtId="0" fontId="3" fillId="21" borderId="160" xfId="0" applyFont="1" applyFill="1" applyBorder="1" applyAlignment="1" applyProtection="1">
      <alignment horizontal="center"/>
    </xf>
    <xf numFmtId="0" fontId="3" fillId="21" borderId="56" xfId="6" applyFont="1" applyFill="1" applyBorder="1" applyAlignment="1" applyProtection="1">
      <alignment vertical="top" wrapText="1"/>
    </xf>
    <xf numFmtId="0" fontId="3" fillId="21" borderId="62" xfId="6" applyFont="1" applyFill="1" applyBorder="1" applyProtection="1"/>
    <xf numFmtId="1" fontId="3" fillId="21" borderId="16" xfId="6" applyNumberFormat="1" applyFont="1" applyFill="1" applyBorder="1" applyAlignment="1" applyProtection="1">
      <alignment horizontal="center"/>
    </xf>
    <xf numFmtId="1" fontId="3" fillId="21" borderId="170" xfId="6" applyNumberFormat="1" applyFont="1" applyFill="1" applyBorder="1" applyAlignment="1" applyProtection="1">
      <alignment horizontal="center"/>
    </xf>
    <xf numFmtId="3" fontId="5" fillId="21" borderId="178" xfId="6" applyNumberFormat="1" applyFont="1" applyFill="1" applyBorder="1" applyAlignment="1" applyProtection="1">
      <alignment vertical="top"/>
    </xf>
    <xf numFmtId="3" fontId="5" fillId="21" borderId="44" xfId="6" applyNumberFormat="1" applyFont="1" applyFill="1" applyBorder="1" applyAlignment="1" applyProtection="1">
      <alignment vertical="center"/>
    </xf>
    <xf numFmtId="3" fontId="5" fillId="21" borderId="44" xfId="0" applyNumberFormat="1" applyFont="1" applyFill="1" applyBorder="1" applyAlignment="1" applyProtection="1">
      <alignment vertical="center"/>
    </xf>
    <xf numFmtId="3" fontId="5" fillId="21" borderId="178" xfId="0" applyNumberFormat="1" applyFont="1" applyFill="1" applyBorder="1" applyAlignment="1" applyProtection="1">
      <alignment vertical="top"/>
    </xf>
    <xf numFmtId="0" fontId="3" fillId="21" borderId="160" xfId="6" applyFont="1" applyFill="1" applyBorder="1" applyAlignment="1" applyProtection="1">
      <alignment vertical="top" wrapText="1"/>
    </xf>
    <xf numFmtId="0" fontId="3" fillId="21" borderId="160" xfId="6" applyFont="1" applyFill="1" applyBorder="1" applyAlignment="1" applyProtection="1">
      <alignment vertical="center" wrapText="1"/>
    </xf>
    <xf numFmtId="0" fontId="3" fillId="10" borderId="58" xfId="0" applyFont="1" applyFill="1" applyBorder="1" applyAlignment="1" applyProtection="1">
      <alignment horizontal="center"/>
    </xf>
    <xf numFmtId="0" fontId="5" fillId="21" borderId="15" xfId="0" applyFont="1" applyFill="1" applyBorder="1" applyAlignment="1" applyProtection="1">
      <alignment horizontal="left" vertical="center" wrapText="1"/>
    </xf>
    <xf numFmtId="3" fontId="2" fillId="21" borderId="50" xfId="0" applyNumberFormat="1" applyFont="1" applyFill="1" applyBorder="1" applyAlignment="1" applyProtection="1">
      <alignment horizontal="right"/>
    </xf>
    <xf numFmtId="3" fontId="16" fillId="21" borderId="7" xfId="0" applyNumberFormat="1" applyFont="1" applyFill="1" applyBorder="1" applyProtection="1"/>
    <xf numFmtId="3" fontId="42" fillId="21" borderId="5" xfId="0" applyNumberFormat="1" applyFont="1" applyFill="1" applyBorder="1" applyProtection="1"/>
    <xf numFmtId="3" fontId="90" fillId="21" borderId="5" xfId="0" applyNumberFormat="1" applyFont="1" applyFill="1" applyBorder="1" applyProtection="1"/>
    <xf numFmtId="0" fontId="2" fillId="21" borderId="7" xfId="0" applyFont="1" applyFill="1" applyBorder="1" applyAlignment="1" applyProtection="1">
      <alignment vertical="top"/>
    </xf>
    <xf numFmtId="0" fontId="2" fillId="21" borderId="5" xfId="0" applyFont="1" applyFill="1" applyBorder="1" applyAlignment="1" applyProtection="1">
      <alignment vertical="top"/>
    </xf>
    <xf numFmtId="0" fontId="19" fillId="21" borderId="0" xfId="0" applyFont="1" applyFill="1" applyBorder="1" applyProtection="1"/>
    <xf numFmtId="0" fontId="19" fillId="21" borderId="15" xfId="0" applyFont="1" applyFill="1" applyBorder="1" applyProtection="1"/>
    <xf numFmtId="0" fontId="4" fillId="21" borderId="15" xfId="0" applyFont="1" applyFill="1" applyBorder="1" applyProtection="1"/>
    <xf numFmtId="0" fontId="8" fillId="21" borderId="212" xfId="0" applyFont="1" applyFill="1" applyBorder="1" applyAlignment="1" applyProtection="1">
      <alignment horizontal="left"/>
    </xf>
    <xf numFmtId="0" fontId="8" fillId="21" borderId="66" xfId="0" applyFont="1" applyFill="1" applyBorder="1" applyAlignment="1" applyProtection="1">
      <alignment horizontal="left"/>
    </xf>
    <xf numFmtId="0" fontId="3" fillId="21" borderId="66" xfId="0" applyFont="1" applyFill="1" applyBorder="1" applyAlignment="1" applyProtection="1">
      <alignment horizontal="left"/>
    </xf>
    <xf numFmtId="0" fontId="2" fillId="21" borderId="106" xfId="0" applyFont="1" applyFill="1" applyBorder="1" applyAlignment="1" applyProtection="1">
      <alignment vertical="top"/>
    </xf>
    <xf numFmtId="0" fontId="2" fillId="21" borderId="70" xfId="0" applyFont="1" applyFill="1" applyBorder="1" applyAlignment="1" applyProtection="1">
      <alignment vertical="top"/>
    </xf>
    <xf numFmtId="3" fontId="45" fillId="21" borderId="7" xfId="0" applyNumberFormat="1" applyFont="1" applyFill="1" applyBorder="1" applyProtection="1"/>
    <xf numFmtId="3" fontId="42" fillId="21" borderId="8" xfId="0" applyNumberFormat="1" applyFont="1" applyFill="1" applyBorder="1" applyProtection="1"/>
    <xf numFmtId="3" fontId="90" fillId="21" borderId="8" xfId="0" applyNumberFormat="1" applyFont="1" applyFill="1" applyBorder="1" applyProtection="1"/>
    <xf numFmtId="3" fontId="42" fillId="21" borderId="7" xfId="0" applyNumberFormat="1" applyFont="1" applyFill="1" applyBorder="1" applyProtection="1"/>
    <xf numFmtId="3" fontId="2" fillId="21" borderId="7" xfId="0" applyNumberFormat="1" applyFont="1" applyFill="1" applyBorder="1" applyAlignment="1" applyProtection="1">
      <alignment vertical="top"/>
    </xf>
    <xf numFmtId="3" fontId="40" fillId="21" borderId="29" xfId="0" applyNumberFormat="1" applyFont="1" applyFill="1" applyBorder="1" applyAlignment="1" applyProtection="1">
      <alignment vertical="top" wrapText="1"/>
    </xf>
    <xf numFmtId="3" fontId="2" fillId="21" borderId="46" xfId="0" applyNumberFormat="1" applyFont="1" applyFill="1" applyBorder="1" applyAlignment="1" applyProtection="1">
      <alignment horizontal="right"/>
    </xf>
    <xf numFmtId="3" fontId="40" fillId="21" borderId="146" xfId="0" applyNumberFormat="1" applyFont="1" applyFill="1" applyBorder="1" applyAlignment="1" applyProtection="1">
      <alignment vertical="top" wrapText="1"/>
    </xf>
    <xf numFmtId="168" fontId="39" fillId="21" borderId="159" xfId="0" applyNumberFormat="1" applyFont="1" applyFill="1" applyBorder="1" applyProtection="1"/>
    <xf numFmtId="3" fontId="10" fillId="21" borderId="7" xfId="0" applyNumberFormat="1" applyFont="1" applyFill="1" applyBorder="1" applyAlignment="1" applyProtection="1">
      <alignment vertical="top"/>
      <protection locked="0"/>
    </xf>
    <xf numFmtId="3" fontId="10" fillId="21" borderId="5" xfId="0" applyNumberFormat="1" applyFont="1" applyFill="1" applyBorder="1" applyAlignment="1" applyProtection="1">
      <alignment vertical="top"/>
      <protection locked="0"/>
    </xf>
    <xf numFmtId="0" fontId="2" fillId="21" borderId="5" xfId="0" applyFont="1" applyFill="1" applyBorder="1" applyAlignment="1" applyProtection="1">
      <alignment vertical="top"/>
      <protection locked="0"/>
    </xf>
    <xf numFmtId="0" fontId="2" fillId="21" borderId="162" xfId="0" applyFont="1" applyFill="1" applyBorder="1" applyAlignment="1" applyProtection="1">
      <alignment vertical="top"/>
      <protection locked="0"/>
    </xf>
    <xf numFmtId="0" fontId="2" fillId="21" borderId="68" xfId="0" applyFont="1" applyFill="1" applyBorder="1" applyAlignment="1" applyProtection="1">
      <alignment vertical="top"/>
      <protection locked="0"/>
    </xf>
    <xf numFmtId="3" fontId="16" fillId="21" borderId="14" xfId="0" applyNumberFormat="1" applyFont="1" applyFill="1" applyBorder="1" applyProtection="1"/>
    <xf numFmtId="3" fontId="42" fillId="21" borderId="17" xfId="0" applyNumberFormat="1" applyFont="1" applyFill="1" applyBorder="1" applyProtection="1"/>
    <xf numFmtId="3" fontId="90" fillId="21" borderId="17" xfId="0" applyNumberFormat="1" applyFont="1" applyFill="1" applyBorder="1" applyProtection="1"/>
    <xf numFmtId="3" fontId="2" fillId="21" borderId="7" xfId="0" applyNumberFormat="1" applyFont="1" applyFill="1" applyBorder="1" applyAlignment="1" applyProtection="1">
      <alignment vertical="top"/>
      <protection locked="0"/>
    </xf>
    <xf numFmtId="0" fontId="14" fillId="21" borderId="94" xfId="0" applyFont="1" applyFill="1" applyBorder="1" applyAlignment="1" applyProtection="1">
      <alignment wrapText="1"/>
    </xf>
    <xf numFmtId="0" fontId="9" fillId="21" borderId="195" xfId="0" applyFont="1" applyFill="1" applyBorder="1" applyProtection="1"/>
    <xf numFmtId="3" fontId="109" fillId="21" borderId="7" xfId="0" applyNumberFormat="1" applyFont="1" applyFill="1" applyBorder="1" applyProtection="1"/>
    <xf numFmtId="3" fontId="111" fillId="21" borderId="5" xfId="0" applyNumberFormat="1" applyFont="1" applyFill="1" applyBorder="1" applyProtection="1"/>
    <xf numFmtId="3" fontId="23" fillId="21" borderId="5" xfId="0" applyNumberFormat="1" applyFont="1" applyFill="1" applyBorder="1" applyProtection="1"/>
    <xf numFmtId="3" fontId="43" fillId="21" borderId="162" xfId="0" applyNumberFormat="1" applyFont="1" applyFill="1" applyBorder="1" applyProtection="1"/>
    <xf numFmtId="3" fontId="43" fillId="21" borderId="128" xfId="0" applyNumberFormat="1" applyFont="1" applyFill="1" applyBorder="1" applyProtection="1"/>
    <xf numFmtId="3" fontId="2" fillId="21" borderId="46" xfId="0" applyNumberFormat="1" applyFont="1" applyFill="1" applyBorder="1" applyAlignment="1" applyProtection="1">
      <alignment horizontal="right" vertical="top" wrapText="1"/>
    </xf>
    <xf numFmtId="3" fontId="40" fillId="21" borderId="22" xfId="0" applyNumberFormat="1" applyFont="1" applyFill="1" applyBorder="1" applyAlignment="1" applyProtection="1">
      <alignment vertical="top"/>
    </xf>
    <xf numFmtId="0" fontId="9" fillId="21" borderId="5" xfId="0" applyFont="1" applyFill="1" applyBorder="1" applyAlignment="1" applyProtection="1">
      <alignment vertical="top"/>
    </xf>
    <xf numFmtId="3" fontId="3" fillId="21" borderId="133" xfId="0" applyNumberFormat="1" applyFont="1" applyFill="1" applyBorder="1" applyProtection="1"/>
    <xf numFmtId="3" fontId="43" fillId="21" borderId="16" xfId="0" applyNumberFormat="1" applyFont="1" applyFill="1" applyBorder="1" applyProtection="1"/>
    <xf numFmtId="3" fontId="43" fillId="21" borderId="68" xfId="0" applyNumberFormat="1" applyFont="1" applyFill="1" applyBorder="1" applyProtection="1"/>
    <xf numFmtId="0" fontId="9" fillId="21" borderId="7" xfId="0" applyFont="1" applyFill="1" applyBorder="1" applyAlignment="1" applyProtection="1">
      <alignment vertical="top"/>
    </xf>
    <xf numFmtId="3" fontId="118" fillId="3" borderId="63" xfId="0" applyNumberFormat="1" applyFont="1" applyFill="1" applyBorder="1" applyAlignment="1" applyProtection="1">
      <alignment horizontal="right"/>
    </xf>
    <xf numFmtId="3" fontId="118" fillId="3" borderId="211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/>
    <xf numFmtId="3" fontId="8" fillId="0" borderId="0" xfId="0" applyNumberFormat="1" applyFont="1" applyFill="1" applyBorder="1" applyAlignment="1" applyProtection="1"/>
    <xf numFmtId="3" fontId="8" fillId="21" borderId="12" xfId="0" applyNumberFormat="1" applyFont="1" applyFill="1" applyBorder="1" applyAlignment="1" applyProtection="1"/>
    <xf numFmtId="1" fontId="8" fillId="21" borderId="35" xfId="0" applyNumberFormat="1" applyFont="1" applyFill="1" applyBorder="1" applyAlignment="1" applyProtection="1">
      <alignment horizontal="center"/>
    </xf>
    <xf numFmtId="1" fontId="3" fillId="21" borderId="35" xfId="0" applyNumberFormat="1" applyFont="1" applyFill="1" applyBorder="1" applyAlignment="1" applyProtection="1">
      <alignment horizontal="left"/>
    </xf>
    <xf numFmtId="3" fontId="13" fillId="2" borderId="64" xfId="0" applyNumberFormat="1" applyFont="1" applyFill="1" applyBorder="1" applyAlignment="1" applyProtection="1">
      <alignment horizontal="right"/>
      <protection locked="0"/>
    </xf>
    <xf numFmtId="1" fontId="3" fillId="21" borderId="70" xfId="0" applyNumberFormat="1" applyFont="1" applyFill="1" applyBorder="1" applyAlignment="1" applyProtection="1">
      <alignment horizontal="left"/>
    </xf>
    <xf numFmtId="0" fontId="110" fillId="0" borderId="0" xfId="0" applyFont="1" applyFill="1" applyProtection="1"/>
    <xf numFmtId="0" fontId="110" fillId="0" borderId="0" xfId="0" applyFont="1" applyFill="1" applyBorder="1" applyProtection="1"/>
    <xf numFmtId="0" fontId="110" fillId="2" borderId="0" xfId="0" applyFont="1" applyFill="1" applyBorder="1" applyProtection="1"/>
    <xf numFmtId="3" fontId="110" fillId="2" borderId="0" xfId="0" applyNumberFormat="1" applyFont="1" applyFill="1" applyBorder="1" applyProtection="1"/>
    <xf numFmtId="0" fontId="22" fillId="21" borderId="5" xfId="0" applyFont="1" applyFill="1" applyBorder="1" applyProtection="1"/>
    <xf numFmtId="0" fontId="1" fillId="21" borderId="5" xfId="0" applyFont="1" applyFill="1" applyBorder="1" applyProtection="1"/>
    <xf numFmtId="3" fontId="119" fillId="21" borderId="5" xfId="0" applyNumberFormat="1" applyFont="1" applyFill="1" applyBorder="1" applyAlignment="1" applyProtection="1"/>
    <xf numFmtId="3" fontId="43" fillId="23" borderId="138" xfId="0" applyNumberFormat="1" applyFont="1" applyFill="1" applyBorder="1" applyProtection="1"/>
    <xf numFmtId="3" fontId="34" fillId="2" borderId="0" xfId="0" applyNumberFormat="1" applyFont="1" applyFill="1" applyAlignment="1" applyProtection="1">
      <alignment vertical="top" wrapText="1"/>
    </xf>
    <xf numFmtId="3" fontId="10" fillId="0" borderId="0" xfId="0" applyNumberFormat="1" applyFont="1" applyFill="1" applyBorder="1" applyAlignment="1" applyProtection="1">
      <alignment horizontal="right"/>
    </xf>
    <xf numFmtId="0" fontId="114" fillId="0" borderId="0" xfId="0" applyFont="1" applyFill="1" applyProtection="1"/>
    <xf numFmtId="0" fontId="3" fillId="21" borderId="25" xfId="6" applyFont="1" applyFill="1" applyBorder="1" applyProtection="1"/>
    <xf numFmtId="3" fontId="109" fillId="0" borderId="0" xfId="0" applyNumberFormat="1" applyFont="1" applyFill="1" applyBorder="1" applyAlignment="1" applyProtection="1">
      <alignment vertical="top"/>
    </xf>
    <xf numFmtId="3" fontId="2" fillId="0" borderId="18" xfId="0" applyNumberFormat="1" applyFont="1" applyFill="1" applyBorder="1" applyProtection="1">
      <protection locked="0"/>
    </xf>
    <xf numFmtId="3" fontId="9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49" fontId="3" fillId="21" borderId="213" xfId="0" applyNumberFormat="1" applyFont="1" applyFill="1" applyBorder="1" applyAlignment="1" applyProtection="1">
      <alignment horizontal="left"/>
    </xf>
    <xf numFmtId="0" fontId="49" fillId="2" borderId="171" xfId="0" applyFont="1" applyFill="1" applyBorder="1" applyProtection="1"/>
    <xf numFmtId="0" fontId="49" fillId="2" borderId="169" xfId="0" applyFont="1" applyFill="1" applyBorder="1" applyProtection="1"/>
    <xf numFmtId="3" fontId="2" fillId="2" borderId="43" xfId="0" applyNumberFormat="1" applyFont="1" applyFill="1" applyBorder="1" applyAlignment="1" applyProtection="1">
      <alignment horizontal="right"/>
      <protection locked="0"/>
    </xf>
    <xf numFmtId="0" fontId="0" fillId="2" borderId="57" xfId="0" applyFill="1" applyBorder="1" applyProtection="1"/>
    <xf numFmtId="0" fontId="2" fillId="0" borderId="0" xfId="0" applyFont="1" applyBorder="1" applyAlignment="1" applyProtection="1">
      <alignment wrapText="1"/>
      <protection locked="0"/>
    </xf>
    <xf numFmtId="0" fontId="49" fillId="2" borderId="1" xfId="0" applyFont="1" applyFill="1" applyBorder="1" applyProtection="1"/>
    <xf numFmtId="0" fontId="0" fillId="2" borderId="62" xfId="0" applyFill="1" applyBorder="1" applyProtection="1"/>
    <xf numFmtId="49" fontId="3" fillId="0" borderId="206" xfId="0" applyNumberFormat="1" applyFont="1" applyFill="1" applyBorder="1" applyAlignment="1" applyProtection="1">
      <alignment horizontal="center"/>
    </xf>
    <xf numFmtId="0" fontId="49" fillId="2" borderId="43" xfId="0" applyFont="1" applyFill="1" applyBorder="1" applyProtection="1"/>
    <xf numFmtId="3" fontId="2" fillId="9" borderId="85" xfId="0" applyNumberFormat="1" applyFont="1" applyFill="1" applyBorder="1" applyProtection="1"/>
    <xf numFmtId="3" fontId="13" fillId="2" borderId="35" xfId="0" applyNumberFormat="1" applyFont="1" applyFill="1" applyBorder="1" applyAlignment="1" applyProtection="1">
      <alignment horizontal="right"/>
      <protection locked="0"/>
    </xf>
    <xf numFmtId="3" fontId="13" fillId="2" borderId="40" xfId="0" applyNumberFormat="1" applyFont="1" applyFill="1" applyBorder="1" applyAlignment="1" applyProtection="1">
      <alignment horizontal="right"/>
      <protection locked="0"/>
    </xf>
    <xf numFmtId="0" fontId="3" fillId="21" borderId="133" xfId="0" applyFont="1" applyFill="1" applyBorder="1" applyAlignment="1" applyProtection="1">
      <alignment horizontal="center"/>
    </xf>
    <xf numFmtId="3" fontId="2" fillId="0" borderId="36" xfId="0" applyNumberFormat="1" applyFont="1" applyFill="1" applyBorder="1" applyProtection="1"/>
    <xf numFmtId="0" fontId="109" fillId="2" borderId="0" xfId="0" applyFont="1" applyFill="1" applyBorder="1" applyProtection="1"/>
    <xf numFmtId="166" fontId="5" fillId="21" borderId="147" xfId="0" applyNumberFormat="1" applyFont="1" applyFill="1" applyBorder="1" applyAlignment="1" applyProtection="1">
      <alignment horizontal="left"/>
    </xf>
    <xf numFmtId="3" fontId="13" fillId="2" borderId="107" xfId="0" applyNumberFormat="1" applyFont="1" applyFill="1" applyBorder="1" applyAlignment="1" applyProtection="1">
      <alignment horizontal="right"/>
      <protection locked="0"/>
    </xf>
    <xf numFmtId="166" fontId="5" fillId="21" borderId="95" xfId="0" applyNumberFormat="1" applyFont="1" applyFill="1" applyBorder="1" applyAlignment="1" applyProtection="1">
      <alignment horizontal="left"/>
    </xf>
    <xf numFmtId="166" fontId="3" fillId="21" borderId="56" xfId="0" applyNumberFormat="1" applyFont="1" applyFill="1" applyBorder="1" applyAlignment="1" applyProtection="1">
      <alignment horizontal="left"/>
    </xf>
    <xf numFmtId="0" fontId="3" fillId="21" borderId="34" xfId="0" applyNumberFormat="1" applyFont="1" applyFill="1" applyBorder="1" applyAlignment="1" applyProtection="1">
      <alignment horizontal="center"/>
    </xf>
    <xf numFmtId="49" fontId="3" fillId="21" borderId="35" xfId="0" applyNumberFormat="1" applyFont="1" applyFill="1" applyBorder="1" applyAlignment="1" applyProtection="1">
      <alignment horizontal="center" wrapText="1"/>
    </xf>
    <xf numFmtId="3" fontId="2" fillId="9" borderId="26" xfId="0" applyNumberFormat="1" applyFont="1" applyFill="1" applyBorder="1" applyAlignment="1" applyProtection="1"/>
    <xf numFmtId="1" fontId="120" fillId="21" borderId="90" xfId="0" applyNumberFormat="1" applyFont="1" applyFill="1" applyBorder="1" applyAlignment="1" applyProtection="1">
      <alignment horizontal="left" vertical="top" wrapText="1"/>
    </xf>
    <xf numFmtId="0" fontId="3" fillId="21" borderId="200" xfId="0" applyFont="1" applyFill="1" applyBorder="1" applyAlignment="1" applyProtection="1">
      <alignment wrapText="1"/>
    </xf>
    <xf numFmtId="0" fontId="3" fillId="21" borderId="208" xfId="0" applyFont="1" applyFill="1" applyBorder="1" applyAlignment="1" applyProtection="1">
      <alignment horizontal="left" wrapText="1"/>
    </xf>
    <xf numFmtId="0" fontId="122" fillId="21" borderId="150" xfId="0" applyFont="1" applyFill="1" applyBorder="1" applyProtection="1"/>
    <xf numFmtId="3" fontId="2" fillId="3" borderId="114" xfId="0" applyNumberFormat="1" applyFont="1" applyFill="1" applyBorder="1" applyProtection="1"/>
    <xf numFmtId="3" fontId="2" fillId="3" borderId="7" xfId="0" applyNumberFormat="1" applyFont="1" applyFill="1" applyBorder="1" applyProtection="1"/>
    <xf numFmtId="3" fontId="10" fillId="2" borderId="6" xfId="0" quotePrefix="1" applyNumberFormat="1" applyFont="1" applyFill="1" applyBorder="1" applyAlignment="1" applyProtection="1">
      <alignment horizontal="right"/>
      <protection locked="0"/>
    </xf>
    <xf numFmtId="3" fontId="10" fillId="0" borderId="6" xfId="0" quotePrefix="1" applyNumberFormat="1" applyFont="1" applyFill="1" applyBorder="1" applyAlignment="1" applyProtection="1">
      <alignment horizontal="right"/>
      <protection locked="0"/>
    </xf>
    <xf numFmtId="3" fontId="2" fillId="9" borderId="179" xfId="0" applyNumberFormat="1" applyFont="1" applyFill="1" applyBorder="1" applyAlignment="1" applyProtection="1"/>
    <xf numFmtId="3" fontId="2" fillId="9" borderId="91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left" vertical="top"/>
    </xf>
    <xf numFmtId="3" fontId="2" fillId="0" borderId="18" xfId="6" applyNumberFormat="1" applyFont="1" applyFill="1" applyBorder="1" applyAlignment="1" applyProtection="1">
      <alignment horizontal="right"/>
      <protection locked="0"/>
    </xf>
    <xf numFmtId="0" fontId="3" fillId="21" borderId="23" xfId="0" applyFont="1" applyFill="1" applyBorder="1" applyAlignment="1" applyProtection="1">
      <alignment horizontal="left" vertical="top" wrapText="1"/>
    </xf>
    <xf numFmtId="0" fontId="5" fillId="21" borderId="9" xfId="0" applyFont="1" applyFill="1" applyBorder="1" applyAlignment="1" applyProtection="1">
      <alignment wrapText="1"/>
    </xf>
    <xf numFmtId="0" fontId="3" fillId="21" borderId="23" xfId="6" applyFont="1" applyFill="1" applyBorder="1" applyAlignment="1" applyProtection="1">
      <alignment horizontal="left" vertical="top" wrapText="1"/>
    </xf>
    <xf numFmtId="0" fontId="5" fillId="21" borderId="9" xfId="6" applyFont="1" applyFill="1" applyBorder="1" applyAlignment="1" applyProtection="1">
      <alignment wrapText="1"/>
    </xf>
    <xf numFmtId="0" fontId="2" fillId="0" borderId="0" xfId="0" quotePrefix="1" applyFont="1" applyFill="1" applyBorder="1" applyAlignment="1" applyProtection="1">
      <alignment vertical="top"/>
    </xf>
    <xf numFmtId="49" fontId="3" fillId="21" borderId="0" xfId="6" applyNumberFormat="1" applyFont="1" applyFill="1" applyBorder="1" applyAlignment="1" applyProtection="1">
      <alignment horizontal="center"/>
    </xf>
    <xf numFmtId="0" fontId="3" fillId="21" borderId="36" xfId="6" applyFont="1" applyFill="1" applyBorder="1" applyAlignment="1" applyProtection="1">
      <alignment horizontal="left" vertical="top" wrapText="1"/>
    </xf>
    <xf numFmtId="0" fontId="5" fillId="21" borderId="15" xfId="6" applyFont="1" applyFill="1" applyBorder="1" applyProtection="1"/>
    <xf numFmtId="0" fontId="3" fillId="21" borderId="42" xfId="6" applyFont="1" applyFill="1" applyBorder="1" applyProtection="1"/>
    <xf numFmtId="3" fontId="2" fillId="3" borderId="63" xfId="6" applyNumberFormat="1" applyFont="1" applyFill="1" applyBorder="1" applyAlignment="1" applyProtection="1">
      <alignment horizontal="right"/>
    </xf>
    <xf numFmtId="0" fontId="34" fillId="2" borderId="0" xfId="6" applyFont="1" applyFill="1" applyBorder="1" applyAlignment="1" applyProtection="1">
      <alignment horizontal="left" vertical="top"/>
    </xf>
    <xf numFmtId="3" fontId="2" fillId="3" borderId="84" xfId="6" applyNumberFormat="1" applyFont="1" applyFill="1" applyBorder="1" applyAlignment="1" applyProtection="1">
      <alignment horizontal="right"/>
    </xf>
    <xf numFmtId="0" fontId="5" fillId="21" borderId="118" xfId="6" applyFont="1" applyFill="1" applyBorder="1" applyAlignment="1" applyProtection="1">
      <alignment horizontal="left"/>
    </xf>
    <xf numFmtId="0" fontId="2" fillId="0" borderId="0" xfId="6" applyFont="1" applyFill="1" applyBorder="1" applyAlignment="1" applyProtection="1">
      <alignment vertical="top"/>
    </xf>
    <xf numFmtId="0" fontId="3" fillId="21" borderId="15" xfId="6" applyFont="1" applyFill="1" applyBorder="1" applyProtection="1"/>
    <xf numFmtId="3" fontId="2" fillId="0" borderId="2" xfId="6" applyNumberFormat="1" applyFont="1" applyFill="1" applyBorder="1" applyAlignment="1" applyProtection="1">
      <alignment horizontal="right"/>
      <protection locked="0"/>
    </xf>
    <xf numFmtId="3" fontId="2" fillId="0" borderId="15" xfId="6" applyNumberFormat="1" applyFont="1" applyFill="1" applyBorder="1" applyAlignment="1" applyProtection="1">
      <alignment horizontal="right"/>
      <protection locked="0"/>
    </xf>
    <xf numFmtId="3" fontId="2" fillId="0" borderId="60" xfId="6" applyNumberFormat="1" applyFont="1" applyFill="1" applyBorder="1" applyAlignment="1" applyProtection="1">
      <alignment horizontal="right"/>
      <protection locked="0"/>
    </xf>
    <xf numFmtId="0" fontId="1" fillId="2" borderId="0" xfId="6" applyFont="1" applyFill="1" applyAlignment="1" applyProtection="1">
      <alignment vertical="top"/>
    </xf>
    <xf numFmtId="3" fontId="34" fillId="2" borderId="0" xfId="6" applyNumberFormat="1" applyFont="1" applyFill="1" applyAlignment="1" applyProtection="1">
      <alignment vertical="top"/>
    </xf>
    <xf numFmtId="0" fontId="66" fillId="2" borderId="0" xfId="6" applyFont="1" applyFill="1" applyAlignment="1" applyProtection="1">
      <alignment vertical="top"/>
    </xf>
    <xf numFmtId="0" fontId="22" fillId="2" borderId="0" xfId="6" applyFill="1" applyBorder="1" applyAlignment="1" applyProtection="1">
      <alignment horizontal="left" vertical="top"/>
    </xf>
    <xf numFmtId="0" fontId="22" fillId="2" borderId="0" xfId="6" applyFill="1" applyAlignment="1" applyProtection="1">
      <alignment vertical="top"/>
    </xf>
    <xf numFmtId="0" fontId="67" fillId="2" borderId="0" xfId="6" applyFont="1" applyFill="1" applyAlignment="1" applyProtection="1">
      <alignment vertical="top"/>
    </xf>
    <xf numFmtId="3" fontId="3" fillId="21" borderId="20" xfId="0" applyNumberFormat="1" applyFont="1" applyFill="1" applyBorder="1" applyAlignment="1" applyProtection="1">
      <alignment horizontal="center"/>
    </xf>
    <xf numFmtId="3" fontId="2" fillId="21" borderId="35" xfId="6" applyNumberFormat="1" applyFont="1" applyFill="1" applyBorder="1" applyProtection="1"/>
    <xf numFmtId="3" fontId="3" fillId="21" borderId="160" xfId="6" applyNumberFormat="1" applyFont="1" applyFill="1" applyBorder="1" applyProtection="1"/>
    <xf numFmtId="0" fontId="7" fillId="21" borderId="178" xfId="6" applyFont="1" applyFill="1" applyBorder="1" applyProtection="1"/>
    <xf numFmtId="3" fontId="2" fillId="21" borderId="5" xfId="6" applyNumberFormat="1" applyFont="1" applyFill="1" applyBorder="1" applyProtection="1"/>
    <xf numFmtId="3" fontId="40" fillId="21" borderId="39" xfId="6" applyNumberFormat="1" applyFont="1" applyFill="1" applyBorder="1" applyAlignment="1" applyProtection="1">
      <alignment horizontal="right"/>
    </xf>
    <xf numFmtId="168" fontId="39" fillId="21" borderId="150" xfId="6" applyNumberFormat="1" applyFont="1" applyFill="1" applyBorder="1" applyProtection="1"/>
    <xf numFmtId="168" fontId="39" fillId="21" borderId="194" xfId="6" applyNumberFormat="1" applyFont="1" applyFill="1" applyBorder="1" applyProtection="1"/>
    <xf numFmtId="0" fontId="3" fillId="21" borderId="158" xfId="6" applyFont="1" applyFill="1" applyBorder="1" applyProtection="1"/>
    <xf numFmtId="3" fontId="5" fillId="21" borderId="111" xfId="6" applyNumberFormat="1" applyFont="1" applyFill="1" applyBorder="1" applyAlignment="1" applyProtection="1">
      <alignment vertical="top"/>
    </xf>
    <xf numFmtId="3" fontId="3" fillId="21" borderId="0" xfId="6" applyNumberFormat="1" applyFont="1" applyFill="1" applyBorder="1" applyAlignment="1" applyProtection="1">
      <alignment vertical="top"/>
    </xf>
    <xf numFmtId="168" fontId="3" fillId="21" borderId="1" xfId="6" applyNumberFormat="1" applyFont="1" applyFill="1" applyBorder="1" applyProtection="1"/>
    <xf numFmtId="3" fontId="2" fillId="21" borderId="68" xfId="6" applyNumberFormat="1" applyFont="1" applyFill="1" applyBorder="1" applyProtection="1"/>
    <xf numFmtId="3" fontId="43" fillId="21" borderId="35" xfId="6" quotePrefix="1" applyNumberFormat="1" applyFont="1" applyFill="1" applyBorder="1" applyAlignment="1" applyProtection="1">
      <alignment horizontal="right"/>
    </xf>
    <xf numFmtId="3" fontId="43" fillId="21" borderId="35" xfId="6" applyNumberFormat="1" applyFont="1" applyFill="1" applyBorder="1" applyProtection="1"/>
    <xf numFmtId="3" fontId="3" fillId="21" borderId="175" xfId="6" applyNumberFormat="1" applyFont="1" applyFill="1" applyBorder="1" applyAlignment="1" applyProtection="1">
      <alignment vertical="top" wrapText="1"/>
    </xf>
    <xf numFmtId="0" fontId="3" fillId="21" borderId="171" xfId="6" applyFont="1" applyFill="1" applyBorder="1" applyAlignment="1" applyProtection="1">
      <alignment vertical="top" wrapText="1"/>
    </xf>
    <xf numFmtId="3" fontId="3" fillId="21" borderId="160" xfId="6" applyNumberFormat="1" applyFont="1" applyFill="1" applyBorder="1" applyAlignment="1" applyProtection="1">
      <alignment vertical="center"/>
    </xf>
    <xf numFmtId="0" fontId="3" fillId="21" borderId="16" xfId="6" applyFont="1" applyFill="1" applyBorder="1" applyAlignment="1" applyProtection="1">
      <alignment horizontal="left" vertical="center"/>
    </xf>
    <xf numFmtId="0" fontId="3" fillId="21" borderId="16" xfId="6" applyFont="1" applyFill="1" applyBorder="1" applyAlignment="1" applyProtection="1">
      <alignment vertical="top"/>
    </xf>
    <xf numFmtId="3" fontId="2" fillId="21" borderId="15" xfId="6" applyNumberFormat="1" applyFont="1" applyFill="1" applyBorder="1" applyProtection="1"/>
    <xf numFmtId="3" fontId="2" fillId="21" borderId="13" xfId="6" applyNumberFormat="1" applyFont="1" applyFill="1" applyBorder="1" applyProtection="1"/>
    <xf numFmtId="0" fontId="3" fillId="21" borderId="193" xfId="0" applyFont="1" applyFill="1" applyBorder="1" applyAlignment="1" applyProtection="1"/>
    <xf numFmtId="3" fontId="3" fillId="21" borderId="158" xfId="0" applyNumberFormat="1" applyFont="1" applyFill="1" applyBorder="1" applyAlignment="1" applyProtection="1"/>
    <xf numFmtId="3" fontId="3" fillId="21" borderId="160" xfId="0" applyNumberFormat="1" applyFont="1" applyFill="1" applyBorder="1" applyAlignment="1" applyProtection="1"/>
    <xf numFmtId="0" fontId="0" fillId="2" borderId="0" xfId="0" applyFill="1" applyAlignment="1" applyProtection="1"/>
    <xf numFmtId="0" fontId="3" fillId="21" borderId="118" xfId="0" applyFont="1" applyFill="1" applyBorder="1" applyAlignment="1" applyProtection="1"/>
    <xf numFmtId="3" fontId="5" fillId="21" borderId="96" xfId="0" applyNumberFormat="1" applyFont="1" applyFill="1" applyBorder="1" applyAlignment="1" applyProtection="1"/>
    <xf numFmtId="3" fontId="2" fillId="9" borderId="5" xfId="0" applyNumberFormat="1" applyFont="1" applyFill="1" applyBorder="1" applyAlignment="1" applyProtection="1"/>
    <xf numFmtId="0" fontId="3" fillId="21" borderId="56" xfId="0" applyFont="1" applyFill="1" applyBorder="1" applyAlignment="1" applyProtection="1"/>
    <xf numFmtId="0" fontId="3" fillId="21" borderId="111" xfId="6" applyFont="1" applyFill="1" applyBorder="1" applyAlignment="1" applyProtection="1"/>
    <xf numFmtId="0" fontId="3" fillId="21" borderId="62" xfId="6" applyFont="1" applyFill="1" applyBorder="1" applyAlignment="1" applyProtection="1"/>
    <xf numFmtId="0" fontId="3" fillId="21" borderId="0" xfId="0" applyFont="1" applyFill="1" applyBorder="1" applyAlignment="1" applyProtection="1"/>
    <xf numFmtId="0" fontId="3" fillId="21" borderId="170" xfId="0" applyFont="1" applyFill="1" applyBorder="1" applyAlignment="1" applyProtection="1"/>
    <xf numFmtId="0" fontId="3" fillId="21" borderId="160" xfId="0" applyFont="1" applyFill="1" applyBorder="1" applyAlignment="1" applyProtection="1"/>
    <xf numFmtId="0" fontId="3" fillId="21" borderId="147" xfId="0" applyFont="1" applyFill="1" applyBorder="1" applyAlignment="1" applyProtection="1"/>
    <xf numFmtId="0" fontId="5" fillId="21" borderId="54" xfId="0" applyFont="1" applyFill="1" applyBorder="1" applyAlignment="1" applyProtection="1"/>
    <xf numFmtId="3" fontId="2" fillId="9" borderId="35" xfId="0" applyNumberFormat="1" applyFont="1" applyFill="1" applyBorder="1" applyAlignment="1" applyProtection="1"/>
    <xf numFmtId="3" fontId="2" fillId="9" borderId="136" xfId="0" applyNumberFormat="1" applyFont="1" applyFill="1" applyBorder="1" applyAlignment="1" applyProtection="1"/>
    <xf numFmtId="0" fontId="3" fillId="21" borderId="5" xfId="0" applyFont="1" applyFill="1" applyBorder="1" applyAlignment="1" applyProtection="1"/>
    <xf numFmtId="0" fontId="5" fillId="21" borderId="5" xfId="0" applyFont="1" applyFill="1" applyBorder="1" applyAlignment="1" applyProtection="1"/>
    <xf numFmtId="0" fontId="5" fillId="21" borderId="55" xfId="0" applyFont="1" applyFill="1" applyBorder="1" applyAlignment="1" applyProtection="1"/>
    <xf numFmtId="3" fontId="2" fillId="9" borderId="2" xfId="0" applyNumberFormat="1" applyFont="1" applyFill="1" applyBorder="1" applyAlignment="1" applyProtection="1"/>
    <xf numFmtId="3" fontId="2" fillId="9" borderId="54" xfId="0" applyNumberFormat="1" applyFont="1" applyFill="1" applyBorder="1" applyAlignment="1" applyProtection="1"/>
    <xf numFmtId="0" fontId="3" fillId="21" borderId="2" xfId="0" applyFont="1" applyFill="1" applyBorder="1" applyAlignment="1" applyProtection="1"/>
    <xf numFmtId="0" fontId="5" fillId="21" borderId="2" xfId="0" applyFont="1" applyFill="1" applyBorder="1" applyAlignment="1" applyProtection="1"/>
    <xf numFmtId="0" fontId="5" fillId="21" borderId="13" xfId="0" applyFont="1" applyFill="1" applyBorder="1" applyAlignment="1" applyProtection="1"/>
    <xf numFmtId="0" fontId="5" fillId="21" borderId="15" xfId="0" applyFont="1" applyFill="1" applyBorder="1" applyAlignment="1" applyProtection="1"/>
    <xf numFmtId="0" fontId="10" fillId="0" borderId="0" xfId="0" applyFont="1" applyFill="1" applyBorder="1" applyAlignment="1" applyProtection="1"/>
    <xf numFmtId="0" fontId="22" fillId="0" borderId="0" xfId="0" applyFont="1" applyFill="1" applyAlignment="1" applyProtection="1"/>
    <xf numFmtId="0" fontId="22" fillId="0" borderId="0" xfId="0" applyFont="1" applyFill="1" applyBorder="1" applyAlignment="1" applyProtection="1"/>
    <xf numFmtId="1" fontId="3" fillId="21" borderId="89" xfId="0" applyNumberFormat="1" applyFont="1" applyFill="1" applyBorder="1" applyAlignment="1" applyProtection="1">
      <alignment horizontal="center" vertical="top" wrapText="1"/>
    </xf>
    <xf numFmtId="3" fontId="3" fillId="21" borderId="160" xfId="0" applyNumberFormat="1" applyFont="1" applyFill="1" applyBorder="1" applyAlignment="1" applyProtection="1">
      <alignment vertical="top"/>
    </xf>
    <xf numFmtId="3" fontId="40" fillId="0" borderId="0" xfId="6" applyNumberFormat="1" applyFont="1" applyFill="1" applyBorder="1" applyAlignment="1" applyProtection="1">
      <alignment horizontal="right"/>
    </xf>
    <xf numFmtId="3" fontId="109" fillId="2" borderId="0" xfId="0" applyNumberFormat="1" applyFont="1" applyFill="1" applyProtection="1"/>
    <xf numFmtId="3" fontId="2" fillId="0" borderId="7" xfId="0" applyNumberFormat="1" applyFont="1" applyFill="1" applyBorder="1" applyAlignment="1" applyProtection="1">
      <alignment horizontal="right"/>
      <protection locked="0"/>
    </xf>
    <xf numFmtId="0" fontId="109" fillId="2" borderId="0" xfId="0" applyFont="1" applyFill="1" applyBorder="1" applyAlignment="1" applyProtection="1">
      <alignment horizontal="left"/>
    </xf>
    <xf numFmtId="0" fontId="109" fillId="2" borderId="0" xfId="0" applyFont="1" applyFill="1" applyBorder="1" applyAlignment="1" applyProtection="1"/>
    <xf numFmtId="3" fontId="40" fillId="0" borderId="124" xfId="6" applyNumberFormat="1" applyFont="1" applyFill="1" applyBorder="1" applyAlignment="1" applyProtection="1">
      <alignment horizontal="right"/>
    </xf>
    <xf numFmtId="49" fontId="3" fillId="21" borderId="130" xfId="0" applyNumberFormat="1" applyFont="1" applyFill="1" applyBorder="1" applyAlignment="1" applyProtection="1">
      <alignment horizontal="left"/>
    </xf>
    <xf numFmtId="49" fontId="3" fillId="21" borderId="173" xfId="0" applyNumberFormat="1" applyFont="1" applyFill="1" applyBorder="1" applyProtection="1"/>
    <xf numFmtId="3" fontId="10" fillId="28" borderId="162" xfId="0" applyNumberFormat="1" applyFont="1" applyFill="1" applyBorder="1" applyProtection="1"/>
    <xf numFmtId="3" fontId="10" fillId="28" borderId="68" xfId="0" applyNumberFormat="1" applyFont="1" applyFill="1" applyBorder="1" applyProtection="1"/>
    <xf numFmtId="3" fontId="10" fillId="28" borderId="69" xfId="0" applyNumberFormat="1" applyFont="1" applyFill="1" applyBorder="1" applyProtection="1"/>
    <xf numFmtId="1" fontId="3" fillId="21" borderId="215" xfId="0" applyNumberFormat="1" applyFont="1" applyFill="1" applyBorder="1" applyAlignment="1" applyProtection="1">
      <alignment horizontal="left"/>
    </xf>
    <xf numFmtId="1" fontId="3" fillId="21" borderId="215" xfId="0" applyNumberFormat="1" applyFont="1" applyFill="1" applyBorder="1" applyProtection="1"/>
    <xf numFmtId="1" fontId="2" fillId="21" borderId="216" xfId="0" applyNumberFormat="1" applyFont="1" applyFill="1" applyBorder="1" applyAlignment="1" applyProtection="1"/>
    <xf numFmtId="1" fontId="123" fillId="21" borderId="218" xfId="0" applyNumberFormat="1" applyFont="1" applyFill="1" applyBorder="1" applyProtection="1"/>
    <xf numFmtId="1" fontId="124" fillId="21" borderId="217" xfId="0" applyNumberFormat="1" applyFont="1" applyFill="1" applyBorder="1" applyAlignment="1" applyProtection="1"/>
    <xf numFmtId="1" fontId="123" fillId="21" borderId="219" xfId="0" applyNumberFormat="1" applyFont="1" applyFill="1" applyBorder="1" applyProtection="1"/>
    <xf numFmtId="1" fontId="123" fillId="21" borderId="220" xfId="0" applyNumberFormat="1" applyFont="1" applyFill="1" applyBorder="1" applyProtection="1"/>
    <xf numFmtId="1" fontId="124" fillId="21" borderId="181" xfId="0" applyNumberFormat="1" applyFont="1" applyFill="1" applyBorder="1" applyAlignment="1" applyProtection="1"/>
    <xf numFmtId="1" fontId="124" fillId="21" borderId="39" xfId="0" applyNumberFormat="1" applyFont="1" applyFill="1" applyBorder="1" applyAlignment="1" applyProtection="1"/>
    <xf numFmtId="1" fontId="124" fillId="21" borderId="59" xfId="0" applyNumberFormat="1" applyFont="1" applyFill="1" applyBorder="1" applyAlignment="1" applyProtection="1"/>
    <xf numFmtId="1" fontId="124" fillId="21" borderId="0" xfId="0" applyNumberFormat="1" applyFont="1" applyFill="1" applyBorder="1" applyAlignment="1" applyProtection="1"/>
    <xf numFmtId="0" fontId="116" fillId="21" borderId="39" xfId="0" applyNumberFormat="1" applyFont="1" applyFill="1" applyBorder="1" applyAlignment="1" applyProtection="1"/>
    <xf numFmtId="0" fontId="116" fillId="21" borderId="66" xfId="0" applyNumberFormat="1" applyFont="1" applyFill="1" applyBorder="1" applyAlignment="1" applyProtection="1"/>
    <xf numFmtId="0" fontId="116" fillId="21" borderId="181" xfId="0" applyNumberFormat="1" applyFont="1" applyFill="1" applyBorder="1" applyAlignment="1" applyProtection="1"/>
    <xf numFmtId="49" fontId="124" fillId="21" borderId="39" xfId="0" applyNumberFormat="1" applyFont="1" applyFill="1" applyBorder="1" applyAlignment="1" applyProtection="1"/>
    <xf numFmtId="0" fontId="116" fillId="21" borderId="59" xfId="0" applyNumberFormat="1" applyFont="1" applyFill="1" applyBorder="1" applyAlignment="1" applyProtection="1"/>
    <xf numFmtId="3" fontId="2" fillId="2" borderId="91" xfId="0" applyNumberFormat="1" applyFont="1" applyFill="1" applyBorder="1" applyAlignment="1" applyProtection="1">
      <alignment horizontal="right"/>
      <protection locked="0"/>
    </xf>
    <xf numFmtId="0" fontId="22" fillId="21" borderId="161" xfId="6" applyFont="1" applyFill="1" applyBorder="1" applyAlignment="1" applyProtection="1">
      <alignment horizontal="left" wrapText="1"/>
    </xf>
    <xf numFmtId="168" fontId="39" fillId="21" borderId="161" xfId="6" applyNumberFormat="1" applyFont="1" applyFill="1" applyBorder="1" applyProtection="1"/>
    <xf numFmtId="0" fontId="22" fillId="21" borderId="161" xfId="6" applyFill="1" applyBorder="1" applyProtection="1"/>
    <xf numFmtId="3" fontId="40" fillId="21" borderId="161" xfId="6" applyNumberFormat="1" applyFont="1" applyFill="1" applyBorder="1" applyProtection="1"/>
    <xf numFmtId="3" fontId="2" fillId="21" borderId="32" xfId="6" applyNumberFormat="1" applyFont="1" applyFill="1" applyBorder="1" applyAlignment="1" applyProtection="1">
      <alignment horizontal="right"/>
    </xf>
    <xf numFmtId="3" fontId="2" fillId="21" borderId="31" xfId="6" applyNumberFormat="1" applyFont="1" applyFill="1" applyBorder="1" applyAlignment="1" applyProtection="1">
      <alignment horizontal="right"/>
    </xf>
    <xf numFmtId="3" fontId="2" fillId="21" borderId="33" xfId="6" applyNumberFormat="1" applyFont="1" applyFill="1" applyBorder="1" applyAlignment="1" applyProtection="1">
      <alignment horizontal="right"/>
    </xf>
    <xf numFmtId="3" fontId="2" fillId="21" borderId="119" xfId="6" applyNumberFormat="1" applyFont="1" applyFill="1" applyBorder="1" applyAlignment="1" applyProtection="1">
      <alignment horizontal="right"/>
    </xf>
    <xf numFmtId="3" fontId="2" fillId="21" borderId="103" xfId="6" applyNumberFormat="1" applyFont="1" applyFill="1" applyBorder="1" applyAlignment="1" applyProtection="1">
      <alignment horizontal="right"/>
    </xf>
    <xf numFmtId="3" fontId="2" fillId="21" borderId="214" xfId="6" applyNumberFormat="1" applyFont="1" applyFill="1" applyBorder="1" applyAlignment="1" applyProtection="1">
      <alignment horizontal="right"/>
    </xf>
    <xf numFmtId="3" fontId="2" fillId="21" borderId="211" xfId="6" applyNumberFormat="1" applyFont="1" applyFill="1" applyBorder="1" applyAlignment="1" applyProtection="1">
      <alignment horizontal="right"/>
    </xf>
    <xf numFmtId="3" fontId="2" fillId="21" borderId="33" xfId="6" applyNumberFormat="1" applyFont="1" applyFill="1" applyBorder="1" applyProtection="1"/>
    <xf numFmtId="0" fontId="22" fillId="21" borderId="182" xfId="6" applyFill="1" applyBorder="1" applyProtection="1"/>
    <xf numFmtId="3" fontId="43" fillId="22" borderId="130" xfId="0" applyNumberFormat="1" applyFont="1" applyFill="1" applyBorder="1" applyProtection="1"/>
    <xf numFmtId="0" fontId="0" fillId="0" borderId="57" xfId="0" applyFill="1" applyBorder="1" applyProtection="1"/>
    <xf numFmtId="0" fontId="0" fillId="0" borderId="0" xfId="0" applyBorder="1" applyAlignment="1" applyProtection="1">
      <alignment wrapText="1"/>
      <protection locked="0"/>
    </xf>
    <xf numFmtId="3" fontId="2" fillId="0" borderId="19" xfId="0" applyNumberFormat="1" applyFont="1" applyFill="1" applyBorder="1" applyAlignment="1" applyProtection="1">
      <alignment horizontal="right"/>
      <protection locked="0"/>
    </xf>
    <xf numFmtId="3" fontId="3" fillId="21" borderId="56" xfId="0" applyNumberFormat="1" applyFont="1" applyFill="1" applyBorder="1" applyAlignment="1" applyProtection="1">
      <alignment horizontal="left" wrapText="1"/>
    </xf>
    <xf numFmtId="3" fontId="3" fillId="21" borderId="56" xfId="0" applyNumberFormat="1" applyFont="1" applyFill="1" applyBorder="1" applyAlignment="1" applyProtection="1">
      <alignment horizontal="left" vertical="top"/>
    </xf>
    <xf numFmtId="3" fontId="3" fillId="21" borderId="147" xfId="0" applyNumberFormat="1" applyFont="1" applyFill="1" applyBorder="1" applyAlignment="1" applyProtection="1">
      <alignment horizontal="left" vertical="top"/>
    </xf>
    <xf numFmtId="170" fontId="3" fillId="21" borderId="222" xfId="0" applyNumberFormat="1" applyFont="1" applyFill="1" applyBorder="1" applyAlignment="1" applyProtection="1">
      <alignment horizontal="left"/>
    </xf>
    <xf numFmtId="3" fontId="13" fillId="2" borderId="147" xfId="0" applyNumberFormat="1" applyFont="1" applyFill="1" applyBorder="1" applyAlignment="1" applyProtection="1">
      <alignment horizontal="right"/>
      <protection locked="0"/>
    </xf>
    <xf numFmtId="3" fontId="2" fillId="3" borderId="223" xfId="0" applyNumberFormat="1" applyFont="1" applyFill="1" applyBorder="1" applyAlignment="1" applyProtection="1">
      <alignment horizontal="right"/>
    </xf>
    <xf numFmtId="3" fontId="13" fillId="6" borderId="147" xfId="0" applyNumberFormat="1" applyFont="1" applyFill="1" applyBorder="1" applyAlignment="1" applyProtection="1">
      <alignment horizontal="right"/>
      <protection locked="0"/>
    </xf>
    <xf numFmtId="3" fontId="2" fillId="21" borderId="222" xfId="0" applyNumberFormat="1" applyFont="1" applyFill="1" applyBorder="1" applyAlignment="1" applyProtection="1">
      <alignment horizontal="right"/>
    </xf>
    <xf numFmtId="3" fontId="2" fillId="3" borderId="147" xfId="0" applyNumberFormat="1" applyFont="1" applyFill="1" applyBorder="1" applyAlignment="1" applyProtection="1">
      <alignment horizontal="right"/>
    </xf>
    <xf numFmtId="3" fontId="2" fillId="3" borderId="213" xfId="0" applyNumberFormat="1" applyFont="1" applyFill="1" applyBorder="1" applyAlignment="1" applyProtection="1">
      <alignment horizontal="right"/>
    </xf>
    <xf numFmtId="3" fontId="13" fillId="2" borderId="86" xfId="0" applyNumberFormat="1" applyFont="1" applyFill="1" applyBorder="1" applyAlignment="1" applyProtection="1">
      <alignment horizontal="right"/>
      <protection locked="0"/>
    </xf>
    <xf numFmtId="3" fontId="2" fillId="3" borderId="203" xfId="0" applyNumberFormat="1" applyFont="1" applyFill="1" applyBorder="1" applyAlignment="1" applyProtection="1">
      <alignment horizontal="right"/>
    </xf>
    <xf numFmtId="3" fontId="5" fillId="0" borderId="58" xfId="0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left"/>
    </xf>
    <xf numFmtId="3" fontId="5" fillId="0" borderId="58" xfId="0" applyNumberFormat="1" applyFont="1" applyFill="1" applyBorder="1" applyAlignment="1" applyProtection="1">
      <alignment horizontal="left" vertical="top" wrapText="1"/>
    </xf>
    <xf numFmtId="3" fontId="3" fillId="0" borderId="0" xfId="0" applyNumberFormat="1" applyFont="1" applyFill="1" applyBorder="1" applyAlignment="1" applyProtection="1">
      <alignment horizontal="left" wrapText="1"/>
    </xf>
    <xf numFmtId="0" fontId="5" fillId="0" borderId="58" xfId="0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left" vertical="top"/>
    </xf>
    <xf numFmtId="3" fontId="3" fillId="0" borderId="58" xfId="0" applyNumberFormat="1" applyFont="1" applyFill="1" applyBorder="1" applyAlignment="1" applyProtection="1">
      <alignment horizontal="left" vertical="top" wrapText="1"/>
    </xf>
    <xf numFmtId="170" fontId="3" fillId="0" borderId="58" xfId="0" applyNumberFormat="1" applyFont="1" applyFill="1" applyBorder="1" applyAlignment="1" applyProtection="1">
      <alignment horizontal="left"/>
    </xf>
    <xf numFmtId="170" fontId="3" fillId="0" borderId="0" xfId="0" applyNumberFormat="1" applyFont="1" applyFill="1" applyBorder="1" applyAlignment="1" applyProtection="1">
      <alignment horizontal="left"/>
    </xf>
    <xf numFmtId="3" fontId="109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/>
    <xf numFmtId="0" fontId="0" fillId="0" borderId="0" xfId="0" applyBorder="1" applyAlignment="1">
      <alignment wrapText="1"/>
    </xf>
    <xf numFmtId="0" fontId="0" fillId="0" borderId="0" xfId="0" applyBorder="1" applyAlignment="1" applyProtection="1">
      <alignment vertical="top"/>
    </xf>
    <xf numFmtId="0" fontId="3" fillId="0" borderId="0" xfId="0" applyFont="1" applyBorder="1" applyAlignment="1" applyProtection="1"/>
    <xf numFmtId="49" fontId="8" fillId="21" borderId="106" xfId="0" applyNumberFormat="1" applyFont="1" applyFill="1" applyBorder="1" applyAlignment="1" applyProtection="1">
      <alignment horizontal="center"/>
    </xf>
    <xf numFmtId="49" fontId="3" fillId="21" borderId="70" xfId="0" applyNumberFormat="1" applyFont="1" applyFill="1" applyBorder="1" applyAlignment="1" applyProtection="1">
      <alignment horizontal="center" wrapText="1"/>
    </xf>
    <xf numFmtId="49" fontId="8" fillId="21" borderId="71" xfId="0" applyNumberFormat="1" applyFont="1" applyFill="1" applyBorder="1" applyAlignment="1" applyProtection="1">
      <alignment horizontal="left"/>
    </xf>
    <xf numFmtId="49" fontId="3" fillId="21" borderId="64" xfId="0" applyNumberFormat="1" applyFont="1" applyFill="1" applyBorder="1" applyAlignment="1" applyProtection="1">
      <alignment horizontal="left"/>
    </xf>
    <xf numFmtId="49" fontId="3" fillId="21" borderId="91" xfId="0" applyNumberFormat="1" applyFont="1" applyFill="1" applyBorder="1" applyAlignment="1" applyProtection="1">
      <alignment horizontal="center"/>
    </xf>
    <xf numFmtId="49" fontId="3" fillId="21" borderId="180" xfId="0" applyNumberFormat="1" applyFont="1" applyFill="1" applyBorder="1" applyAlignment="1" applyProtection="1">
      <alignment horizontal="left"/>
    </xf>
    <xf numFmtId="3" fontId="2" fillId="2" borderId="106" xfId="0" applyNumberFormat="1" applyFont="1" applyFill="1" applyBorder="1" applyAlignment="1" applyProtection="1">
      <alignment horizontal="right"/>
      <protection locked="0"/>
    </xf>
    <xf numFmtId="0" fontId="2" fillId="21" borderId="110" xfId="0" applyFont="1" applyFill="1" applyBorder="1" applyProtection="1"/>
    <xf numFmtId="49" fontId="3" fillId="21" borderId="71" xfId="0" applyNumberFormat="1" applyFont="1" applyFill="1" applyBorder="1" applyAlignment="1" applyProtection="1">
      <alignment horizontal="left"/>
    </xf>
    <xf numFmtId="0" fontId="110" fillId="2" borderId="67" xfId="0" applyFont="1" applyFill="1" applyBorder="1" applyProtection="1"/>
    <xf numFmtId="49" fontId="3" fillId="21" borderId="25" xfId="0" applyNumberFormat="1" applyFont="1" applyFill="1" applyBorder="1" applyAlignment="1" applyProtection="1">
      <alignment horizontal="center"/>
    </xf>
    <xf numFmtId="0" fontId="3" fillId="21" borderId="117" xfId="0" applyNumberFormat="1" applyFont="1" applyFill="1" applyBorder="1" applyAlignment="1" applyProtection="1">
      <alignment horizontal="center" vertical="top" wrapText="1"/>
    </xf>
    <xf numFmtId="0" fontId="109" fillId="0" borderId="58" xfId="0" applyNumberFormat="1" applyFont="1" applyFill="1" applyBorder="1" applyAlignment="1" applyProtection="1">
      <alignment horizontal="left"/>
    </xf>
    <xf numFmtId="0" fontId="2" fillId="21" borderId="98" xfId="0" applyFont="1" applyFill="1" applyBorder="1" applyAlignment="1" applyProtection="1">
      <alignment horizontal="left" vertical="top" wrapText="1"/>
    </xf>
    <xf numFmtId="0" fontId="34" fillId="0" borderId="0" xfId="0" applyFont="1" applyFill="1" applyAlignment="1" applyProtection="1"/>
    <xf numFmtId="0" fontId="3" fillId="21" borderId="111" xfId="6" applyFont="1" applyFill="1" applyBorder="1" applyAlignment="1" applyProtection="1">
      <alignment horizontal="left" vertical="top"/>
    </xf>
    <xf numFmtId="3" fontId="43" fillId="21" borderId="9" xfId="6" applyNumberFormat="1" applyFont="1" applyFill="1" applyBorder="1" applyAlignment="1" applyProtection="1">
      <alignment horizontal="right"/>
    </xf>
    <xf numFmtId="0" fontId="3" fillId="21" borderId="3" xfId="0" applyFont="1" applyFill="1" applyBorder="1" applyAlignment="1" applyProtection="1">
      <alignment vertical="top" wrapText="1"/>
    </xf>
    <xf numFmtId="3" fontId="2" fillId="2" borderId="224" xfId="0" applyNumberFormat="1" applyFont="1" applyFill="1" applyBorder="1" applyProtection="1">
      <protection locked="0"/>
    </xf>
    <xf numFmtId="3" fontId="2" fillId="2" borderId="110" xfId="0" applyNumberFormat="1" applyFont="1" applyFill="1" applyBorder="1" applyProtection="1">
      <protection locked="0"/>
    </xf>
    <xf numFmtId="3" fontId="2" fillId="0" borderId="34" xfId="0" applyNumberFormat="1" applyFont="1" applyFill="1" applyBorder="1" applyProtection="1">
      <protection locked="0"/>
    </xf>
    <xf numFmtId="3" fontId="2" fillId="0" borderId="114" xfId="0" applyNumberFormat="1" applyFont="1" applyFill="1" applyBorder="1" applyProtection="1">
      <protection locked="0"/>
    </xf>
    <xf numFmtId="3" fontId="13" fillId="0" borderId="22" xfId="0" applyNumberFormat="1" applyFont="1" applyFill="1" applyBorder="1" applyAlignment="1" applyProtection="1">
      <alignment horizontal="right"/>
      <protection locked="0"/>
    </xf>
    <xf numFmtId="3" fontId="13" fillId="0" borderId="5" xfId="0" applyNumberFormat="1" applyFont="1" applyFill="1" applyBorder="1" applyAlignment="1" applyProtection="1">
      <alignment horizontal="right"/>
      <protection locked="0"/>
    </xf>
    <xf numFmtId="3" fontId="13" fillId="0" borderId="21" xfId="0" applyNumberFormat="1" applyFont="1" applyFill="1" applyBorder="1" applyAlignment="1" applyProtection="1">
      <alignment horizontal="right"/>
      <protection locked="0"/>
    </xf>
    <xf numFmtId="3" fontId="13" fillId="0" borderId="2" xfId="0" applyNumberFormat="1" applyFont="1" applyFill="1" applyBorder="1" applyAlignment="1" applyProtection="1">
      <alignment horizontal="right"/>
      <protection locked="0"/>
    </xf>
    <xf numFmtId="3" fontId="13" fillId="28" borderId="29" xfId="0" applyNumberFormat="1" applyFont="1" applyFill="1" applyBorder="1" applyAlignment="1" applyProtection="1">
      <alignment horizontal="right"/>
    </xf>
    <xf numFmtId="3" fontId="2" fillId="21" borderId="94" xfId="0" applyNumberFormat="1" applyFont="1" applyFill="1" applyBorder="1" applyAlignment="1" applyProtection="1">
      <alignment horizontal="right"/>
    </xf>
    <xf numFmtId="0" fontId="109" fillId="0" borderId="0" xfId="0" applyNumberFormat="1" applyFont="1" applyFill="1" applyBorder="1" applyAlignment="1" applyProtection="1">
      <alignment horizontal="left"/>
    </xf>
    <xf numFmtId="3" fontId="2" fillId="3" borderId="85" xfId="0" applyNumberFormat="1" applyFont="1" applyFill="1" applyBorder="1" applyAlignment="1" applyProtection="1">
      <alignment horizontal="right"/>
    </xf>
    <xf numFmtId="0" fontId="22" fillId="0" borderId="0" xfId="0" quotePrefix="1" applyFont="1" applyBorder="1" applyAlignment="1" applyProtection="1">
      <alignment vertical="top" wrapText="1"/>
    </xf>
    <xf numFmtId="0" fontId="3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3" fillId="21" borderId="20" xfId="6" applyNumberFormat="1" applyFont="1" applyFill="1" applyBorder="1" applyAlignment="1" applyProtection="1">
      <alignment horizontal="center"/>
    </xf>
    <xf numFmtId="3" fontId="123" fillId="22" borderId="42" xfId="0" applyNumberFormat="1" applyFont="1" applyFill="1" applyBorder="1" applyAlignment="1" applyProtection="1">
      <alignment horizontal="right"/>
    </xf>
    <xf numFmtId="3" fontId="2" fillId="33" borderId="113" xfId="6" applyNumberFormat="1" applyFont="1" applyFill="1" applyBorder="1" applyProtection="1"/>
    <xf numFmtId="3" fontId="2" fillId="33" borderId="5" xfId="6" applyNumberFormat="1" applyFont="1" applyFill="1" applyBorder="1" applyAlignment="1" applyProtection="1">
      <alignment horizontal="right"/>
    </xf>
    <xf numFmtId="3" fontId="2" fillId="33" borderId="70" xfId="6" applyNumberFormat="1" applyFont="1" applyFill="1" applyBorder="1" applyAlignment="1" applyProtection="1">
      <alignment horizontal="right"/>
    </xf>
    <xf numFmtId="3" fontId="2" fillId="33" borderId="25" xfId="6" applyNumberFormat="1" applyFont="1" applyFill="1" applyBorder="1" applyAlignment="1" applyProtection="1">
      <alignment horizontal="right"/>
    </xf>
    <xf numFmtId="3" fontId="109" fillId="21" borderId="14" xfId="0" applyNumberFormat="1" applyFont="1" applyFill="1" applyBorder="1" applyProtection="1"/>
    <xf numFmtId="3" fontId="111" fillId="21" borderId="9" xfId="0" applyNumberFormat="1" applyFont="1" applyFill="1" applyBorder="1" applyProtection="1"/>
    <xf numFmtId="3" fontId="112" fillId="21" borderId="9" xfId="0" applyNumberFormat="1" applyFont="1" applyFill="1" applyBorder="1" applyProtection="1"/>
    <xf numFmtId="3" fontId="112" fillId="21" borderId="5" xfId="0" applyNumberFormat="1" applyFont="1" applyFill="1" applyBorder="1" applyProtection="1"/>
    <xf numFmtId="0" fontId="109" fillId="0" borderId="0" xfId="0" applyNumberFormat="1" applyFont="1" applyFill="1" applyBorder="1" applyAlignment="1" applyProtection="1"/>
    <xf numFmtId="0" fontId="0" fillId="0" borderId="0" xfId="0" applyFill="1" applyBorder="1" applyAlignment="1" applyProtection="1">
      <alignment vertical="top" wrapText="1"/>
    </xf>
    <xf numFmtId="3" fontId="3" fillId="21" borderId="15" xfId="6" applyNumberFormat="1" applyFont="1" applyFill="1" applyBorder="1" applyAlignment="1" applyProtection="1">
      <alignment vertical="top" wrapText="1"/>
    </xf>
    <xf numFmtId="3" fontId="3" fillId="21" borderId="160" xfId="6" applyNumberFormat="1" applyFont="1" applyFill="1" applyBorder="1" applyAlignment="1" applyProtection="1">
      <alignment vertical="center" wrapText="1"/>
    </xf>
    <xf numFmtId="49" fontId="3" fillId="21" borderId="70" xfId="0" applyNumberFormat="1" applyFont="1" applyFill="1" applyBorder="1" applyAlignment="1" applyProtection="1">
      <alignment horizontal="center"/>
    </xf>
    <xf numFmtId="166" fontId="5" fillId="21" borderId="88" xfId="0" applyNumberFormat="1" applyFont="1" applyFill="1" applyBorder="1" applyAlignment="1" applyProtection="1">
      <alignment horizontal="left"/>
    </xf>
    <xf numFmtId="166" fontId="3" fillId="21" borderId="60" xfId="0" applyNumberFormat="1" applyFont="1" applyFill="1" applyBorder="1" applyAlignment="1" applyProtection="1">
      <alignment horizontal="left"/>
    </xf>
    <xf numFmtId="0" fontId="5" fillId="21" borderId="88" xfId="0" applyFont="1" applyFill="1" applyBorder="1" applyAlignment="1" applyProtection="1">
      <alignment horizontal="left"/>
    </xf>
    <xf numFmtId="0" fontId="121" fillId="21" borderId="101" xfId="0" applyFont="1" applyFill="1" applyBorder="1" applyAlignment="1" applyProtection="1">
      <alignment vertical="top" wrapText="1"/>
    </xf>
    <xf numFmtId="0" fontId="121" fillId="21" borderId="88" xfId="0" applyFont="1" applyFill="1" applyBorder="1" applyAlignment="1" applyProtection="1">
      <alignment vertical="top" wrapText="1"/>
    </xf>
    <xf numFmtId="0" fontId="100" fillId="21" borderId="5" xfId="0" applyFont="1" applyFill="1" applyBorder="1" applyProtection="1"/>
    <xf numFmtId="0" fontId="100" fillId="21" borderId="25" xfId="0" applyFont="1" applyFill="1" applyBorder="1" applyProtection="1"/>
    <xf numFmtId="49" fontId="3" fillId="21" borderId="22" xfId="6" applyNumberFormat="1" applyFont="1" applyFill="1" applyBorder="1" applyAlignment="1" applyProtection="1">
      <alignment horizontal="center"/>
    </xf>
    <xf numFmtId="0" fontId="5" fillId="21" borderId="84" xfId="6" applyFont="1" applyFill="1" applyBorder="1" applyProtection="1"/>
    <xf numFmtId="3" fontId="5" fillId="21" borderId="118" xfId="6" applyNumberFormat="1" applyFont="1" applyFill="1" applyBorder="1" applyAlignment="1" applyProtection="1">
      <alignment horizontal="left" vertical="top" wrapText="1"/>
    </xf>
    <xf numFmtId="3" fontId="5" fillId="21" borderId="88" xfId="6" applyNumberFormat="1" applyFont="1" applyFill="1" applyBorder="1" applyAlignment="1" applyProtection="1">
      <alignment horizontal="left" vertical="top" wrapText="1"/>
    </xf>
    <xf numFmtId="3" fontId="5" fillId="21" borderId="60" xfId="6" applyNumberFormat="1" applyFont="1" applyFill="1" applyBorder="1" applyAlignment="1" applyProtection="1">
      <alignment horizontal="left"/>
    </xf>
    <xf numFmtId="3" fontId="5" fillId="21" borderId="60" xfId="6" quotePrefix="1" applyNumberFormat="1" applyFont="1" applyFill="1" applyBorder="1" applyAlignment="1" applyProtection="1">
      <alignment horizontal="left" vertical="top"/>
    </xf>
    <xf numFmtId="0" fontId="3" fillId="21" borderId="42" xfId="6" applyFont="1" applyFill="1" applyBorder="1" applyAlignment="1" applyProtection="1">
      <alignment horizontal="center" wrapText="1"/>
    </xf>
    <xf numFmtId="3" fontId="3" fillId="21" borderId="90" xfId="6" applyNumberFormat="1" applyFont="1" applyFill="1" applyBorder="1" applyAlignment="1" applyProtection="1">
      <alignment horizontal="center" wrapText="1"/>
    </xf>
    <xf numFmtId="3" fontId="5" fillId="21" borderId="193" xfId="6" applyNumberFormat="1" applyFont="1" applyFill="1" applyBorder="1" applyProtection="1"/>
    <xf numFmtId="3" fontId="5" fillId="21" borderId="0" xfId="6" applyNumberFormat="1" applyFont="1" applyFill="1" applyBorder="1" applyAlignment="1" applyProtection="1">
      <alignment vertical="center"/>
    </xf>
    <xf numFmtId="3" fontId="3" fillId="21" borderId="193" xfId="0" applyNumberFormat="1" applyFont="1" applyFill="1" applyBorder="1" applyAlignment="1" applyProtection="1"/>
    <xf numFmtId="49" fontId="3" fillId="21" borderId="2" xfId="0" applyNumberFormat="1" applyFont="1" applyFill="1" applyBorder="1" applyAlignment="1" applyProtection="1">
      <alignment horizontal="left" vertical="top" wrapText="1"/>
    </xf>
    <xf numFmtId="49" fontId="3" fillId="21" borderId="58" xfId="0" applyNumberFormat="1" applyFont="1" applyFill="1" applyBorder="1" applyAlignment="1" applyProtection="1">
      <alignment horizontal="center"/>
    </xf>
    <xf numFmtId="2" fontId="3" fillId="21" borderId="11" xfId="0" applyNumberFormat="1" applyFont="1" applyFill="1" applyBorder="1" applyAlignment="1" applyProtection="1">
      <alignment horizontal="left"/>
    </xf>
    <xf numFmtId="2" fontId="3" fillId="21" borderId="128" xfId="0" applyNumberFormat="1" applyFont="1" applyFill="1" applyBorder="1" applyAlignment="1" applyProtection="1">
      <alignment horizontal="left"/>
    </xf>
    <xf numFmtId="3" fontId="2" fillId="0" borderId="124" xfId="0" applyNumberFormat="1" applyFont="1" applyFill="1" applyBorder="1" applyAlignment="1" applyProtection="1">
      <alignment horizontal="right"/>
      <protection locked="0"/>
    </xf>
    <xf numFmtId="49" fontId="3" fillId="0" borderId="124" xfId="0" applyNumberFormat="1" applyFont="1" applyFill="1" applyBorder="1" applyAlignment="1" applyProtection="1">
      <alignment horizontal="center"/>
    </xf>
    <xf numFmtId="0" fontId="3" fillId="0" borderId="124" xfId="0" applyFont="1" applyFill="1" applyBorder="1" applyProtection="1"/>
    <xf numFmtId="0" fontId="1" fillId="0" borderId="124" xfId="0" applyFont="1" applyFill="1" applyBorder="1" applyProtection="1"/>
    <xf numFmtId="3" fontId="5" fillId="21" borderId="221" xfId="6" applyNumberFormat="1" applyFont="1" applyFill="1" applyBorder="1" applyAlignment="1" applyProtection="1">
      <alignment horizontal="left" vertical="center" wrapText="1"/>
    </xf>
    <xf numFmtId="0" fontId="127" fillId="21" borderId="2" xfId="6" applyFont="1" applyFill="1" applyBorder="1" applyAlignment="1" applyProtection="1">
      <alignment horizontal="left"/>
    </xf>
    <xf numFmtId="49" fontId="100" fillId="21" borderId="22" xfId="0" applyNumberFormat="1" applyFont="1" applyFill="1" applyBorder="1" applyAlignment="1" applyProtection="1">
      <alignment horizontal="center"/>
    </xf>
    <xf numFmtId="0" fontId="100" fillId="21" borderId="24" xfId="0" applyFont="1" applyFill="1" applyBorder="1" applyAlignment="1" applyProtection="1">
      <alignment horizontal="center"/>
    </xf>
    <xf numFmtId="49" fontId="127" fillId="21" borderId="22" xfId="6" applyNumberFormat="1" applyFont="1" applyFill="1" applyBorder="1" applyAlignment="1" applyProtection="1">
      <alignment horizontal="center"/>
    </xf>
    <xf numFmtId="49" fontId="127" fillId="21" borderId="24" xfId="6" applyNumberFormat="1" applyFont="1" applyFill="1" applyBorder="1" applyAlignment="1" applyProtection="1">
      <alignment horizontal="center"/>
    </xf>
    <xf numFmtId="49" fontId="127" fillId="21" borderId="142" xfId="0" applyNumberFormat="1" applyFont="1" applyFill="1" applyBorder="1" applyAlignment="1" applyProtection="1">
      <alignment horizontal="center"/>
    </xf>
    <xf numFmtId="49" fontId="127" fillId="21" borderId="146" xfId="6" applyNumberFormat="1" applyFont="1" applyFill="1" applyBorder="1" applyAlignment="1" applyProtection="1">
      <alignment horizontal="center"/>
    </xf>
    <xf numFmtId="0" fontId="3" fillId="21" borderId="8" xfId="0" applyFont="1" applyFill="1" applyBorder="1" applyAlignment="1" applyProtection="1">
      <alignment horizontal="left" wrapText="1"/>
    </xf>
    <xf numFmtId="0" fontId="128" fillId="21" borderId="9" xfId="0" applyFont="1" applyFill="1" applyBorder="1" applyAlignment="1" applyProtection="1">
      <alignment horizontal="left"/>
    </xf>
    <xf numFmtId="0" fontId="127" fillId="21" borderId="5" xfId="0" applyFont="1" applyFill="1" applyBorder="1" applyAlignment="1" applyProtection="1">
      <alignment horizontal="left"/>
    </xf>
    <xf numFmtId="3" fontId="2" fillId="22" borderId="20" xfId="0" applyNumberFormat="1" applyFont="1" applyFill="1" applyBorder="1" applyProtection="1"/>
    <xf numFmtId="0" fontId="127" fillId="21" borderId="25" xfId="0" applyFont="1" applyFill="1" applyBorder="1" applyAlignment="1" applyProtection="1">
      <alignment horizontal="left"/>
    </xf>
    <xf numFmtId="3" fontId="2" fillId="9" borderId="182" xfId="0" applyNumberFormat="1" applyFont="1" applyFill="1" applyBorder="1" applyProtection="1"/>
    <xf numFmtId="3" fontId="2" fillId="21" borderId="32" xfId="0" applyNumberFormat="1" applyFont="1" applyFill="1" applyBorder="1" applyAlignment="1" applyProtection="1">
      <alignment horizontal="right"/>
    </xf>
    <xf numFmtId="0" fontId="7" fillId="21" borderId="79" xfId="0" applyFont="1" applyFill="1" applyBorder="1" applyAlignment="1" applyProtection="1">
      <alignment wrapText="1"/>
    </xf>
    <xf numFmtId="0" fontId="12" fillId="21" borderId="73" xfId="0" applyFont="1" applyFill="1" applyBorder="1" applyProtection="1"/>
    <xf numFmtId="3" fontId="2" fillId="0" borderId="19" xfId="0" applyNumberFormat="1" applyFont="1" applyFill="1" applyBorder="1" applyProtection="1">
      <protection locked="0"/>
    </xf>
    <xf numFmtId="3" fontId="2" fillId="0" borderId="26" xfId="0" applyNumberFormat="1" applyFont="1" applyFill="1" applyBorder="1" applyProtection="1">
      <protection locked="0"/>
    </xf>
    <xf numFmtId="0" fontId="61" fillId="21" borderId="27" xfId="0" applyFont="1" applyFill="1" applyBorder="1" applyAlignment="1">
      <alignment horizontal="right" wrapText="1"/>
    </xf>
    <xf numFmtId="3" fontId="2" fillId="2" borderId="83" xfId="0" applyNumberFormat="1" applyFont="1" applyFill="1" applyBorder="1" applyProtection="1">
      <protection locked="0"/>
    </xf>
    <xf numFmtId="0" fontId="116" fillId="21" borderId="27" xfId="0" applyFont="1" applyFill="1" applyBorder="1" applyAlignment="1" applyProtection="1"/>
    <xf numFmtId="0" fontId="0" fillId="21" borderId="0" xfId="0" applyFill="1" applyAlignment="1"/>
    <xf numFmtId="0" fontId="127" fillId="21" borderId="0" xfId="0" applyFont="1" applyFill="1" applyAlignment="1">
      <alignment wrapText="1"/>
    </xf>
    <xf numFmtId="0" fontId="127" fillId="21" borderId="217" xfId="0" applyFont="1" applyFill="1" applyBorder="1" applyAlignment="1">
      <alignment wrapText="1"/>
    </xf>
    <xf numFmtId="0" fontId="129" fillId="21" borderId="0" xfId="0" applyFont="1" applyFill="1" applyAlignment="1">
      <alignment vertical="top" wrapText="1"/>
    </xf>
    <xf numFmtId="0" fontId="129" fillId="21" borderId="0" xfId="0" applyFont="1" applyFill="1" applyAlignment="1">
      <alignment wrapText="1"/>
    </xf>
    <xf numFmtId="0" fontId="128" fillId="21" borderId="0" xfId="0" applyFont="1" applyFill="1" applyAlignment="1">
      <alignment wrapText="1"/>
    </xf>
    <xf numFmtId="0" fontId="109" fillId="21" borderId="0" xfId="0" applyFont="1" applyFill="1" applyBorder="1" applyAlignment="1" applyProtection="1">
      <alignment wrapText="1"/>
    </xf>
    <xf numFmtId="0" fontId="0" fillId="21" borderId="0" xfId="0" applyFill="1" applyAlignment="1">
      <alignment wrapText="1"/>
    </xf>
    <xf numFmtId="0" fontId="0" fillId="21" borderId="0" xfId="0" applyFill="1" applyAlignment="1">
      <alignment horizontal="left" vertical="top" wrapText="1"/>
    </xf>
    <xf numFmtId="0" fontId="127" fillId="21" borderId="39" xfId="0" applyFont="1" applyFill="1" applyBorder="1" applyAlignment="1">
      <alignment wrapText="1"/>
    </xf>
    <xf numFmtId="0" fontId="7" fillId="21" borderId="0" xfId="0" applyFont="1" applyFill="1" applyAlignment="1">
      <alignment wrapText="1"/>
    </xf>
    <xf numFmtId="0" fontId="34" fillId="0" borderId="0" xfId="0" quotePrefix="1" applyFont="1" applyFill="1" applyProtection="1"/>
    <xf numFmtId="0" fontId="99" fillId="0" borderId="0" xfId="0" applyFont="1" applyFill="1" applyAlignment="1" applyProtection="1">
      <alignment wrapText="1"/>
    </xf>
    <xf numFmtId="0" fontId="110" fillId="0" borderId="0" xfId="0" applyFont="1" applyFill="1" applyAlignment="1" applyProtection="1">
      <alignment vertical="top" wrapText="1"/>
    </xf>
    <xf numFmtId="1" fontId="109" fillId="0" borderId="58" xfId="0" applyNumberFormat="1" applyFont="1" applyFill="1" applyBorder="1" applyAlignment="1" applyProtection="1">
      <alignment horizontal="left"/>
    </xf>
    <xf numFmtId="0" fontId="109" fillId="0" borderId="0" xfId="0" applyNumberFormat="1" applyFont="1" applyFill="1" applyBorder="1" applyAlignment="1" applyProtection="1">
      <alignment horizontal="left" wrapText="1"/>
    </xf>
    <xf numFmtId="0" fontId="125" fillId="0" borderId="0" xfId="0" applyFont="1" applyFill="1" applyBorder="1" applyProtection="1"/>
    <xf numFmtId="3" fontId="34" fillId="0" borderId="56" xfId="6" quotePrefix="1" applyNumberFormat="1" applyFont="1" applyFill="1" applyBorder="1" applyAlignment="1" applyProtection="1">
      <alignment horizontal="left"/>
    </xf>
    <xf numFmtId="3" fontId="126" fillId="0" borderId="73" xfId="6" quotePrefix="1" applyNumberFormat="1" applyFont="1" applyFill="1" applyBorder="1" applyAlignment="1" applyProtection="1">
      <alignment horizontal="left"/>
    </xf>
    <xf numFmtId="3" fontId="126" fillId="0" borderId="75" xfId="6" quotePrefix="1" applyNumberFormat="1" applyFont="1" applyFill="1" applyBorder="1" applyAlignment="1" applyProtection="1">
      <alignment horizontal="left"/>
    </xf>
    <xf numFmtId="0" fontId="48" fillId="0" borderId="75" xfId="6" applyFont="1" applyFill="1" applyBorder="1" applyProtection="1"/>
    <xf numFmtId="0" fontId="48" fillId="0" borderId="123" xfId="6" applyFont="1" applyFill="1" applyBorder="1" applyProtection="1"/>
    <xf numFmtId="3" fontId="34" fillId="0" borderId="73" xfId="6" quotePrefix="1" applyNumberFormat="1" applyFont="1" applyFill="1" applyBorder="1" applyAlignment="1" applyProtection="1">
      <alignment horizontal="left"/>
    </xf>
    <xf numFmtId="0" fontId="36" fillId="0" borderId="75" xfId="6" applyFont="1" applyFill="1" applyBorder="1" applyProtection="1"/>
    <xf numFmtId="0" fontId="36" fillId="0" borderId="73" xfId="6" applyFont="1" applyFill="1" applyBorder="1" applyProtection="1"/>
    <xf numFmtId="3" fontId="34" fillId="0" borderId="77" xfId="6" quotePrefix="1" applyNumberFormat="1" applyFont="1" applyFill="1" applyBorder="1" applyAlignment="1" applyProtection="1">
      <alignment horizontal="left"/>
    </xf>
    <xf numFmtId="0" fontId="109" fillId="0" borderId="0" xfId="0" applyFont="1" applyFill="1" applyAlignment="1" applyProtection="1"/>
    <xf numFmtId="49" fontId="127" fillId="21" borderId="7" xfId="0" applyNumberFormat="1" applyFont="1" applyFill="1" applyBorder="1" applyAlignment="1" applyProtection="1">
      <alignment horizontal="center"/>
    </xf>
    <xf numFmtId="0" fontId="110" fillId="0" borderId="0" xfId="0" applyFont="1" applyFill="1" applyAlignment="1" applyProtection="1">
      <alignment horizontal="right" vertical="top" wrapText="1"/>
    </xf>
    <xf numFmtId="3" fontId="2" fillId="0" borderId="32" xfId="0" applyNumberFormat="1" applyFont="1" applyFill="1" applyBorder="1" applyProtection="1">
      <protection locked="0"/>
    </xf>
    <xf numFmtId="49" fontId="3" fillId="21" borderId="42" xfId="0" applyNumberFormat="1" applyFont="1" applyFill="1" applyBorder="1" applyAlignment="1" applyProtection="1">
      <alignment horizontal="center"/>
    </xf>
    <xf numFmtId="49" fontId="127" fillId="21" borderId="2" xfId="0" applyNumberFormat="1" applyFont="1" applyFill="1" applyBorder="1" applyAlignment="1" applyProtection="1">
      <alignment horizontal="center" vertical="top" wrapText="1"/>
    </xf>
    <xf numFmtId="0" fontId="3" fillId="21" borderId="60" xfId="6" applyFont="1" applyFill="1" applyBorder="1" applyAlignment="1" applyProtection="1">
      <alignment horizontal="left" wrapText="1"/>
    </xf>
    <xf numFmtId="0" fontId="134" fillId="0" borderId="0" xfId="0" applyFont="1" applyFill="1" applyBorder="1" applyAlignment="1" applyProtection="1">
      <alignment horizontal="left" vertical="top"/>
    </xf>
    <xf numFmtId="0" fontId="0" fillId="0" borderId="57" xfId="0" applyFill="1" applyBorder="1" applyAlignment="1"/>
    <xf numFmtId="0" fontId="0" fillId="0" borderId="0" xfId="0" applyFill="1" applyAlignment="1"/>
    <xf numFmtId="3" fontId="13" fillId="0" borderId="44" xfId="0" applyNumberFormat="1" applyFont="1" applyFill="1" applyBorder="1" applyAlignment="1" applyProtection="1">
      <alignment horizontal="right"/>
      <protection locked="0"/>
    </xf>
    <xf numFmtId="0" fontId="125" fillId="2" borderId="0" xfId="0" applyFont="1" applyFill="1" applyProtection="1"/>
    <xf numFmtId="0" fontId="13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3" fontId="109" fillId="0" borderId="0" xfId="0" applyNumberFormat="1" applyFont="1" applyFill="1" applyBorder="1" applyProtection="1"/>
    <xf numFmtId="0" fontId="34" fillId="0" borderId="0" xfId="0" applyFont="1" applyFill="1" applyAlignment="1" applyProtection="1">
      <alignment horizontal="left" vertical="top"/>
    </xf>
    <xf numFmtId="0" fontId="110" fillId="0" borderId="0" xfId="0" applyFont="1" applyFill="1" applyAlignment="1" applyProtection="1">
      <alignment horizontal="right"/>
    </xf>
    <xf numFmtId="0" fontId="110" fillId="0" borderId="0" xfId="0" applyFont="1" applyFill="1" applyAlignment="1" applyProtection="1">
      <alignment horizontal="left" vertical="top" wrapText="1"/>
    </xf>
    <xf numFmtId="3" fontId="5" fillId="21" borderId="15" xfId="6" applyNumberFormat="1" applyFont="1" applyFill="1" applyBorder="1" applyAlignment="1" applyProtection="1">
      <alignment horizontal="left"/>
    </xf>
    <xf numFmtId="3" fontId="5" fillId="21" borderId="15" xfId="6" applyNumberFormat="1" applyFont="1" applyFill="1" applyBorder="1" applyAlignment="1" applyProtection="1">
      <alignment horizontal="left" vertical="center"/>
    </xf>
    <xf numFmtId="3" fontId="128" fillId="21" borderId="15" xfId="6" applyNumberFormat="1" applyFont="1" applyFill="1" applyBorder="1" applyAlignment="1" applyProtection="1">
      <alignment horizontal="left" vertical="top" wrapText="1"/>
    </xf>
    <xf numFmtId="0" fontId="109" fillId="0" borderId="0" xfId="0" applyFont="1" applyFill="1" applyBorder="1" applyAlignment="1" applyProtection="1">
      <alignment vertical="top"/>
    </xf>
    <xf numFmtId="0" fontId="125" fillId="0" borderId="0" xfId="0" applyFont="1" applyFill="1" applyBorder="1" applyAlignment="1" applyProtection="1">
      <alignment vertical="top"/>
    </xf>
    <xf numFmtId="0" fontId="136" fillId="0" borderId="0" xfId="0" applyFont="1" applyAlignment="1">
      <alignment wrapText="1"/>
    </xf>
    <xf numFmtId="3" fontId="137" fillId="0" borderId="0" xfId="0" applyNumberFormat="1" applyFont="1" applyFill="1" applyBorder="1" applyProtection="1"/>
    <xf numFmtId="0" fontId="0" fillId="0" borderId="0" xfId="0" applyFill="1" applyBorder="1" applyAlignment="1">
      <alignment horizontal="left" wrapText="1"/>
    </xf>
    <xf numFmtId="3" fontId="2" fillId="34" borderId="5" xfId="0" applyNumberFormat="1" applyFont="1" applyFill="1" applyBorder="1" applyProtection="1">
      <protection locked="0"/>
    </xf>
    <xf numFmtId="3" fontId="2" fillId="34" borderId="19" xfId="0" applyNumberFormat="1" applyFont="1" applyFill="1" applyBorder="1" applyProtection="1">
      <protection locked="0"/>
    </xf>
    <xf numFmtId="1" fontId="3" fillId="21" borderId="2" xfId="0" applyNumberFormat="1" applyFont="1" applyFill="1" applyBorder="1" applyAlignment="1" applyProtection="1">
      <alignment horizontal="center" vertical="center" wrapText="1"/>
    </xf>
    <xf numFmtId="0" fontId="3" fillId="21" borderId="2" xfId="0" applyFont="1" applyFill="1" applyBorder="1" applyAlignment="1" applyProtection="1">
      <alignment horizontal="left" vertical="center" wrapText="1"/>
    </xf>
    <xf numFmtId="0" fontId="5" fillId="21" borderId="25" xfId="0" applyFont="1" applyFill="1" applyBorder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top" wrapText="1"/>
    </xf>
    <xf numFmtId="3" fontId="2" fillId="2" borderId="44" xfId="0" applyNumberFormat="1" applyFont="1" applyFill="1" applyBorder="1" applyAlignment="1" applyProtection="1">
      <alignment horizontal="right"/>
      <protection locked="0"/>
    </xf>
    <xf numFmtId="0" fontId="53" fillId="2" borderId="0" xfId="0" applyFont="1" applyFill="1" applyAlignment="1" applyProtection="1"/>
    <xf numFmtId="0" fontId="3" fillId="21" borderId="9" xfId="0" applyFont="1" applyFill="1" applyBorder="1" applyAlignment="1" applyProtection="1">
      <alignment horizontal="center" wrapText="1"/>
    </xf>
    <xf numFmtId="0" fontId="3" fillId="21" borderId="170" xfId="0" applyNumberFormat="1" applyFont="1" applyFill="1" applyBorder="1" applyAlignment="1" applyProtection="1">
      <alignment horizontal="center" vertical="top" wrapText="1"/>
    </xf>
    <xf numFmtId="49" fontId="115" fillId="21" borderId="5" xfId="0" applyNumberFormat="1" applyFont="1" applyFill="1" applyBorder="1" applyAlignment="1" applyProtection="1">
      <alignment horizontal="center"/>
    </xf>
    <xf numFmtId="49" fontId="3" fillId="21" borderId="98" xfId="0" applyNumberFormat="1" applyFont="1" applyFill="1" applyBorder="1" applyAlignment="1" applyProtection="1">
      <alignment horizontal="left"/>
    </xf>
    <xf numFmtId="49" fontId="3" fillId="21" borderId="116" xfId="0" applyNumberFormat="1" applyFont="1" applyFill="1" applyBorder="1" applyAlignment="1" applyProtection="1">
      <alignment horizontal="left"/>
    </xf>
    <xf numFmtId="49" fontId="3" fillId="21" borderId="12" xfId="0" applyNumberFormat="1" applyFont="1" applyFill="1" applyBorder="1" applyAlignment="1" applyProtection="1">
      <alignment horizontal="left" vertical="top" wrapText="1"/>
    </xf>
    <xf numFmtId="0" fontId="3" fillId="21" borderId="8" xfId="0" applyFont="1" applyFill="1" applyBorder="1" applyAlignment="1" applyProtection="1">
      <alignment vertical="top" wrapText="1"/>
    </xf>
    <xf numFmtId="2" fontId="3" fillId="21" borderId="173" xfId="0" applyNumberFormat="1" applyFont="1" applyFill="1" applyBorder="1" applyAlignment="1" applyProtection="1">
      <alignment horizontal="left"/>
    </xf>
    <xf numFmtId="49" fontId="3" fillId="21" borderId="222" xfId="0" applyNumberFormat="1" applyFont="1" applyFill="1" applyBorder="1" applyAlignment="1" applyProtection="1">
      <alignment horizontal="left"/>
    </xf>
    <xf numFmtId="0" fontId="49" fillId="21" borderId="64" xfId="0" applyFont="1" applyFill="1" applyBorder="1" applyProtection="1"/>
    <xf numFmtId="165" fontId="9" fillId="2" borderId="0" xfId="0" applyNumberFormat="1" applyFont="1" applyFill="1" applyBorder="1" applyAlignment="1" applyProtection="1">
      <alignment horizontal="center" vertical="center"/>
    </xf>
    <xf numFmtId="49" fontId="8" fillId="0" borderId="231" xfId="0" applyNumberFormat="1" applyFont="1" applyFill="1" applyBorder="1" applyAlignment="1" applyProtection="1">
      <alignment horizontal="center"/>
    </xf>
    <xf numFmtId="49" fontId="8" fillId="0" borderId="231" xfId="0" applyNumberFormat="1" applyFont="1" applyFill="1" applyBorder="1" applyAlignment="1" applyProtection="1">
      <alignment horizontal="left"/>
    </xf>
    <xf numFmtId="3" fontId="2" fillId="0" borderId="231" xfId="0" applyNumberFormat="1" applyFont="1" applyFill="1" applyBorder="1" applyAlignment="1" applyProtection="1">
      <alignment horizontal="right"/>
    </xf>
    <xf numFmtId="3" fontId="3" fillId="21" borderId="44" xfId="6" applyNumberFormat="1" applyFont="1" applyFill="1" applyBorder="1" applyAlignment="1" applyProtection="1"/>
    <xf numFmtId="3" fontId="3" fillId="21" borderId="44" xfId="6" applyNumberFormat="1" applyFont="1" applyFill="1" applyBorder="1" applyAlignment="1" applyProtection="1">
      <alignment vertical="top" wrapText="1"/>
    </xf>
    <xf numFmtId="3" fontId="2" fillId="27" borderId="35" xfId="0" applyNumberFormat="1" applyFont="1" applyFill="1" applyBorder="1" applyAlignment="1" applyProtection="1"/>
    <xf numFmtId="3" fontId="2" fillId="27" borderId="2" xfId="0" applyNumberFormat="1" applyFont="1" applyFill="1" applyBorder="1" applyAlignment="1" applyProtection="1"/>
    <xf numFmtId="3" fontId="2" fillId="27" borderId="5" xfId="0" applyNumberFormat="1" applyFont="1" applyFill="1" applyBorder="1" applyAlignment="1" applyProtection="1"/>
    <xf numFmtId="1" fontId="8" fillId="21" borderId="70" xfId="0" applyNumberFormat="1" applyFont="1" applyFill="1" applyBorder="1" applyAlignment="1" applyProtection="1">
      <alignment horizontal="center"/>
    </xf>
    <xf numFmtId="3" fontId="3" fillId="21" borderId="55" xfId="0" applyNumberFormat="1" applyFont="1" applyFill="1" applyBorder="1" applyAlignment="1" applyProtection="1"/>
    <xf numFmtId="3" fontId="3" fillId="21" borderId="12" xfId="0" applyNumberFormat="1" applyFont="1" applyFill="1" applyBorder="1" applyAlignment="1" applyProtection="1"/>
    <xf numFmtId="0" fontId="3" fillId="21" borderId="35" xfId="0" applyFont="1" applyFill="1" applyBorder="1" applyProtection="1"/>
    <xf numFmtId="49" fontId="7" fillId="0" borderId="0" xfId="0" applyNumberFormat="1" applyFont="1" applyFill="1" applyBorder="1" applyAlignment="1" applyProtection="1">
      <alignment horizontal="center"/>
    </xf>
    <xf numFmtId="0" fontId="3" fillId="21" borderId="84" xfId="0" applyFont="1" applyFill="1" applyBorder="1" applyProtection="1"/>
    <xf numFmtId="49" fontId="3" fillId="21" borderId="124" xfId="0" applyNumberFormat="1" applyFont="1" applyFill="1" applyBorder="1" applyAlignment="1" applyProtection="1">
      <alignment horizontal="left"/>
    </xf>
    <xf numFmtId="0" fontId="14" fillId="21" borderId="124" xfId="0" applyFont="1" applyFill="1" applyBorder="1" applyProtection="1"/>
    <xf numFmtId="49" fontId="3" fillId="21" borderId="1" xfId="0" applyNumberFormat="1" applyFont="1" applyFill="1" applyBorder="1" applyAlignment="1" applyProtection="1">
      <alignment horizontal="left"/>
    </xf>
    <xf numFmtId="0" fontId="8" fillId="21" borderId="35" xfId="0" applyFont="1" applyFill="1" applyBorder="1" applyProtection="1"/>
    <xf numFmtId="49" fontId="3" fillId="21" borderId="12" xfId="0" applyNumberFormat="1" applyFont="1" applyFill="1" applyBorder="1" applyAlignment="1" applyProtection="1">
      <alignment horizontal="right" vertical="center" wrapText="1"/>
    </xf>
    <xf numFmtId="0" fontId="3" fillId="21" borderId="8" xfId="0" applyFont="1" applyFill="1" applyBorder="1" applyAlignment="1" applyProtection="1">
      <alignment horizontal="left" vertical="top" wrapText="1"/>
    </xf>
    <xf numFmtId="0" fontId="53" fillId="0" borderId="0" xfId="0" applyFont="1" applyFill="1" applyAlignment="1" applyProtection="1">
      <alignment vertical="top"/>
    </xf>
    <xf numFmtId="1" fontId="5" fillId="0" borderId="0" xfId="0" applyNumberFormat="1" applyFont="1" applyFill="1" applyBorder="1" applyAlignment="1" applyProtection="1">
      <alignment horizontal="left" wrapText="1"/>
    </xf>
    <xf numFmtId="1" fontId="3" fillId="0" borderId="0" xfId="0" applyNumberFormat="1" applyFont="1" applyFill="1" applyBorder="1" applyAlignment="1" applyProtection="1">
      <alignment horizontal="center" wrapText="1"/>
    </xf>
    <xf numFmtId="0" fontId="109" fillId="0" borderId="0" xfId="0" applyNumberFormat="1" applyFont="1" applyFill="1" applyAlignment="1" applyProtection="1"/>
    <xf numFmtId="3" fontId="109" fillId="0" borderId="0" xfId="0" applyNumberFormat="1" applyFont="1" applyFill="1" applyBorder="1" applyAlignment="1" applyProtection="1">
      <alignment horizontal="left" wrapText="1"/>
    </xf>
    <xf numFmtId="1" fontId="3" fillId="21" borderId="42" xfId="0" applyNumberFormat="1" applyFont="1" applyFill="1" applyBorder="1" applyAlignment="1" applyProtection="1">
      <alignment horizontal="left" vertical="top" wrapText="1"/>
    </xf>
    <xf numFmtId="1" fontId="15" fillId="21" borderId="118" xfId="0" applyNumberFormat="1" applyFont="1" applyFill="1" applyBorder="1" applyAlignment="1" applyProtection="1">
      <alignment horizontal="center"/>
    </xf>
    <xf numFmtId="0" fontId="15" fillId="21" borderId="118" xfId="0" applyFont="1" applyFill="1" applyBorder="1" applyAlignment="1" applyProtection="1">
      <alignment horizontal="center"/>
    </xf>
    <xf numFmtId="49" fontId="3" fillId="21" borderId="5" xfId="0" applyNumberFormat="1" applyFont="1" applyFill="1" applyBorder="1" applyAlignment="1" applyProtection="1">
      <alignment horizontal="left"/>
    </xf>
    <xf numFmtId="0" fontId="15" fillId="21" borderId="72" xfId="0" applyFont="1" applyFill="1" applyBorder="1" applyAlignment="1" applyProtection="1">
      <alignment horizontal="center" vertical="center"/>
    </xf>
    <xf numFmtId="0" fontId="15" fillId="21" borderId="192" xfId="0" applyFont="1" applyFill="1" applyBorder="1" applyAlignment="1" applyProtection="1">
      <alignment horizontal="center" vertical="center" wrapText="1"/>
    </xf>
    <xf numFmtId="168" fontId="3" fillId="21" borderId="62" xfId="6" applyNumberFormat="1" applyFont="1" applyFill="1" applyBorder="1" applyAlignment="1" applyProtection="1">
      <alignment vertical="top"/>
    </xf>
    <xf numFmtId="168" fontId="3" fillId="21" borderId="178" xfId="0" applyNumberFormat="1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vertical="top" wrapText="1"/>
      <protection locked="0"/>
    </xf>
    <xf numFmtId="3" fontId="13" fillId="21" borderId="69" xfId="0" applyNumberFormat="1" applyFont="1" applyFill="1" applyBorder="1" applyAlignment="1" applyProtection="1">
      <alignment horizontal="right"/>
    </xf>
    <xf numFmtId="0" fontId="3" fillId="21" borderId="190" xfId="0" applyFont="1" applyFill="1" applyBorder="1" applyAlignment="1" applyProtection="1">
      <alignment horizontal="left"/>
    </xf>
    <xf numFmtId="49" fontId="3" fillId="21" borderId="7" xfId="0" applyNumberFormat="1" applyFont="1" applyFill="1" applyBorder="1" applyAlignment="1" applyProtection="1">
      <alignment horizontal="center"/>
    </xf>
    <xf numFmtId="0" fontId="3" fillId="21" borderId="8" xfId="0" applyFont="1" applyFill="1" applyBorder="1" applyAlignment="1" applyProtection="1">
      <alignment horizontal="left"/>
    </xf>
    <xf numFmtId="49" fontId="3" fillId="21" borderId="76" xfId="0" applyNumberFormat="1" applyFont="1" applyFill="1" applyBorder="1" applyAlignment="1" applyProtection="1">
      <alignment wrapText="1"/>
    </xf>
    <xf numFmtId="49" fontId="3" fillId="21" borderId="11" xfId="0" applyNumberFormat="1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center"/>
    </xf>
    <xf numFmtId="49" fontId="3" fillId="21" borderId="4" xfId="0" applyNumberFormat="1" applyFont="1" applyFill="1" applyBorder="1" applyAlignment="1" applyProtection="1">
      <alignment horizontal="center"/>
    </xf>
    <xf numFmtId="3" fontId="2" fillId="2" borderId="4" xfId="0" applyNumberFormat="1" applyFont="1" applyFill="1" applyBorder="1" applyAlignment="1" applyProtection="1">
      <alignment horizontal="right"/>
      <protection locked="0"/>
    </xf>
    <xf numFmtId="49" fontId="8" fillId="21" borderId="199" xfId="0" applyNumberFormat="1" applyFont="1" applyFill="1" applyBorder="1" applyAlignment="1" applyProtection="1">
      <alignment horizontal="center"/>
    </xf>
    <xf numFmtId="49" fontId="8" fillId="21" borderId="200" xfId="0" applyNumberFormat="1" applyFont="1" applyFill="1" applyBorder="1" applyAlignment="1" applyProtection="1">
      <alignment horizontal="left"/>
    </xf>
    <xf numFmtId="3" fontId="2" fillId="2" borderId="198" xfId="0" applyNumberFormat="1" applyFont="1" applyFill="1" applyBorder="1" applyAlignment="1" applyProtection="1">
      <alignment horizontal="right"/>
      <protection locked="0"/>
    </xf>
    <xf numFmtId="3" fontId="2" fillId="2" borderId="150" xfId="0" applyNumberFormat="1" applyFont="1" applyFill="1" applyBorder="1" applyAlignment="1" applyProtection="1">
      <alignment horizontal="right"/>
      <protection locked="0"/>
    </xf>
    <xf numFmtId="3" fontId="2" fillId="21" borderId="194" xfId="0" applyNumberFormat="1" applyFont="1" applyFill="1" applyBorder="1" applyAlignment="1" applyProtection="1">
      <alignment horizontal="right"/>
    </xf>
    <xf numFmtId="0" fontId="109" fillId="2" borderId="0" xfId="0" applyFont="1" applyFill="1" applyAlignment="1" applyProtection="1">
      <alignment wrapText="1"/>
    </xf>
    <xf numFmtId="167" fontId="109" fillId="0" borderId="0" xfId="0" applyNumberFormat="1" applyFont="1" applyFill="1" applyAlignment="1" applyProtection="1"/>
    <xf numFmtId="0" fontId="44" fillId="0" borderId="0" xfId="0" applyNumberFormat="1" applyFont="1" applyFill="1" applyBorder="1" applyAlignment="1" applyProtection="1">
      <alignment horizontal="right"/>
    </xf>
    <xf numFmtId="3" fontId="34" fillId="0" borderId="126" xfId="0" applyNumberFormat="1" applyFont="1" applyFill="1" applyBorder="1" applyProtection="1"/>
    <xf numFmtId="0" fontId="5" fillId="21" borderId="24" xfId="0" applyFont="1" applyFill="1" applyBorder="1" applyAlignment="1" applyProtection="1">
      <alignment vertical="top"/>
    </xf>
    <xf numFmtId="1" fontId="3" fillId="21" borderId="70" xfId="0" applyNumberFormat="1" applyFont="1" applyFill="1" applyBorder="1" applyAlignment="1" applyProtection="1">
      <alignment horizontal="center"/>
    </xf>
    <xf numFmtId="0" fontId="3" fillId="21" borderId="8" xfId="0" applyFont="1" applyFill="1" applyBorder="1" applyAlignment="1" applyProtection="1">
      <alignment horizontal="center" wrapText="1"/>
    </xf>
    <xf numFmtId="0" fontId="3" fillId="21" borderId="55" xfId="0" applyFont="1" applyFill="1" applyBorder="1" applyAlignment="1" applyProtection="1">
      <alignment horizontal="center" wrapText="1"/>
    </xf>
    <xf numFmtId="1" fontId="3" fillId="21" borderId="25" xfId="0" applyNumberFormat="1" applyFont="1" applyFill="1" applyBorder="1" applyAlignment="1" applyProtection="1">
      <alignment horizontal="center" wrapText="1"/>
    </xf>
    <xf numFmtId="1" fontId="3" fillId="0" borderId="0" xfId="0" applyNumberFormat="1" applyFont="1" applyFill="1" applyBorder="1" applyAlignment="1" applyProtection="1">
      <alignment horizontal="center" wrapText="1"/>
    </xf>
    <xf numFmtId="1" fontId="3" fillId="21" borderId="82" xfId="0" applyNumberFormat="1" applyFont="1" applyFill="1" applyBorder="1" applyAlignment="1" applyProtection="1">
      <alignment horizontal="center" wrapText="1"/>
    </xf>
    <xf numFmtId="3" fontId="13" fillId="0" borderId="231" xfId="0" applyNumberFormat="1" applyFont="1" applyFill="1" applyBorder="1" applyAlignment="1" applyProtection="1">
      <alignment horizontal="right"/>
    </xf>
    <xf numFmtId="0" fontId="3" fillId="0" borderId="229" xfId="0" applyFont="1" applyFill="1" applyBorder="1" applyAlignment="1" applyProtection="1">
      <alignment horizontal="center"/>
    </xf>
    <xf numFmtId="1" fontId="3" fillId="0" borderId="229" xfId="0" applyNumberFormat="1" applyFont="1" applyFill="1" applyBorder="1" applyAlignment="1" applyProtection="1">
      <alignment horizontal="center" wrapText="1"/>
    </xf>
    <xf numFmtId="1" fontId="3" fillId="0" borderId="229" xfId="0" applyNumberFormat="1" applyFont="1" applyFill="1" applyBorder="1" applyAlignment="1" applyProtection="1">
      <alignment horizontal="left"/>
    </xf>
    <xf numFmtId="0" fontId="3" fillId="0" borderId="231" xfId="0" applyFont="1" applyFill="1" applyBorder="1" applyAlignment="1" applyProtection="1">
      <alignment horizontal="center"/>
    </xf>
    <xf numFmtId="1" fontId="3" fillId="0" borderId="231" xfId="0" applyNumberFormat="1" applyFont="1" applyFill="1" applyBorder="1" applyAlignment="1" applyProtection="1">
      <alignment horizontal="center" wrapText="1"/>
    </xf>
    <xf numFmtId="1" fontId="3" fillId="0" borderId="231" xfId="0" applyNumberFormat="1" applyFont="1" applyFill="1" applyBorder="1" applyAlignment="1" applyProtection="1">
      <alignment horizontal="left"/>
    </xf>
    <xf numFmtId="0" fontId="3" fillId="21" borderId="82" xfId="0" applyFont="1" applyFill="1" applyBorder="1" applyAlignment="1" applyProtection="1">
      <alignment horizontal="left" wrapText="1"/>
    </xf>
    <xf numFmtId="0" fontId="3" fillId="21" borderId="21" xfId="0" applyNumberFormat="1" applyFont="1" applyFill="1" applyBorder="1" applyAlignment="1" applyProtection="1">
      <alignment horizontal="center"/>
    </xf>
    <xf numFmtId="0" fontId="3" fillId="21" borderId="2" xfId="0" applyNumberFormat="1" applyFont="1" applyFill="1" applyBorder="1" applyAlignment="1" applyProtection="1">
      <alignment horizontal="center"/>
    </xf>
    <xf numFmtId="0" fontId="5" fillId="21" borderId="15" xfId="0" applyNumberFormat="1" applyFont="1" applyFill="1" applyBorder="1" applyAlignment="1" applyProtection="1">
      <alignment horizontal="center"/>
    </xf>
    <xf numFmtId="0" fontId="3" fillId="21" borderId="5" xfId="0" applyNumberFormat="1" applyFont="1" applyFill="1" applyBorder="1" applyAlignment="1" applyProtection="1">
      <alignment horizontal="center"/>
    </xf>
    <xf numFmtId="0" fontId="8" fillId="21" borderId="2" xfId="0" applyNumberFormat="1" applyFont="1" applyFill="1" applyBorder="1" applyAlignment="1" applyProtection="1">
      <alignment horizontal="center"/>
    </xf>
    <xf numFmtId="0" fontId="14" fillId="21" borderId="2" xfId="0" applyNumberFormat="1" applyFont="1" applyFill="1" applyBorder="1" applyAlignment="1" applyProtection="1">
      <alignment horizontal="center"/>
    </xf>
    <xf numFmtId="0" fontId="3" fillId="21" borderId="129" xfId="0" applyNumberFormat="1" applyFont="1" applyFill="1" applyBorder="1" applyAlignment="1" applyProtection="1">
      <alignment horizontal="center"/>
    </xf>
    <xf numFmtId="0" fontId="14" fillId="21" borderId="13" xfId="0" applyNumberFormat="1" applyFont="1" applyFill="1" applyBorder="1" applyAlignment="1" applyProtection="1">
      <alignment horizontal="center"/>
    </xf>
    <xf numFmtId="0" fontId="3" fillId="21" borderId="127" xfId="0" applyNumberFormat="1" applyFont="1" applyFill="1" applyBorder="1" applyAlignment="1" applyProtection="1">
      <alignment horizontal="center"/>
    </xf>
    <xf numFmtId="0" fontId="3" fillId="21" borderId="13" xfId="0" applyNumberFormat="1" applyFont="1" applyFill="1" applyBorder="1" applyAlignment="1" applyProtection="1">
      <alignment horizontal="center"/>
    </xf>
    <xf numFmtId="0" fontId="8" fillId="21" borderId="98" xfId="0" applyNumberFormat="1" applyFont="1" applyFill="1" applyBorder="1" applyAlignment="1" applyProtection="1">
      <alignment horizontal="center"/>
    </xf>
    <xf numFmtId="0" fontId="8" fillId="21" borderId="118" xfId="0" applyNumberFormat="1" applyFont="1" applyFill="1" applyBorder="1" applyAlignment="1" applyProtection="1">
      <alignment horizontal="center"/>
    </xf>
    <xf numFmtId="0" fontId="5" fillId="21" borderId="21" xfId="0" applyNumberFormat="1" applyFont="1" applyFill="1" applyBorder="1" applyAlignment="1" applyProtection="1">
      <alignment horizontal="center"/>
    </xf>
    <xf numFmtId="0" fontId="3" fillId="21" borderId="24" xfId="0" applyNumberFormat="1" applyFont="1" applyFill="1" applyBorder="1" applyAlignment="1" applyProtection="1">
      <alignment horizontal="center"/>
    </xf>
    <xf numFmtId="0" fontId="3" fillId="21" borderId="146" xfId="0" applyNumberFormat="1" applyFont="1" applyFill="1" applyBorder="1" applyAlignment="1" applyProtection="1">
      <alignment horizontal="center"/>
    </xf>
    <xf numFmtId="0" fontId="3" fillId="21" borderId="22" xfId="0" applyNumberFormat="1" applyFont="1" applyFill="1" applyBorder="1" applyAlignment="1" applyProtection="1">
      <alignment horizontal="center"/>
    </xf>
    <xf numFmtId="0" fontId="8" fillId="21" borderId="36" xfId="0" applyNumberFormat="1" applyFont="1" applyFill="1" applyBorder="1" applyAlignment="1" applyProtection="1">
      <alignment horizontal="center"/>
    </xf>
    <xf numFmtId="0" fontId="8" fillId="21" borderId="127" xfId="0" applyNumberFormat="1" applyFont="1" applyFill="1" applyBorder="1" applyAlignment="1" applyProtection="1">
      <alignment horizontal="center"/>
    </xf>
    <xf numFmtId="0" fontId="116" fillId="21" borderId="127" xfId="0" applyNumberFormat="1" applyFont="1" applyFill="1" applyBorder="1" applyAlignment="1" applyProtection="1">
      <alignment horizontal="center"/>
    </xf>
    <xf numFmtId="0" fontId="8" fillId="21" borderId="37" xfId="0" applyNumberFormat="1" applyFont="1" applyFill="1" applyBorder="1" applyAlignment="1" applyProtection="1">
      <alignment horizontal="center"/>
    </xf>
    <xf numFmtId="0" fontId="11" fillId="21" borderId="58" xfId="0" applyNumberFormat="1" applyFont="1" applyFill="1" applyBorder="1" applyProtection="1"/>
    <xf numFmtId="0" fontId="3" fillId="21" borderId="131" xfId="0" applyNumberFormat="1" applyFont="1" applyFill="1" applyBorder="1" applyAlignment="1" applyProtection="1">
      <alignment horizontal="center"/>
    </xf>
    <xf numFmtId="0" fontId="8" fillId="21" borderId="130" xfId="0" applyNumberFormat="1" applyFont="1" applyFill="1" applyBorder="1" applyAlignment="1" applyProtection="1">
      <alignment horizontal="center"/>
    </xf>
    <xf numFmtId="0" fontId="104" fillId="21" borderId="21" xfId="0" applyNumberFormat="1" applyFont="1" applyFill="1" applyBorder="1" applyAlignment="1" applyProtection="1">
      <alignment horizontal="center"/>
    </xf>
    <xf numFmtId="49" fontId="3" fillId="21" borderId="24" xfId="6" applyNumberFormat="1" applyFont="1" applyFill="1" applyBorder="1" applyAlignment="1" applyProtection="1">
      <alignment horizontal="center"/>
    </xf>
    <xf numFmtId="3" fontId="109" fillId="2" borderId="0" xfId="0" applyNumberFormat="1" applyFont="1" applyFill="1" applyBorder="1" applyAlignment="1" applyProtection="1">
      <alignment horizontal="left"/>
      <protection locked="0"/>
    </xf>
    <xf numFmtId="166" fontId="2" fillId="21" borderId="52" xfId="0" applyNumberFormat="1" applyFont="1" applyFill="1" applyBorder="1" applyProtection="1"/>
    <xf numFmtId="166" fontId="2" fillId="21" borderId="59" xfId="0" applyNumberFormat="1" applyFont="1" applyFill="1" applyBorder="1" applyProtection="1"/>
    <xf numFmtId="3" fontId="13" fillId="2" borderId="229" xfId="0" applyNumberFormat="1" applyFont="1" applyFill="1" applyBorder="1" applyAlignment="1" applyProtection="1">
      <alignment horizontal="right"/>
    </xf>
    <xf numFmtId="3" fontId="13" fillId="21" borderId="26" xfId="0" applyNumberFormat="1" applyFont="1" applyFill="1" applyBorder="1" applyAlignment="1" applyProtection="1">
      <alignment horizontal="right"/>
      <protection locked="0"/>
    </xf>
    <xf numFmtId="49" fontId="8" fillId="21" borderId="171" xfId="0" applyNumberFormat="1" applyFont="1" applyFill="1" applyBorder="1" applyAlignment="1" applyProtection="1">
      <alignment horizontal="center"/>
    </xf>
    <xf numFmtId="49" fontId="3" fillId="21" borderId="136" xfId="0" applyNumberFormat="1" applyFont="1" applyFill="1" applyBorder="1" applyAlignment="1" applyProtection="1">
      <alignment horizontal="center" wrapText="1"/>
    </xf>
    <xf numFmtId="49" fontId="8" fillId="21" borderId="136" xfId="0" applyNumberFormat="1" applyFont="1" applyFill="1" applyBorder="1" applyAlignment="1" applyProtection="1">
      <alignment horizontal="left"/>
    </xf>
    <xf numFmtId="49" fontId="8" fillId="21" borderId="4" xfId="0" applyNumberFormat="1" applyFont="1" applyFill="1" applyBorder="1" applyAlignment="1" applyProtection="1">
      <alignment horizontal="center"/>
    </xf>
    <xf numFmtId="49" fontId="8" fillId="21" borderId="2" xfId="0" applyNumberFormat="1" applyFont="1" applyFill="1" applyBorder="1" applyAlignment="1" applyProtection="1">
      <alignment horizontal="left"/>
    </xf>
    <xf numFmtId="49" fontId="8" fillId="0" borderId="206" xfId="0" applyNumberFormat="1" applyFont="1" applyFill="1" applyBorder="1" applyAlignment="1" applyProtection="1">
      <alignment horizontal="left"/>
    </xf>
    <xf numFmtId="3" fontId="109" fillId="0" borderId="0" xfId="0" applyNumberFormat="1" applyFont="1" applyFill="1" applyBorder="1" applyProtection="1">
      <protection locked="0"/>
    </xf>
    <xf numFmtId="3" fontId="2" fillId="2" borderId="208" xfId="0" applyNumberFormat="1" applyFont="1" applyFill="1" applyBorder="1" applyAlignment="1" applyProtection="1">
      <alignment horizontal="right"/>
      <protection locked="0"/>
    </xf>
    <xf numFmtId="3" fontId="2" fillId="0" borderId="208" xfId="0" applyNumberFormat="1" applyFont="1" applyFill="1" applyBorder="1" applyProtection="1">
      <protection locked="0"/>
    </xf>
    <xf numFmtId="3" fontId="2" fillId="21" borderId="58" xfId="0" applyNumberFormat="1" applyFont="1" applyFill="1" applyBorder="1" applyAlignment="1" applyProtection="1">
      <alignment horizontal="right"/>
      <protection locked="0"/>
    </xf>
    <xf numFmtId="3" fontId="2" fillId="21" borderId="57" xfId="0" applyNumberFormat="1" applyFont="1" applyFill="1" applyBorder="1" applyAlignment="1" applyProtection="1">
      <alignment horizontal="right"/>
      <protection locked="0"/>
    </xf>
    <xf numFmtId="0" fontId="34" fillId="0" borderId="0" xfId="0" applyFont="1" applyFill="1" applyAlignment="1" applyProtection="1">
      <alignment vertical="top"/>
    </xf>
    <xf numFmtId="0" fontId="109" fillId="0" borderId="0" xfId="0" applyFont="1" applyFill="1" applyBorder="1" applyAlignment="1" applyProtection="1"/>
    <xf numFmtId="3" fontId="43" fillId="22" borderId="127" xfId="0" applyNumberFormat="1" applyFont="1" applyFill="1" applyBorder="1" applyAlignment="1" applyProtection="1"/>
    <xf numFmtId="3" fontId="43" fillId="22" borderId="60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left" vertical="center"/>
    </xf>
    <xf numFmtId="0" fontId="109" fillId="0" borderId="0" xfId="0" applyNumberFormat="1" applyFont="1" applyFill="1" applyBorder="1" applyAlignment="1" applyProtection="1">
      <alignment vertical="top" wrapText="1"/>
    </xf>
    <xf numFmtId="0" fontId="109" fillId="0" borderId="0" xfId="0" applyNumberFormat="1" applyFont="1" applyFill="1" applyBorder="1" applyAlignment="1" applyProtection="1">
      <alignment wrapText="1"/>
    </xf>
    <xf numFmtId="3" fontId="10" fillId="0" borderId="7" xfId="0" applyNumberFormat="1" applyFont="1" applyFill="1" applyBorder="1" applyAlignment="1" applyProtection="1">
      <alignment horizontal="right"/>
      <protection locked="0"/>
    </xf>
    <xf numFmtId="0" fontId="140" fillId="0" borderId="0" xfId="0" applyFont="1" applyFill="1" applyBorder="1" applyProtection="1"/>
    <xf numFmtId="3" fontId="109" fillId="0" borderId="0" xfId="0" applyNumberFormat="1" applyFont="1" applyFill="1" applyBorder="1" applyAlignment="1" applyProtection="1">
      <alignment horizontal="left" vertical="top" wrapText="1"/>
    </xf>
    <xf numFmtId="3" fontId="2" fillId="21" borderId="18" xfId="0" applyNumberFormat="1" applyFont="1" applyFill="1" applyBorder="1" applyAlignment="1" applyProtection="1">
      <alignment horizontal="right"/>
    </xf>
    <xf numFmtId="3" fontId="2" fillId="0" borderId="71" xfId="0" applyNumberFormat="1" applyFont="1" applyFill="1" applyBorder="1" applyProtection="1">
      <protection locked="0"/>
    </xf>
    <xf numFmtId="0" fontId="3" fillId="21" borderId="37" xfId="0" applyFont="1" applyFill="1" applyBorder="1" applyAlignment="1" applyProtection="1">
      <alignment horizontal="center"/>
    </xf>
    <xf numFmtId="0" fontId="3" fillId="21" borderId="91" xfId="0" applyFont="1" applyFill="1" applyBorder="1" applyAlignment="1" applyProtection="1">
      <alignment horizontal="left" vertical="top" wrapText="1"/>
    </xf>
    <xf numFmtId="3" fontId="3" fillId="21" borderId="25" xfId="0" applyNumberFormat="1" applyFont="1" applyFill="1" applyBorder="1" applyProtection="1"/>
    <xf numFmtId="0" fontId="3" fillId="21" borderId="135" xfId="0" applyFont="1" applyFill="1" applyBorder="1" applyAlignment="1" applyProtection="1">
      <alignment horizontal="left" vertical="top" wrapText="1"/>
    </xf>
    <xf numFmtId="0" fontId="3" fillId="21" borderId="130" xfId="0" applyFont="1" applyFill="1" applyBorder="1" applyAlignment="1" applyProtection="1">
      <alignment horizontal="left" vertical="top" wrapText="1"/>
    </xf>
    <xf numFmtId="3" fontId="3" fillId="21" borderId="192" xfId="0" applyNumberFormat="1" applyFont="1" applyFill="1" applyBorder="1" applyAlignment="1" applyProtection="1">
      <alignment vertical="top" wrapText="1"/>
    </xf>
    <xf numFmtId="0" fontId="3" fillId="21" borderId="170" xfId="6" applyFont="1" applyFill="1" applyBorder="1" applyAlignment="1" applyProtection="1">
      <alignment vertical="top" wrapText="1"/>
    </xf>
    <xf numFmtId="0" fontId="0" fillId="21" borderId="0" xfId="0" applyFill="1" applyAlignment="1">
      <alignment wrapText="1"/>
    </xf>
    <xf numFmtId="3" fontId="13" fillId="35" borderId="5" xfId="0" applyNumberFormat="1" applyFont="1" applyFill="1" applyBorder="1" applyAlignment="1" applyProtection="1">
      <alignment horizontal="right"/>
      <protection locked="0"/>
    </xf>
    <xf numFmtId="3" fontId="13" fillId="35" borderId="3" xfId="0" applyNumberFormat="1" applyFont="1" applyFill="1" applyBorder="1" applyAlignment="1" applyProtection="1">
      <alignment horizontal="right"/>
      <protection locked="0"/>
    </xf>
    <xf numFmtId="3" fontId="13" fillId="35" borderId="29" xfId="0" applyNumberFormat="1" applyFont="1" applyFill="1" applyBorder="1" applyAlignment="1" applyProtection="1">
      <alignment horizontal="right"/>
      <protection locked="0"/>
    </xf>
    <xf numFmtId="0" fontId="0" fillId="21" borderId="67" xfId="0" applyFill="1" applyBorder="1"/>
    <xf numFmtId="0" fontId="74" fillId="21" borderId="27" xfId="0" applyFont="1" applyFill="1" applyBorder="1" applyAlignment="1">
      <alignment horizontal="left" wrapText="1"/>
    </xf>
    <xf numFmtId="0" fontId="75" fillId="21" borderId="0" xfId="0" applyFont="1" applyFill="1" applyBorder="1" applyAlignment="1">
      <alignment horizontal="right" wrapText="1"/>
    </xf>
    <xf numFmtId="0" fontId="73" fillId="21" borderId="0" xfId="0" applyFont="1" applyFill="1" applyBorder="1" applyAlignment="1">
      <alignment wrapText="1"/>
    </xf>
    <xf numFmtId="0" fontId="0" fillId="21" borderId="0" xfId="0" applyFill="1" applyBorder="1"/>
    <xf numFmtId="0" fontId="70" fillId="21" borderId="27" xfId="0" applyFont="1" applyFill="1" applyBorder="1" applyAlignment="1">
      <alignment horizontal="right" wrapText="1"/>
    </xf>
    <xf numFmtId="49" fontId="75" fillId="21" borderId="0" xfId="0" applyNumberFormat="1" applyFont="1" applyFill="1" applyBorder="1" applyAlignment="1">
      <alignment horizontal="right" wrapText="1"/>
    </xf>
    <xf numFmtId="3" fontId="141" fillId="21" borderId="0" xfId="0" applyNumberFormat="1" applyFont="1" applyFill="1" applyBorder="1" applyAlignment="1" applyProtection="1">
      <alignment horizontal="right"/>
    </xf>
    <xf numFmtId="3" fontId="15" fillId="21" borderId="0" xfId="0" applyNumberFormat="1" applyFont="1" applyFill="1" applyBorder="1" applyAlignment="1" applyProtection="1">
      <alignment horizontal="right"/>
    </xf>
    <xf numFmtId="0" fontId="0" fillId="21" borderId="0" xfId="0" applyFill="1"/>
    <xf numFmtId="0" fontId="142" fillId="21" borderId="0" xfId="0" applyFont="1" applyFill="1"/>
    <xf numFmtId="2" fontId="72" fillId="21" borderId="27" xfId="5" applyNumberFormat="1" applyFill="1" applyBorder="1" applyAlignment="1" applyProtection="1">
      <alignment horizontal="left"/>
    </xf>
    <xf numFmtId="0" fontId="0" fillId="21" borderId="111" xfId="0" applyFill="1" applyBorder="1"/>
    <xf numFmtId="0" fontId="0" fillId="21" borderId="1" xfId="0" applyFill="1" applyBorder="1"/>
    <xf numFmtId="0" fontId="0" fillId="35" borderId="0" xfId="0" applyFill="1"/>
    <xf numFmtId="3" fontId="10" fillId="36" borderId="52" xfId="0" applyNumberFormat="1" applyFont="1" applyFill="1" applyBorder="1" applyAlignment="1" applyProtection="1">
      <alignment horizontal="right"/>
      <protection locked="0"/>
    </xf>
    <xf numFmtId="3" fontId="10" fillId="36" borderId="10" xfId="0" applyNumberFormat="1" applyFont="1" applyFill="1" applyBorder="1" applyAlignment="1" applyProtection="1">
      <alignment horizontal="right"/>
      <protection locked="0"/>
    </xf>
    <xf numFmtId="0" fontId="5" fillId="21" borderId="95" xfId="0" applyFont="1" applyFill="1" applyBorder="1" applyAlignment="1" applyProtection="1">
      <alignment horizontal="center"/>
    </xf>
    <xf numFmtId="0" fontId="5" fillId="21" borderId="56" xfId="0" applyFont="1" applyFill="1" applyBorder="1" applyAlignment="1" applyProtection="1">
      <alignment horizontal="center"/>
    </xf>
    <xf numFmtId="0" fontId="5" fillId="21" borderId="147" xfId="0" applyFont="1" applyFill="1" applyBorder="1" applyAlignment="1" applyProtection="1">
      <alignment horizontal="right"/>
    </xf>
    <xf numFmtId="3" fontId="2" fillId="21" borderId="233" xfId="0" applyNumberFormat="1" applyFont="1" applyFill="1" applyBorder="1" applyAlignment="1" applyProtection="1">
      <alignment horizontal="right"/>
    </xf>
    <xf numFmtId="3" fontId="2" fillId="21" borderId="95" xfId="0" applyNumberFormat="1" applyFont="1" applyFill="1" applyBorder="1" applyAlignment="1" applyProtection="1">
      <alignment horizontal="right"/>
    </xf>
    <xf numFmtId="3" fontId="2" fillId="21" borderId="56" xfId="0" applyNumberFormat="1" applyFont="1" applyFill="1" applyBorder="1" applyAlignment="1" applyProtection="1">
      <alignment horizontal="right"/>
    </xf>
    <xf numFmtId="3" fontId="2" fillId="21" borderId="54" xfId="0" applyNumberFormat="1" applyFont="1" applyFill="1" applyBorder="1" applyAlignment="1" applyProtection="1">
      <alignment horizontal="right"/>
    </xf>
    <xf numFmtId="3" fontId="2" fillId="21" borderId="107" xfId="0" applyNumberFormat="1" applyFont="1" applyFill="1" applyBorder="1" applyAlignment="1" applyProtection="1">
      <alignment horizontal="right"/>
    </xf>
    <xf numFmtId="3" fontId="2" fillId="21" borderId="12" xfId="0" applyNumberFormat="1" applyFont="1" applyFill="1" applyBorder="1" applyAlignment="1" applyProtection="1">
      <alignment horizontal="right"/>
    </xf>
    <xf numFmtId="0" fontId="5" fillId="21" borderId="234" xfId="0" applyFont="1" applyFill="1" applyBorder="1" applyAlignment="1" applyProtection="1">
      <alignment horizontal="center"/>
    </xf>
    <xf numFmtId="0" fontId="5" fillId="21" borderId="235" xfId="0" applyFont="1" applyFill="1" applyBorder="1" applyAlignment="1" applyProtection="1">
      <alignment horizontal="center"/>
    </xf>
    <xf numFmtId="0" fontId="5" fillId="21" borderId="236" xfId="0" applyFont="1" applyFill="1" applyBorder="1" applyAlignment="1" applyProtection="1">
      <alignment horizontal="center"/>
    </xf>
    <xf numFmtId="9" fontId="3" fillId="21" borderId="237" xfId="0" applyNumberFormat="1" applyFont="1" applyFill="1" applyBorder="1" applyAlignment="1" applyProtection="1">
      <alignment horizontal="right"/>
    </xf>
    <xf numFmtId="9" fontId="3" fillId="21" borderId="234" xfId="0" applyNumberFormat="1" applyFont="1" applyFill="1" applyBorder="1" applyAlignment="1" applyProtection="1">
      <alignment horizontal="right"/>
    </xf>
    <xf numFmtId="9" fontId="3" fillId="21" borderId="235" xfId="0" applyNumberFormat="1" applyFont="1" applyFill="1" applyBorder="1" applyAlignment="1" applyProtection="1">
      <alignment horizontal="right"/>
    </xf>
    <xf numFmtId="9" fontId="3" fillId="21" borderId="238" xfId="0" applyNumberFormat="1" applyFont="1" applyFill="1" applyBorder="1" applyAlignment="1" applyProtection="1">
      <alignment horizontal="right"/>
    </xf>
    <xf numFmtId="9" fontId="3" fillId="21" borderId="239" xfId="0" applyNumberFormat="1" applyFont="1" applyFill="1" applyBorder="1" applyAlignment="1" applyProtection="1">
      <alignment horizontal="right"/>
    </xf>
    <xf numFmtId="9" fontId="3" fillId="21" borderId="240" xfId="0" applyNumberFormat="1" applyFont="1" applyFill="1" applyBorder="1" applyAlignment="1" applyProtection="1">
      <alignment horizontal="right"/>
    </xf>
    <xf numFmtId="9" fontId="3" fillId="21" borderId="241" xfId="0" applyNumberFormat="1" applyFont="1" applyFill="1" applyBorder="1" applyAlignment="1" applyProtection="1">
      <alignment horizontal="right"/>
    </xf>
    <xf numFmtId="9" fontId="3" fillId="21" borderId="242" xfId="0" applyNumberFormat="1" applyFont="1" applyFill="1" applyBorder="1" applyAlignment="1" applyProtection="1">
      <alignment horizontal="right"/>
    </xf>
    <xf numFmtId="9" fontId="3" fillId="0" borderId="0" xfId="0" applyNumberFormat="1" applyFont="1" applyFill="1" applyBorder="1" applyAlignment="1" applyProtection="1">
      <alignment horizontal="right"/>
    </xf>
    <xf numFmtId="0" fontId="5" fillId="21" borderId="243" xfId="0" applyFont="1" applyFill="1" applyBorder="1" applyAlignment="1" applyProtection="1">
      <alignment horizontal="center"/>
    </xf>
    <xf numFmtId="0" fontId="5" fillId="21" borderId="244" xfId="0" applyFont="1" applyFill="1" applyBorder="1" applyAlignment="1" applyProtection="1">
      <alignment horizontal="center"/>
    </xf>
    <xf numFmtId="0" fontId="3" fillId="21" borderId="234" xfId="0" applyFont="1" applyFill="1" applyBorder="1" applyAlignment="1" applyProtection="1">
      <alignment horizontal="left" vertical="top" wrapText="1"/>
    </xf>
    <xf numFmtId="0" fontId="33" fillId="21" borderId="235" xfId="0" applyFont="1" applyFill="1" applyBorder="1" applyAlignment="1" applyProtection="1">
      <alignment horizontal="left" vertical="top" wrapText="1"/>
    </xf>
    <xf numFmtId="0" fontId="33" fillId="21" borderId="241" xfId="0" applyFont="1" applyFill="1" applyBorder="1" applyAlignment="1" applyProtection="1">
      <alignment horizontal="left" vertical="top" wrapText="1"/>
    </xf>
    <xf numFmtId="0" fontId="4" fillId="21" borderId="235" xfId="0" applyFont="1" applyFill="1" applyBorder="1" applyProtection="1"/>
    <xf numFmtId="0" fontId="33" fillId="21" borderId="246" xfId="0" applyFont="1" applyFill="1" applyBorder="1" applyProtection="1"/>
    <xf numFmtId="3" fontId="90" fillId="21" borderId="242" xfId="0" applyNumberFormat="1" applyFont="1" applyFill="1" applyBorder="1" applyProtection="1"/>
    <xf numFmtId="0" fontId="2" fillId="21" borderId="242" xfId="0" applyFont="1" applyFill="1" applyBorder="1" applyAlignment="1" applyProtection="1">
      <alignment vertical="top"/>
    </xf>
    <xf numFmtId="9" fontId="43" fillId="21" borderId="241" xfId="0" applyNumberFormat="1" applyFont="1" applyFill="1" applyBorder="1" applyProtection="1"/>
    <xf numFmtId="3" fontId="90" fillId="21" borderId="247" xfId="0" applyNumberFormat="1" applyFont="1" applyFill="1" applyBorder="1" applyProtection="1"/>
    <xf numFmtId="0" fontId="2" fillId="21" borderId="248" xfId="0" applyFont="1" applyFill="1" applyBorder="1" applyAlignment="1" applyProtection="1">
      <alignment vertical="top"/>
    </xf>
    <xf numFmtId="3" fontId="90" fillId="21" borderId="246" xfId="0" applyNumberFormat="1" applyFont="1" applyFill="1" applyBorder="1" applyProtection="1"/>
    <xf numFmtId="3" fontId="16" fillId="21" borderId="246" xfId="0" applyNumberFormat="1" applyFont="1" applyFill="1" applyBorder="1" applyProtection="1"/>
    <xf numFmtId="9" fontId="43" fillId="21" borderId="242" xfId="0" applyNumberFormat="1" applyFont="1" applyFill="1" applyBorder="1" applyProtection="1"/>
    <xf numFmtId="9" fontId="43" fillId="21" borderId="238" xfId="0" applyNumberFormat="1" applyFont="1" applyFill="1" applyBorder="1" applyProtection="1"/>
    <xf numFmtId="3" fontId="10" fillId="21" borderId="242" xfId="0" applyNumberFormat="1" applyFont="1" applyFill="1" applyBorder="1" applyAlignment="1" applyProtection="1">
      <alignment vertical="top"/>
      <protection locked="0"/>
    </xf>
    <xf numFmtId="3" fontId="90" fillId="21" borderId="249" xfId="0" applyNumberFormat="1" applyFont="1" applyFill="1" applyBorder="1" applyProtection="1"/>
    <xf numFmtId="3" fontId="3" fillId="21" borderId="250" xfId="0" applyNumberFormat="1" applyFont="1" applyFill="1" applyBorder="1" applyProtection="1"/>
    <xf numFmtId="9" fontId="43" fillId="21" borderId="240" xfId="0" applyNumberFormat="1" applyFont="1" applyFill="1" applyBorder="1" applyProtection="1"/>
    <xf numFmtId="3" fontId="90" fillId="21" borderId="251" xfId="0" applyNumberFormat="1" applyFont="1" applyFill="1" applyBorder="1" applyProtection="1"/>
    <xf numFmtId="0" fontId="9" fillId="21" borderId="242" xfId="0" applyFont="1" applyFill="1" applyBorder="1" applyAlignment="1" applyProtection="1">
      <alignment vertical="top"/>
    </xf>
    <xf numFmtId="9" fontId="43" fillId="21" borderId="238" xfId="0" quotePrefix="1" applyNumberFormat="1" applyFont="1" applyFill="1" applyBorder="1" applyProtection="1"/>
    <xf numFmtId="3" fontId="90" fillId="21" borderId="252" xfId="0" applyNumberFormat="1" applyFont="1" applyFill="1" applyBorder="1" applyProtection="1"/>
    <xf numFmtId="0" fontId="2" fillId="21" borderId="242" xfId="0" applyFont="1" applyFill="1" applyBorder="1" applyAlignment="1" applyProtection="1">
      <alignment vertical="top"/>
      <protection locked="0"/>
    </xf>
    <xf numFmtId="0" fontId="2" fillId="21" borderId="240" xfId="0" applyFont="1" applyFill="1" applyBorder="1" applyAlignment="1" applyProtection="1">
      <alignment vertical="top"/>
      <protection locked="0"/>
    </xf>
    <xf numFmtId="9" fontId="119" fillId="21" borderId="242" xfId="0" applyNumberFormat="1" applyFont="1" applyFill="1" applyBorder="1" applyAlignment="1" applyProtection="1"/>
    <xf numFmtId="9" fontId="43" fillId="21" borderId="239" xfId="0" applyNumberFormat="1" applyFont="1" applyFill="1" applyBorder="1" applyProtection="1"/>
    <xf numFmtId="3" fontId="103" fillId="21" borderId="253" xfId="0" applyNumberFormat="1" applyFont="1" applyFill="1" applyBorder="1" applyProtection="1"/>
    <xf numFmtId="3" fontId="90" fillId="21" borderId="253" xfId="0" applyNumberFormat="1" applyFont="1" applyFill="1" applyBorder="1" applyProtection="1"/>
    <xf numFmtId="0" fontId="1" fillId="21" borderId="254" xfId="0" applyFont="1" applyFill="1" applyBorder="1" applyProtection="1"/>
    <xf numFmtId="3" fontId="2" fillId="22" borderId="239" xfId="0" applyNumberFormat="1" applyFont="1" applyFill="1" applyBorder="1" applyAlignment="1" applyProtection="1">
      <alignment horizontal="right"/>
    </xf>
    <xf numFmtId="3" fontId="90" fillId="21" borderId="255" xfId="0" applyNumberFormat="1" applyFont="1" applyFill="1" applyBorder="1" applyProtection="1"/>
    <xf numFmtId="0" fontId="7" fillId="21" borderId="27" xfId="0" applyFont="1" applyFill="1" applyBorder="1" applyAlignment="1">
      <alignment vertical="top" wrapText="1"/>
    </xf>
    <xf numFmtId="0" fontId="0" fillId="21" borderId="27" xfId="0" applyFill="1" applyBorder="1" applyAlignment="1">
      <alignment vertical="top" wrapText="1"/>
    </xf>
    <xf numFmtId="3" fontId="8" fillId="21" borderId="27" xfId="0" applyNumberFormat="1" applyFont="1" applyFill="1" applyBorder="1" applyAlignment="1" applyProtection="1">
      <alignment vertical="top" wrapText="1"/>
    </xf>
    <xf numFmtId="3" fontId="8" fillId="21" borderId="27" xfId="0" applyNumberFormat="1" applyFont="1" applyFill="1" applyBorder="1" applyAlignment="1" applyProtection="1">
      <alignment horizontal="left" wrapText="1"/>
    </xf>
    <xf numFmtId="3" fontId="33" fillId="21" borderId="111" xfId="0" applyNumberFormat="1" applyFont="1" applyFill="1" applyBorder="1" applyAlignment="1" applyProtection="1">
      <alignment wrapText="1"/>
    </xf>
    <xf numFmtId="3" fontId="43" fillId="21" borderId="0" xfId="0" applyNumberFormat="1" applyFont="1" applyFill="1" applyBorder="1" applyProtection="1"/>
    <xf numFmtId="3" fontId="43" fillId="21" borderId="27" xfId="0" applyNumberFormat="1" applyFont="1" applyFill="1" applyBorder="1" applyProtection="1"/>
    <xf numFmtId="3" fontId="34" fillId="21" borderId="181" xfId="6" quotePrefix="1" applyNumberFormat="1" applyFont="1" applyFill="1" applyBorder="1" applyAlignment="1" applyProtection="1">
      <alignment horizontal="left"/>
    </xf>
    <xf numFmtId="3" fontId="43" fillId="21" borderId="27" xfId="10" applyNumberFormat="1" applyFont="1" applyFill="1" applyBorder="1" applyAlignment="1" applyProtection="1">
      <alignment horizontal="center"/>
    </xf>
    <xf numFmtId="3" fontId="43" fillId="21" borderId="181" xfId="13" applyNumberFormat="1" applyFont="1" applyFill="1" applyBorder="1" applyAlignment="1" applyProtection="1">
      <alignment horizontal="center"/>
    </xf>
    <xf numFmtId="3" fontId="43" fillId="21" borderId="181" xfId="10" applyNumberFormat="1" applyFont="1" applyFill="1" applyBorder="1" applyAlignment="1" applyProtection="1">
      <alignment horizontal="center"/>
    </xf>
    <xf numFmtId="3" fontId="76" fillId="21" borderId="27" xfId="10" applyNumberFormat="1" applyFont="1" applyFill="1" applyBorder="1" applyAlignment="1" applyProtection="1">
      <alignment horizontal="center"/>
    </xf>
    <xf numFmtId="3" fontId="43" fillId="21" borderId="188" xfId="13" applyNumberFormat="1" applyFont="1" applyFill="1" applyBorder="1" applyAlignment="1" applyProtection="1">
      <alignment horizontal="center"/>
    </xf>
    <xf numFmtId="3" fontId="101" fillId="21" borderId="188" xfId="13" applyNumberFormat="1" applyFont="1" applyFill="1" applyBorder="1" applyAlignment="1" applyProtection="1">
      <alignment horizontal="center"/>
    </xf>
    <xf numFmtId="3" fontId="101" fillId="21" borderId="181" xfId="10" applyNumberFormat="1" applyFont="1" applyFill="1" applyBorder="1" applyAlignment="1" applyProtection="1">
      <alignment horizontal="center"/>
    </xf>
    <xf numFmtId="3" fontId="101" fillId="21" borderId="27" xfId="10" applyNumberFormat="1" applyFont="1" applyFill="1" applyBorder="1" applyAlignment="1" applyProtection="1">
      <alignment horizontal="center"/>
    </xf>
    <xf numFmtId="3" fontId="43" fillId="21" borderId="256" xfId="10" applyNumberFormat="1" applyFont="1" applyFill="1" applyBorder="1" applyAlignment="1" applyProtection="1">
      <alignment horizontal="center"/>
    </xf>
    <xf numFmtId="3" fontId="102" fillId="21" borderId="27" xfId="10" applyNumberFormat="1" applyFont="1" applyFill="1" applyBorder="1" applyAlignment="1" applyProtection="1">
      <alignment horizontal="center"/>
    </xf>
    <xf numFmtId="3" fontId="43" fillId="21" borderId="181" xfId="0" applyNumberFormat="1" applyFont="1" applyFill="1" applyBorder="1" applyProtection="1"/>
    <xf numFmtId="3" fontId="5" fillId="21" borderId="102" xfId="0" applyNumberFormat="1" applyFont="1" applyFill="1" applyBorder="1" applyAlignment="1" applyProtection="1">
      <alignment horizontal="left" vertical="center" wrapText="1"/>
    </xf>
    <xf numFmtId="3" fontId="2" fillId="21" borderId="92" xfId="0" applyNumberFormat="1" applyFont="1" applyFill="1" applyBorder="1" applyAlignment="1" applyProtection="1">
      <alignment horizontal="right"/>
    </xf>
    <xf numFmtId="3" fontId="2" fillId="21" borderId="180" xfId="0" applyNumberFormat="1" applyFont="1" applyFill="1" applyBorder="1" applyAlignment="1" applyProtection="1">
      <alignment horizontal="right"/>
    </xf>
    <xf numFmtId="3" fontId="2" fillId="21" borderId="167" xfId="0" applyNumberFormat="1" applyFont="1" applyFill="1" applyBorder="1" applyAlignment="1" applyProtection="1">
      <alignment horizontal="right"/>
    </xf>
    <xf numFmtId="3" fontId="2" fillId="21" borderId="96" xfId="0" applyNumberFormat="1" applyFont="1" applyFill="1" applyBorder="1" applyAlignment="1" applyProtection="1">
      <alignment horizontal="right"/>
    </xf>
    <xf numFmtId="3" fontId="2" fillId="21" borderId="65" xfId="0" applyNumberFormat="1" applyFont="1" applyFill="1" applyBorder="1" applyAlignment="1" applyProtection="1">
      <alignment horizontal="right"/>
    </xf>
    <xf numFmtId="3" fontId="2" fillId="21" borderId="168" xfId="0" applyNumberFormat="1" applyFont="1" applyFill="1" applyBorder="1" applyAlignment="1" applyProtection="1">
      <alignment horizontal="right"/>
    </xf>
    <xf numFmtId="3" fontId="2" fillId="21" borderId="227" xfId="0" applyNumberFormat="1" applyFont="1" applyFill="1" applyBorder="1" applyAlignment="1" applyProtection="1">
      <alignment horizontal="right"/>
    </xf>
    <xf numFmtId="3" fontId="2" fillId="21" borderId="180" xfId="0" applyNumberFormat="1" applyFont="1" applyFill="1" applyBorder="1" applyProtection="1"/>
    <xf numFmtId="0" fontId="0" fillId="21" borderId="97" xfId="0" applyFill="1" applyBorder="1" applyProtection="1"/>
    <xf numFmtId="3" fontId="5" fillId="21" borderId="257" xfId="0" applyNumberFormat="1" applyFont="1" applyFill="1" applyBorder="1" applyAlignment="1" applyProtection="1">
      <alignment horizontal="left" vertical="center" wrapText="1"/>
    </xf>
    <xf numFmtId="0" fontId="0" fillId="21" borderId="259" xfId="0" applyFill="1" applyBorder="1" applyProtection="1"/>
    <xf numFmtId="3" fontId="2" fillId="21" borderId="260" xfId="0" applyNumberFormat="1" applyFont="1" applyFill="1" applyBorder="1" applyAlignment="1" applyProtection="1">
      <alignment horizontal="right"/>
    </xf>
    <xf numFmtId="3" fontId="2" fillId="21" borderId="261" xfId="0" applyNumberFormat="1" applyFont="1" applyFill="1" applyBorder="1" applyAlignment="1" applyProtection="1">
      <alignment horizontal="right"/>
    </xf>
    <xf numFmtId="3" fontId="2" fillId="21" borderId="262" xfId="0" applyNumberFormat="1" applyFont="1" applyFill="1" applyBorder="1" applyAlignment="1" applyProtection="1">
      <alignment horizontal="right"/>
    </xf>
    <xf numFmtId="3" fontId="2" fillId="21" borderId="263" xfId="0" applyNumberFormat="1" applyFont="1" applyFill="1" applyBorder="1" applyAlignment="1" applyProtection="1">
      <alignment horizontal="right"/>
    </xf>
    <xf numFmtId="3" fontId="2" fillId="21" borderId="259" xfId="0" applyNumberFormat="1" applyFont="1" applyFill="1" applyBorder="1" applyAlignment="1" applyProtection="1">
      <alignment horizontal="right"/>
    </xf>
    <xf numFmtId="0" fontId="9" fillId="21" borderId="263" xfId="0" applyFont="1" applyFill="1" applyBorder="1" applyProtection="1"/>
    <xf numFmtId="3" fontId="2" fillId="21" borderId="264" xfId="0" applyNumberFormat="1" applyFont="1" applyFill="1" applyBorder="1" applyAlignment="1" applyProtection="1">
      <alignment horizontal="right"/>
    </xf>
    <xf numFmtId="3" fontId="2" fillId="21" borderId="265" xfId="0" applyNumberFormat="1" applyFont="1" applyFill="1" applyBorder="1" applyAlignment="1" applyProtection="1">
      <alignment horizontal="right"/>
    </xf>
    <xf numFmtId="3" fontId="2" fillId="21" borderId="266" xfId="0" applyNumberFormat="1" applyFont="1" applyFill="1" applyBorder="1" applyAlignment="1" applyProtection="1">
      <alignment horizontal="right"/>
    </xf>
    <xf numFmtId="3" fontId="2" fillId="21" borderId="261" xfId="0" applyNumberFormat="1" applyFont="1" applyFill="1" applyBorder="1" applyProtection="1"/>
    <xf numFmtId="0" fontId="0" fillId="21" borderId="267" xfId="0" applyFill="1" applyBorder="1" applyProtection="1"/>
    <xf numFmtId="0" fontId="3" fillId="21" borderId="229" xfId="0" applyFont="1" applyFill="1" applyBorder="1" applyProtection="1"/>
    <xf numFmtId="0" fontId="0" fillId="21" borderId="0" xfId="0" applyFill="1" applyBorder="1" applyAlignment="1"/>
    <xf numFmtId="0" fontId="129" fillId="21" borderId="0" xfId="0" applyFont="1" applyFill="1" applyBorder="1" applyAlignment="1">
      <alignment vertical="top" wrapText="1"/>
    </xf>
    <xf numFmtId="0" fontId="129" fillId="21" borderId="0" xfId="0" applyFont="1" applyFill="1" applyBorder="1" applyAlignment="1">
      <alignment wrapText="1"/>
    </xf>
    <xf numFmtId="0" fontId="128" fillId="21" borderId="0" xfId="0" applyFont="1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0" xfId="0" applyFill="1" applyBorder="1" applyAlignment="1">
      <alignment horizontal="left" vertical="top" wrapText="1"/>
    </xf>
    <xf numFmtId="0" fontId="127" fillId="21" borderId="0" xfId="0" applyFont="1" applyFill="1" applyBorder="1" applyAlignment="1">
      <alignment wrapText="1"/>
    </xf>
    <xf numFmtId="0" fontId="7" fillId="21" borderId="0" xfId="0" applyFont="1" applyFill="1" applyBorder="1" applyAlignment="1">
      <alignment wrapText="1"/>
    </xf>
    <xf numFmtId="0" fontId="3" fillId="21" borderId="269" xfId="0" applyFont="1" applyFill="1" applyBorder="1" applyAlignment="1" applyProtection="1">
      <alignment horizontal="center"/>
    </xf>
    <xf numFmtId="3" fontId="43" fillId="22" borderId="271" xfId="0" applyNumberFormat="1" applyFont="1" applyFill="1" applyBorder="1" applyProtection="1"/>
    <xf numFmtId="3" fontId="43" fillId="22" borderId="272" xfId="0" applyNumberFormat="1" applyFont="1" applyFill="1" applyBorder="1" applyProtection="1"/>
    <xf numFmtId="3" fontId="43" fillId="22" borderId="269" xfId="0" applyNumberFormat="1" applyFont="1" applyFill="1" applyBorder="1" applyProtection="1"/>
    <xf numFmtId="3" fontId="43" fillId="22" borderId="273" xfId="0" applyNumberFormat="1" applyFont="1" applyFill="1" applyBorder="1" applyProtection="1"/>
    <xf numFmtId="3" fontId="43" fillId="22" borderId="274" xfId="0" applyNumberFormat="1" applyFont="1" applyFill="1" applyBorder="1" applyProtection="1"/>
    <xf numFmtId="3" fontId="43" fillId="22" borderId="275" xfId="0" applyNumberFormat="1" applyFont="1" applyFill="1" applyBorder="1" applyProtection="1"/>
    <xf numFmtId="3" fontId="43" fillId="22" borderId="276" xfId="0" applyNumberFormat="1" applyFont="1" applyFill="1" applyBorder="1" applyProtection="1"/>
    <xf numFmtId="3" fontId="43" fillId="22" borderId="277" xfId="0" applyNumberFormat="1" applyFont="1" applyFill="1" applyBorder="1" applyProtection="1"/>
    <xf numFmtId="3" fontId="43" fillId="22" borderId="268" xfId="0" applyNumberFormat="1" applyFont="1" applyFill="1" applyBorder="1" applyProtection="1"/>
    <xf numFmtId="3" fontId="43" fillId="21" borderId="276" xfId="0" applyNumberFormat="1" applyFont="1" applyFill="1" applyBorder="1" applyProtection="1"/>
    <xf numFmtId="3" fontId="43" fillId="21" borderId="277" xfId="0" applyNumberFormat="1" applyFont="1" applyFill="1" applyBorder="1" applyProtection="1"/>
    <xf numFmtId="1" fontId="43" fillId="21" borderId="278" xfId="0" applyNumberFormat="1" applyFont="1" applyFill="1" applyBorder="1" applyProtection="1"/>
    <xf numFmtId="3" fontId="3" fillId="21" borderId="280" xfId="0" applyNumberFormat="1" applyFont="1" applyFill="1" applyBorder="1" applyProtection="1"/>
    <xf numFmtId="3" fontId="3" fillId="21" borderId="279" xfId="0" applyNumberFormat="1" applyFont="1" applyFill="1" applyBorder="1" applyProtection="1"/>
    <xf numFmtId="3" fontId="3" fillId="21" borderId="281" xfId="0" applyNumberFormat="1" applyFont="1" applyFill="1" applyBorder="1" applyProtection="1"/>
    <xf numFmtId="3" fontId="34" fillId="21" borderId="280" xfId="0" applyNumberFormat="1" applyFont="1" applyFill="1" applyBorder="1" applyProtection="1"/>
    <xf numFmtId="1" fontId="3" fillId="21" borderId="282" xfId="0" applyNumberFormat="1" applyFont="1" applyFill="1" applyBorder="1" applyProtection="1"/>
    <xf numFmtId="3" fontId="109" fillId="0" borderId="0" xfId="6" applyNumberFormat="1" applyFont="1" applyFill="1" applyBorder="1" applyAlignment="1" applyProtection="1">
      <alignment horizontal="right"/>
    </xf>
    <xf numFmtId="0" fontId="3" fillId="21" borderId="244" xfId="6" applyFont="1" applyFill="1" applyBorder="1" applyAlignment="1" applyProtection="1">
      <alignment horizontal="center" vertical="top"/>
    </xf>
    <xf numFmtId="0" fontId="3" fillId="21" borderId="244" xfId="6" applyFont="1" applyFill="1" applyBorder="1" applyProtection="1"/>
    <xf numFmtId="1" fontId="3" fillId="21" borderId="244" xfId="6" applyNumberFormat="1" applyFont="1" applyFill="1" applyBorder="1" applyAlignment="1" applyProtection="1">
      <alignment horizontal="left"/>
    </xf>
    <xf numFmtId="168" fontId="39" fillId="21" borderId="283" xfId="6" applyNumberFormat="1" applyFont="1" applyFill="1" applyBorder="1" applyProtection="1"/>
    <xf numFmtId="3" fontId="43" fillId="21" borderId="284" xfId="6" applyNumberFormat="1" applyFont="1" applyFill="1" applyBorder="1" applyProtection="1"/>
    <xf numFmtId="9" fontId="43" fillId="21" borderId="242" xfId="6" quotePrefix="1" applyNumberFormat="1" applyFont="1" applyFill="1" applyBorder="1" applyAlignment="1" applyProtection="1">
      <alignment horizontal="right"/>
    </xf>
    <xf numFmtId="3" fontId="40" fillId="21" borderId="254" xfId="6" applyNumberFormat="1" applyFont="1" applyFill="1" applyBorder="1" applyAlignment="1" applyProtection="1">
      <alignment horizontal="right"/>
    </xf>
    <xf numFmtId="3" fontId="40" fillId="21" borderId="246" xfId="6" applyNumberFormat="1" applyFont="1" applyFill="1" applyBorder="1" applyAlignment="1" applyProtection="1">
      <alignment horizontal="right"/>
    </xf>
    <xf numFmtId="3" fontId="40" fillId="21" borderId="255" xfId="6" applyNumberFormat="1" applyFont="1" applyFill="1" applyBorder="1" applyAlignment="1" applyProtection="1">
      <alignment horizontal="right"/>
    </xf>
    <xf numFmtId="9" fontId="43" fillId="21" borderId="251" xfId="6" applyNumberFormat="1" applyFont="1" applyFill="1" applyBorder="1" applyProtection="1"/>
    <xf numFmtId="0" fontId="3" fillId="21" borderId="285" xfId="6" applyFont="1" applyFill="1" applyBorder="1" applyProtection="1"/>
    <xf numFmtId="3" fontId="3" fillId="21" borderId="286" xfId="6" applyNumberFormat="1" applyFont="1" applyFill="1" applyBorder="1" applyProtection="1"/>
    <xf numFmtId="0" fontId="3" fillId="21" borderId="286" xfId="6" applyFont="1" applyFill="1" applyBorder="1" applyProtection="1"/>
    <xf numFmtId="0" fontId="7" fillId="21" borderId="286" xfId="6" applyFont="1" applyFill="1" applyBorder="1" applyAlignment="1" applyProtection="1">
      <alignment horizontal="left"/>
    </xf>
    <xf numFmtId="3" fontId="39" fillId="21" borderId="286" xfId="6" applyNumberFormat="1" applyFont="1" applyFill="1" applyBorder="1" applyProtection="1"/>
    <xf numFmtId="168" fontId="39" fillId="21" borderId="287" xfId="6" applyNumberFormat="1" applyFont="1" applyFill="1" applyBorder="1" applyProtection="1"/>
    <xf numFmtId="3" fontId="3" fillId="21" borderId="288" xfId="6" applyNumberFormat="1" applyFont="1" applyFill="1" applyBorder="1" applyProtection="1"/>
    <xf numFmtId="3" fontId="39" fillId="21" borderId="286" xfId="6" applyNumberFormat="1" applyFont="1" applyFill="1" applyBorder="1" applyAlignment="1" applyProtection="1">
      <alignment horizontal="right"/>
    </xf>
    <xf numFmtId="0" fontId="130" fillId="21" borderId="286" xfId="0" applyFont="1" applyFill="1" applyBorder="1" applyAlignment="1">
      <alignment vertical="top" wrapText="1"/>
    </xf>
    <xf numFmtId="3" fontId="39" fillId="21" borderId="289" xfId="6" applyNumberFormat="1" applyFont="1" applyFill="1" applyBorder="1" applyAlignment="1" applyProtection="1">
      <alignment horizontal="right"/>
    </xf>
    <xf numFmtId="3" fontId="3" fillId="21" borderId="285" xfId="6" applyNumberFormat="1" applyFont="1" applyFill="1" applyBorder="1" applyProtection="1"/>
    <xf numFmtId="3" fontId="116" fillId="21" borderId="286" xfId="6" applyNumberFormat="1" applyFont="1" applyFill="1" applyBorder="1" applyAlignment="1" applyProtection="1">
      <alignment horizontal="left" vertical="top"/>
    </xf>
    <xf numFmtId="0" fontId="117" fillId="21" borderId="286" xfId="0" applyFont="1" applyFill="1" applyBorder="1" applyAlignment="1"/>
    <xf numFmtId="3" fontId="3" fillId="21" borderId="285" xfId="6" applyNumberFormat="1" applyFont="1" applyFill="1" applyBorder="1" applyAlignment="1" applyProtection="1">
      <alignment horizontal="right"/>
    </xf>
    <xf numFmtId="3" fontId="3" fillId="21" borderId="286" xfId="6" applyNumberFormat="1" applyFont="1" applyFill="1" applyBorder="1" applyAlignment="1" applyProtection="1">
      <alignment horizontal="right"/>
    </xf>
    <xf numFmtId="0" fontId="131" fillId="21" borderId="286" xfId="0" applyFont="1" applyFill="1" applyBorder="1" applyAlignment="1">
      <alignment horizontal="left" vertical="top"/>
    </xf>
    <xf numFmtId="0" fontId="131" fillId="21" borderId="289" xfId="0" applyFont="1" applyFill="1" applyBorder="1" applyAlignment="1">
      <alignment horizontal="left" vertical="top"/>
    </xf>
    <xf numFmtId="3" fontId="3" fillId="21" borderId="290" xfId="6" applyNumberFormat="1" applyFont="1" applyFill="1" applyBorder="1" applyAlignment="1" applyProtection="1">
      <alignment wrapText="1"/>
    </xf>
    <xf numFmtId="3" fontId="3" fillId="21" borderId="246" xfId="6" applyNumberFormat="1" applyFont="1" applyFill="1" applyBorder="1" applyProtection="1"/>
    <xf numFmtId="0" fontId="3" fillId="21" borderId="246" xfId="6" applyFont="1" applyFill="1" applyBorder="1" applyAlignment="1" applyProtection="1">
      <alignment wrapText="1"/>
    </xf>
    <xf numFmtId="0" fontId="7" fillId="21" borderId="246" xfId="6" applyFont="1" applyFill="1" applyBorder="1" applyAlignment="1" applyProtection="1">
      <alignment horizontal="left" wrapText="1"/>
    </xf>
    <xf numFmtId="3" fontId="39" fillId="21" borderId="246" xfId="6" applyNumberFormat="1" applyFont="1" applyFill="1" applyBorder="1" applyProtection="1"/>
    <xf numFmtId="3" fontId="3" fillId="21" borderId="246" xfId="6" applyNumberFormat="1" applyFont="1" applyFill="1" applyBorder="1" applyAlignment="1" applyProtection="1">
      <alignment horizontal="left"/>
    </xf>
    <xf numFmtId="0" fontId="0" fillId="21" borderId="246" xfId="0" applyFill="1" applyBorder="1" applyAlignment="1"/>
    <xf numFmtId="3" fontId="39" fillId="21" borderId="255" xfId="6" applyNumberFormat="1" applyFont="1" applyFill="1" applyBorder="1" applyAlignment="1" applyProtection="1">
      <alignment horizontal="left"/>
    </xf>
    <xf numFmtId="168" fontId="3" fillId="21" borderId="290" xfId="6" applyNumberFormat="1" applyFont="1" applyFill="1" applyBorder="1" applyAlignment="1" applyProtection="1">
      <alignment horizontal="left"/>
    </xf>
    <xf numFmtId="168" fontId="39" fillId="21" borderId="246" xfId="6" applyNumberFormat="1" applyFont="1" applyFill="1" applyBorder="1" applyAlignment="1" applyProtection="1">
      <alignment horizontal="left"/>
    </xf>
    <xf numFmtId="3" fontId="3" fillId="21" borderId="247" xfId="6" applyNumberFormat="1" applyFont="1" applyFill="1" applyBorder="1" applyAlignment="1" applyProtection="1">
      <alignment horizontal="left"/>
    </xf>
    <xf numFmtId="3" fontId="3" fillId="21" borderId="253" xfId="6" applyNumberFormat="1" applyFont="1" applyFill="1" applyBorder="1" applyAlignment="1" applyProtection="1">
      <alignment horizontal="left"/>
    </xf>
    <xf numFmtId="0" fontId="0" fillId="21" borderId="291" xfId="0" applyFill="1" applyBorder="1"/>
    <xf numFmtId="0" fontId="0" fillId="21" borderId="292" xfId="0" applyFill="1" applyBorder="1"/>
    <xf numFmtId="1" fontId="5" fillId="21" borderId="293" xfId="0" applyNumberFormat="1" applyFont="1" applyFill="1" applyBorder="1" applyAlignment="1" applyProtection="1">
      <alignment horizontal="left"/>
    </xf>
    <xf numFmtId="1" fontId="3" fillId="21" borderId="294" xfId="0" applyNumberFormat="1" applyFont="1" applyFill="1" applyBorder="1" applyAlignment="1" applyProtection="1">
      <alignment horizontal="left"/>
    </xf>
    <xf numFmtId="1" fontId="5" fillId="21" borderId="294" xfId="0" applyNumberFormat="1" applyFont="1" applyFill="1" applyBorder="1" applyAlignment="1" applyProtection="1">
      <alignment horizontal="left"/>
    </xf>
    <xf numFmtId="0" fontId="0" fillId="21" borderId="295" xfId="0" applyFill="1" applyBorder="1"/>
    <xf numFmtId="1" fontId="3" fillId="21" borderId="296" xfId="0" applyNumberFormat="1" applyFont="1" applyFill="1" applyBorder="1" applyAlignment="1" applyProtection="1">
      <alignment horizontal="left"/>
    </xf>
    <xf numFmtId="1" fontId="5" fillId="21" borderId="297" xfId="0" applyNumberFormat="1" applyFont="1" applyFill="1" applyBorder="1" applyAlignment="1" applyProtection="1">
      <alignment horizontal="left"/>
    </xf>
    <xf numFmtId="1" fontId="5" fillId="21" borderId="298" xfId="0" applyNumberFormat="1" applyFont="1" applyFill="1" applyBorder="1" applyAlignment="1" applyProtection="1">
      <alignment horizontal="left"/>
    </xf>
    <xf numFmtId="0" fontId="3" fillId="21" borderId="244" xfId="6" applyFont="1" applyFill="1" applyBorder="1" applyAlignment="1" applyProtection="1">
      <alignment horizontal="center"/>
    </xf>
    <xf numFmtId="0" fontId="3" fillId="21" borderId="244" xfId="6" applyFont="1" applyFill="1" applyBorder="1" applyAlignment="1" applyProtection="1"/>
    <xf numFmtId="0" fontId="3" fillId="21" borderId="244" xfId="0" applyFont="1" applyFill="1" applyBorder="1" applyAlignment="1" applyProtection="1"/>
    <xf numFmtId="0" fontId="9" fillId="21" borderId="299" xfId="0" applyFont="1" applyFill="1" applyBorder="1" applyAlignment="1" applyProtection="1">
      <alignment horizontal="left"/>
    </xf>
    <xf numFmtId="9" fontId="43" fillId="21" borderId="300" xfId="0" quotePrefix="1" applyNumberFormat="1" applyFont="1" applyFill="1" applyBorder="1" applyAlignment="1" applyProtection="1">
      <alignment horizontal="right"/>
    </xf>
    <xf numFmtId="9" fontId="43" fillId="21" borderId="242" xfId="0" quotePrefix="1" applyNumberFormat="1" applyFont="1" applyFill="1" applyBorder="1" applyAlignment="1" applyProtection="1">
      <alignment horizontal="right"/>
    </xf>
    <xf numFmtId="3" fontId="43" fillId="21" borderId="254" xfId="0" applyNumberFormat="1" applyFont="1" applyFill="1" applyBorder="1" applyAlignment="1" applyProtection="1">
      <alignment horizontal="right"/>
    </xf>
    <xf numFmtId="0" fontId="0" fillId="21" borderId="301" xfId="0" applyFill="1" applyBorder="1"/>
    <xf numFmtId="9" fontId="43" fillId="21" borderId="238" xfId="0" quotePrefix="1" applyNumberFormat="1" applyFont="1" applyFill="1" applyBorder="1" applyAlignment="1" applyProtection="1">
      <alignment horizontal="right"/>
    </xf>
    <xf numFmtId="9" fontId="43" fillId="21" borderId="239" xfId="0" quotePrefix="1" applyNumberFormat="1" applyFont="1" applyFill="1" applyBorder="1" applyAlignment="1" applyProtection="1">
      <alignment horizontal="right"/>
    </xf>
    <xf numFmtId="9" fontId="43" fillId="21" borderId="251" xfId="0" quotePrefix="1" applyNumberFormat="1" applyFont="1" applyFill="1" applyBorder="1" applyAlignment="1" applyProtection="1">
      <alignment horizontal="right"/>
    </xf>
    <xf numFmtId="3" fontId="3" fillId="21" borderId="302" xfId="0" applyNumberFormat="1" applyFont="1" applyFill="1" applyBorder="1" applyAlignment="1" applyProtection="1">
      <alignment wrapText="1"/>
    </xf>
    <xf numFmtId="3" fontId="3" fillId="21" borderId="293" xfId="0" applyNumberFormat="1" applyFont="1" applyFill="1" applyBorder="1" applyAlignment="1" applyProtection="1"/>
    <xf numFmtId="3" fontId="3" fillId="21" borderId="293" xfId="0" applyNumberFormat="1" applyFont="1" applyFill="1" applyBorder="1" applyAlignment="1" applyProtection="1">
      <alignment vertical="center" wrapText="1"/>
    </xf>
    <xf numFmtId="0" fontId="2" fillId="21" borderId="293" xfId="0" applyFont="1" applyFill="1" applyBorder="1" applyAlignment="1" applyProtection="1">
      <alignment wrapText="1"/>
    </xf>
    <xf numFmtId="0" fontId="9" fillId="21" borderId="303" xfId="0" applyFont="1" applyFill="1" applyBorder="1" applyAlignment="1" applyProtection="1">
      <alignment horizontal="left" wrapText="1"/>
    </xf>
    <xf numFmtId="3" fontId="3" fillId="21" borderId="304" xfId="0" applyNumberFormat="1" applyFont="1" applyFill="1" applyBorder="1" applyAlignment="1" applyProtection="1">
      <alignment horizontal="right"/>
    </xf>
    <xf numFmtId="0" fontId="0" fillId="21" borderId="293" xfId="0" applyFill="1" applyBorder="1"/>
    <xf numFmtId="3" fontId="39" fillId="21" borderId="305" xfId="0" applyNumberFormat="1" applyFont="1" applyFill="1" applyBorder="1" applyAlignment="1" applyProtection="1">
      <alignment horizontal="right"/>
    </xf>
    <xf numFmtId="3" fontId="3" fillId="21" borderId="293" xfId="0" applyNumberFormat="1" applyFont="1" applyFill="1" applyBorder="1" applyAlignment="1" applyProtection="1">
      <alignment horizontal="right"/>
    </xf>
    <xf numFmtId="3" fontId="3" fillId="21" borderId="306" xfId="0" applyNumberFormat="1" applyFont="1" applyFill="1" applyBorder="1" applyAlignment="1" applyProtection="1">
      <alignment horizontal="right"/>
    </xf>
    <xf numFmtId="3" fontId="116" fillId="21" borderId="293" xfId="0" applyNumberFormat="1" applyFont="1" applyFill="1" applyBorder="1" applyAlignment="1" applyProtection="1">
      <alignment horizontal="left" vertical="top"/>
    </xf>
    <xf numFmtId="0" fontId="117" fillId="21" borderId="305" xfId="0" applyFont="1" applyFill="1" applyBorder="1" applyAlignment="1">
      <alignment horizontal="left" vertical="top"/>
    </xf>
    <xf numFmtId="3" fontId="3" fillId="21" borderId="290" xfId="0" applyNumberFormat="1" applyFont="1" applyFill="1" applyBorder="1" applyAlignment="1" applyProtection="1">
      <alignment wrapText="1"/>
    </xf>
    <xf numFmtId="3" fontId="3" fillId="21" borderId="246" xfId="0" applyNumberFormat="1" applyFont="1" applyFill="1" applyBorder="1" applyAlignment="1" applyProtection="1"/>
    <xf numFmtId="3" fontId="3" fillId="21" borderId="246" xfId="0" applyNumberFormat="1" applyFont="1" applyFill="1" applyBorder="1" applyAlignment="1" applyProtection="1">
      <alignment vertical="center" wrapText="1"/>
    </xf>
    <xf numFmtId="0" fontId="2" fillId="21" borderId="246" xfId="0" applyFont="1" applyFill="1" applyBorder="1" applyAlignment="1" applyProtection="1">
      <alignment wrapText="1"/>
    </xf>
    <xf numFmtId="0" fontId="9" fillId="21" borderId="246" xfId="0" applyFont="1" applyFill="1" applyBorder="1" applyAlignment="1" applyProtection="1">
      <alignment horizontal="left" wrapText="1"/>
    </xf>
    <xf numFmtId="3" fontId="3" fillId="21" borderId="307" xfId="0" applyNumberFormat="1" applyFont="1" applyFill="1" applyBorder="1" applyAlignment="1" applyProtection="1">
      <alignment horizontal="left"/>
    </xf>
    <xf numFmtId="0" fontId="0" fillId="21" borderId="246" xfId="0" applyFill="1" applyBorder="1"/>
    <xf numFmtId="3" fontId="39" fillId="21" borderId="246" xfId="0" applyNumberFormat="1" applyFont="1" applyFill="1" applyBorder="1" applyAlignment="1" applyProtection="1">
      <alignment horizontal="left"/>
    </xf>
    <xf numFmtId="3" fontId="3" fillId="21" borderId="290" xfId="0" applyNumberFormat="1" applyFont="1" applyFill="1" applyBorder="1" applyAlignment="1" applyProtection="1">
      <alignment horizontal="left"/>
    </xf>
    <xf numFmtId="3" fontId="39" fillId="21" borderId="249" xfId="0" applyNumberFormat="1" applyFont="1" applyFill="1" applyBorder="1" applyAlignment="1" applyProtection="1">
      <alignment horizontal="right"/>
    </xf>
    <xf numFmtId="3" fontId="3" fillId="21" borderId="246" xfId="0" applyNumberFormat="1" applyFont="1" applyFill="1" applyBorder="1" applyAlignment="1" applyProtection="1">
      <alignment horizontal="left"/>
    </xf>
    <xf numFmtId="0" fontId="117" fillId="21" borderId="246" xfId="0" applyFont="1" applyFill="1" applyBorder="1" applyAlignment="1">
      <alignment horizontal="left" vertical="top"/>
    </xf>
    <xf numFmtId="0" fontId="117" fillId="21" borderId="255" xfId="0" applyFont="1" applyFill="1" applyBorder="1" applyAlignment="1">
      <alignment horizontal="left" vertical="top"/>
    </xf>
    <xf numFmtId="3" fontId="3" fillId="21" borderId="253" xfId="0" applyNumberFormat="1" applyFont="1" applyFill="1" applyBorder="1" applyAlignment="1" applyProtection="1">
      <alignment horizontal="left"/>
    </xf>
    <xf numFmtId="3" fontId="39" fillId="21" borderId="308" xfId="0" applyNumberFormat="1" applyFont="1" applyFill="1" applyBorder="1" applyAlignment="1" applyProtection="1">
      <alignment horizontal="right"/>
    </xf>
    <xf numFmtId="3" fontId="39" fillId="21" borderId="309" xfId="0" applyNumberFormat="1" applyFont="1" applyFill="1" applyBorder="1" applyAlignment="1" applyProtection="1">
      <alignment horizontal="left"/>
    </xf>
    <xf numFmtId="0" fontId="75" fillId="21" borderId="112" xfId="0" applyFont="1" applyFill="1" applyBorder="1" applyAlignment="1">
      <alignment wrapText="1"/>
    </xf>
    <xf numFmtId="0" fontId="75" fillId="21" borderId="67" xfId="0" applyFont="1" applyFill="1" applyBorder="1" applyAlignment="1">
      <alignment wrapText="1"/>
    </xf>
    <xf numFmtId="0" fontId="5" fillId="21" borderId="36" xfId="0" applyFont="1" applyFill="1" applyBorder="1" applyAlignment="1" applyProtection="1">
      <alignment horizontal="center" vertical="center"/>
    </xf>
    <xf numFmtId="0" fontId="0" fillId="21" borderId="121" xfId="0" applyFill="1" applyBorder="1" applyProtection="1"/>
    <xf numFmtId="0" fontId="3" fillId="21" borderId="125" xfId="0" applyFont="1" applyFill="1" applyBorder="1" applyAlignment="1" applyProtection="1">
      <alignment wrapText="1"/>
    </xf>
    <xf numFmtId="0" fontId="0" fillId="21" borderId="79" xfId="0" applyFill="1" applyBorder="1" applyAlignment="1">
      <alignment wrapText="1"/>
    </xf>
    <xf numFmtId="0" fontId="3" fillId="21" borderId="50" xfId="0" applyFont="1" applyFill="1" applyBorder="1" applyAlignment="1" applyProtection="1">
      <alignment wrapText="1"/>
    </xf>
    <xf numFmtId="0" fontId="22" fillId="21" borderId="52" xfId="0" applyFont="1" applyFill="1" applyBorder="1" applyAlignment="1">
      <alignment wrapText="1"/>
    </xf>
    <xf numFmtId="0" fontId="1" fillId="21" borderId="121" xfId="0" applyFont="1" applyFill="1" applyBorder="1" applyAlignment="1" applyProtection="1"/>
    <xf numFmtId="3" fontId="43" fillId="22" borderId="127" xfId="0" applyNumberFormat="1" applyFont="1" applyFill="1" applyBorder="1" applyAlignment="1" applyProtection="1"/>
    <xf numFmtId="3" fontId="43" fillId="22" borderId="21" xfId="0" applyNumberFormat="1" applyFont="1" applyFill="1" applyBorder="1" applyAlignment="1" applyProtection="1"/>
    <xf numFmtId="3" fontId="43" fillId="22" borderId="60" xfId="0" applyNumberFormat="1" applyFont="1" applyFill="1" applyBorder="1" applyAlignment="1" applyProtection="1"/>
    <xf numFmtId="3" fontId="43" fillId="22" borderId="18" xfId="0" applyNumberFormat="1" applyFont="1" applyFill="1" applyBorder="1" applyAlignment="1" applyProtection="1"/>
    <xf numFmtId="1" fontId="15" fillId="21" borderId="15" xfId="0" applyNumberFormat="1" applyFont="1" applyFill="1" applyBorder="1" applyAlignment="1" applyProtection="1">
      <alignment horizontal="left" vertical="top" wrapText="1"/>
    </xf>
    <xf numFmtId="0" fontId="49" fillId="21" borderId="42" xfId="0" applyFont="1" applyFill="1" applyBorder="1" applyAlignment="1">
      <alignment horizontal="left" vertical="top" wrapText="1"/>
    </xf>
    <xf numFmtId="0" fontId="5" fillId="21" borderId="121" xfId="0" applyFont="1" applyFill="1" applyBorder="1" applyAlignment="1" applyProtection="1"/>
    <xf numFmtId="3" fontId="5" fillId="21" borderId="36" xfId="0" applyNumberFormat="1" applyFont="1" applyFill="1" applyBorder="1" applyAlignment="1" applyProtection="1">
      <alignment horizontal="center" vertical="center"/>
    </xf>
    <xf numFmtId="0" fontId="7" fillId="21" borderId="121" xfId="0" applyFont="1" applyFill="1" applyBorder="1" applyAlignment="1" applyProtection="1"/>
    <xf numFmtId="0" fontId="3" fillId="21" borderId="184" xfId="0" applyFont="1" applyFill="1" applyBorder="1" applyAlignment="1" applyProtection="1">
      <alignment horizontal="left" wrapText="1"/>
    </xf>
    <xf numFmtId="0" fontId="0" fillId="21" borderId="185" xfId="0" applyFill="1" applyBorder="1" applyAlignment="1" applyProtection="1"/>
    <xf numFmtId="0" fontId="0" fillId="21" borderId="186" xfId="0" applyFill="1" applyBorder="1" applyAlignment="1" applyProtection="1"/>
    <xf numFmtId="1" fontId="5" fillId="0" borderId="0" xfId="0" applyNumberFormat="1" applyFont="1" applyFill="1" applyBorder="1" applyAlignment="1" applyProtection="1">
      <alignment horizontal="left" wrapText="1"/>
    </xf>
    <xf numFmtId="0" fontId="0" fillId="0" borderId="0" xfId="0" applyFill="1" applyBorder="1" applyAlignment="1">
      <alignment horizontal="left" wrapText="1"/>
    </xf>
    <xf numFmtId="1" fontId="3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vertical="top" wrapText="1"/>
    </xf>
    <xf numFmtId="1" fontId="2" fillId="21" borderId="15" xfId="0" applyNumberFormat="1" applyFont="1" applyFill="1" applyBorder="1" applyAlignment="1" applyProtection="1">
      <alignment horizontal="left" wrapText="1"/>
    </xf>
    <xf numFmtId="0" fontId="9" fillId="21" borderId="15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11" fillId="0" borderId="0" xfId="0" applyFont="1" applyFill="1" applyAlignment="1" applyProtection="1">
      <alignment vertical="top" wrapText="1"/>
    </xf>
    <xf numFmtId="0" fontId="111" fillId="0" borderId="0" xfId="0" applyFont="1" applyFill="1" applyBorder="1" applyAlignment="1">
      <alignment wrapText="1"/>
    </xf>
    <xf numFmtId="0" fontId="111" fillId="0" borderId="0" xfId="0" applyFont="1" applyFill="1" applyAlignment="1">
      <alignment vertical="top" wrapText="1"/>
    </xf>
    <xf numFmtId="0" fontId="134" fillId="0" borderId="0" xfId="0" applyFont="1" applyFill="1" applyBorder="1" applyAlignment="1">
      <alignment horizontal="left" wrapText="1"/>
    </xf>
    <xf numFmtId="0" fontId="134" fillId="0" borderId="57" xfId="0" applyFont="1" applyBorder="1" applyAlignment="1">
      <alignment horizontal="left" wrapText="1"/>
    </xf>
    <xf numFmtId="0" fontId="134" fillId="0" borderId="0" xfId="0" applyFont="1" applyAlignment="1">
      <alignment horizontal="left" wrapText="1"/>
    </xf>
    <xf numFmtId="0" fontId="134" fillId="0" borderId="231" xfId="0" applyFont="1" applyBorder="1" applyAlignment="1">
      <alignment horizontal="left" wrapText="1"/>
    </xf>
    <xf numFmtId="0" fontId="134" fillId="0" borderId="232" xfId="0" applyFont="1" applyBorder="1" applyAlignment="1">
      <alignment horizontal="left" wrapText="1"/>
    </xf>
    <xf numFmtId="0" fontId="3" fillId="21" borderId="118" xfId="0" applyFont="1" applyFill="1" applyBorder="1" applyAlignment="1" applyProtection="1">
      <alignment horizontal="left" vertical="top" wrapText="1"/>
    </xf>
    <xf numFmtId="0" fontId="0" fillId="0" borderId="42" xfId="0" applyBorder="1"/>
    <xf numFmtId="49" fontId="18" fillId="0" borderId="0" xfId="0" applyNumberFormat="1" applyFont="1" applyFill="1" applyBorder="1" applyAlignment="1" applyProtection="1">
      <alignment horizontal="left" wrapText="1"/>
    </xf>
    <xf numFmtId="0" fontId="53" fillId="0" borderId="0" xfId="0" applyFont="1" applyAlignment="1">
      <alignment horizontal="left" wrapText="1"/>
    </xf>
    <xf numFmtId="0" fontId="0" fillId="0" borderId="0" xfId="0" applyAlignment="1"/>
    <xf numFmtId="0" fontId="53" fillId="0" borderId="0" xfId="0" applyFont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2" fillId="21" borderId="49" xfId="0" applyFont="1" applyFill="1" applyBorder="1" applyAlignment="1" applyProtection="1">
      <alignment horizontal="center" vertical="top"/>
    </xf>
    <xf numFmtId="0" fontId="2" fillId="21" borderId="167" xfId="0" applyFont="1" applyFill="1" applyBorder="1" applyAlignment="1" applyProtection="1">
      <alignment horizontal="center" vertical="top"/>
    </xf>
    <xf numFmtId="3" fontId="2" fillId="21" borderId="49" xfId="0" applyNumberFormat="1" applyFont="1" applyFill="1" applyBorder="1" applyAlignment="1" applyProtection="1">
      <alignment horizontal="center" vertical="top"/>
    </xf>
    <xf numFmtId="3" fontId="2" fillId="21" borderId="48" xfId="0" applyNumberFormat="1" applyFont="1" applyFill="1" applyBorder="1" applyAlignment="1" applyProtection="1">
      <alignment horizontal="center" vertical="top"/>
    </xf>
    <xf numFmtId="3" fontId="2" fillId="21" borderId="167" xfId="0" applyNumberFormat="1" applyFont="1" applyFill="1" applyBorder="1" applyAlignment="1" applyProtection="1">
      <alignment horizontal="center" vertical="top"/>
    </xf>
    <xf numFmtId="0" fontId="2" fillId="21" borderId="195" xfId="0" applyFont="1" applyFill="1" applyBorder="1" applyAlignment="1" applyProtection="1">
      <alignment horizontal="center" vertical="top"/>
    </xf>
    <xf numFmtId="0" fontId="2" fillId="21" borderId="48" xfId="0" applyFont="1" applyFill="1" applyBorder="1" applyAlignment="1" applyProtection="1">
      <alignment horizontal="center" vertical="top"/>
    </xf>
    <xf numFmtId="3" fontId="2" fillId="21" borderId="49" xfId="0" applyNumberFormat="1" applyFont="1" applyFill="1" applyBorder="1" applyAlignment="1" applyProtection="1">
      <alignment horizontal="left" vertical="top" wrapText="1"/>
    </xf>
    <xf numFmtId="0" fontId="9" fillId="21" borderId="41" xfId="0" applyFont="1" applyFill="1" applyBorder="1" applyAlignment="1" applyProtection="1">
      <alignment vertical="top" wrapText="1"/>
    </xf>
    <xf numFmtId="0" fontId="3" fillId="2" borderId="202" xfId="0" applyFont="1" applyFill="1" applyBorder="1" applyAlignment="1" applyProtection="1">
      <alignment horizontal="right"/>
    </xf>
    <xf numFmtId="0" fontId="0" fillId="0" borderId="166" xfId="0" applyBorder="1" applyAlignment="1">
      <alignment horizontal="right"/>
    </xf>
    <xf numFmtId="0" fontId="0" fillId="0" borderId="102" xfId="0" applyBorder="1" applyAlignment="1">
      <alignment horizontal="right"/>
    </xf>
    <xf numFmtId="3" fontId="3" fillId="21" borderId="75" xfId="0" applyNumberFormat="1" applyFont="1" applyFill="1" applyBorder="1" applyAlignment="1" applyProtection="1">
      <alignment wrapText="1"/>
    </xf>
    <xf numFmtId="0" fontId="0" fillId="21" borderId="76" xfId="0" applyFill="1" applyBorder="1" applyAlignment="1">
      <alignment wrapText="1"/>
    </xf>
    <xf numFmtId="0" fontId="0" fillId="21" borderId="92" xfId="0" applyFill="1" applyBorder="1" applyAlignment="1">
      <alignment wrapText="1"/>
    </xf>
    <xf numFmtId="3" fontId="3" fillId="21" borderId="161" xfId="6" applyNumberFormat="1" applyFont="1" applyFill="1" applyBorder="1" applyAlignment="1" applyProtection="1">
      <alignment horizontal="left" vertical="top" wrapText="1"/>
    </xf>
    <xf numFmtId="0" fontId="22" fillId="21" borderId="161" xfId="6" applyFill="1" applyBorder="1" applyAlignment="1">
      <alignment horizontal="left" wrapText="1"/>
    </xf>
    <xf numFmtId="0" fontId="2" fillId="0" borderId="203" xfId="0" applyFont="1" applyFill="1" applyBorder="1" applyAlignment="1" applyProtection="1">
      <alignment horizontal="left" vertical="top" wrapText="1"/>
      <protection locked="0"/>
    </xf>
    <xf numFmtId="0" fontId="2" fillId="0" borderId="226" xfId="0" applyFont="1" applyFill="1" applyBorder="1" applyAlignment="1" applyProtection="1">
      <alignment horizontal="left" vertical="top" wrapText="1"/>
      <protection locked="0"/>
    </xf>
    <xf numFmtId="0" fontId="2" fillId="0" borderId="245" xfId="0" applyFont="1" applyFill="1" applyBorder="1" applyAlignment="1" applyProtection="1">
      <alignment horizontal="left" vertical="top" wrapText="1"/>
      <protection locked="0"/>
    </xf>
    <xf numFmtId="3" fontId="3" fillId="21" borderId="230" xfId="0" applyNumberFormat="1" applyFont="1" applyFill="1" applyBorder="1" applyAlignment="1" applyProtection="1">
      <alignment horizontal="left" vertical="top" wrapText="1"/>
    </xf>
    <xf numFmtId="0" fontId="0" fillId="0" borderId="44" xfId="0" applyBorder="1" applyAlignment="1">
      <alignment horizontal="left" wrapText="1"/>
    </xf>
    <xf numFmtId="3" fontId="3" fillId="21" borderId="258" xfId="0" applyNumberFormat="1" applyFont="1" applyFill="1" applyBorder="1" applyAlignment="1" applyProtection="1">
      <alignment horizontal="left" vertical="top" wrapText="1"/>
    </xf>
    <xf numFmtId="0" fontId="0" fillId="0" borderId="259" xfId="0" applyBorder="1" applyAlignment="1">
      <alignment horizontal="left" wrapText="1"/>
    </xf>
    <xf numFmtId="3" fontId="3" fillId="0" borderId="58" xfId="0" applyNumberFormat="1" applyFont="1" applyFill="1" applyBorder="1" applyAlignment="1" applyProtection="1"/>
    <xf numFmtId="0" fontId="7" fillId="0" borderId="57" xfId="0" applyFont="1" applyFill="1" applyBorder="1" applyAlignment="1"/>
    <xf numFmtId="0" fontId="9" fillId="21" borderId="48" xfId="0" applyFont="1" applyFill="1" applyBorder="1" applyAlignment="1" applyProtection="1">
      <alignment horizontal="center" vertical="top"/>
    </xf>
    <xf numFmtId="0" fontId="9" fillId="21" borderId="41" xfId="0" applyFont="1" applyFill="1" applyBorder="1" applyAlignment="1" applyProtection="1">
      <alignment horizontal="center" vertical="top"/>
    </xf>
    <xf numFmtId="0" fontId="5" fillId="21" borderId="202" xfId="0" applyFont="1" applyFill="1" applyBorder="1" applyAlignment="1" applyProtection="1">
      <alignment horizontal="center" vertical="center" wrapText="1"/>
    </xf>
    <xf numFmtId="0" fontId="5" fillId="21" borderId="166" xfId="0" applyFont="1" applyFill="1" applyBorder="1" applyAlignment="1" applyProtection="1">
      <alignment horizontal="center" vertical="center" wrapText="1"/>
    </xf>
    <xf numFmtId="0" fontId="5" fillId="21" borderId="225" xfId="0" applyFont="1" applyFill="1" applyBorder="1" applyAlignment="1" applyProtection="1">
      <alignment horizontal="center" vertical="center" wrapText="1"/>
    </xf>
    <xf numFmtId="3" fontId="3" fillId="21" borderId="75" xfId="0" applyNumberFormat="1" applyFont="1" applyFill="1" applyBorder="1" applyAlignment="1" applyProtection="1">
      <alignment horizontal="left" wrapText="1"/>
    </xf>
    <xf numFmtId="0" fontId="22" fillId="21" borderId="76" xfId="0" applyFont="1" applyFill="1" applyBorder="1" applyAlignment="1" applyProtection="1">
      <alignment horizontal="left" wrapText="1"/>
    </xf>
    <xf numFmtId="0" fontId="22" fillId="21" borderId="92" xfId="0" applyFont="1" applyFill="1" applyBorder="1" applyAlignment="1" applyProtection="1">
      <alignment horizontal="left" wrapText="1"/>
    </xf>
    <xf numFmtId="3" fontId="3" fillId="21" borderId="75" xfId="0" applyNumberFormat="1" applyFont="1" applyFill="1" applyBorder="1" applyAlignment="1" applyProtection="1">
      <alignment horizontal="left" vertical="top" wrapText="1"/>
    </xf>
    <xf numFmtId="0" fontId="22" fillId="21" borderId="76" xfId="0" applyFont="1" applyFill="1" applyBorder="1" applyAlignment="1" applyProtection="1">
      <alignment horizontal="left" vertical="top" wrapText="1"/>
    </xf>
    <xf numFmtId="0" fontId="22" fillId="21" borderId="92" xfId="0" applyFont="1" applyFill="1" applyBorder="1" applyAlignment="1" applyProtection="1">
      <alignment horizontal="left" vertical="top" wrapText="1"/>
    </xf>
    <xf numFmtId="3" fontId="3" fillId="21" borderId="75" xfId="0" applyNumberFormat="1" applyFont="1" applyFill="1" applyBorder="1" applyAlignment="1" applyProtection="1">
      <alignment vertical="center" wrapText="1"/>
    </xf>
    <xf numFmtId="0" fontId="0" fillId="21" borderId="76" xfId="0" applyFill="1" applyBorder="1" applyAlignment="1" applyProtection="1">
      <alignment vertical="center"/>
    </xf>
    <xf numFmtId="0" fontId="0" fillId="21" borderId="92" xfId="0" applyFill="1" applyBorder="1" applyAlignment="1" applyProtection="1">
      <alignment vertical="center"/>
    </xf>
    <xf numFmtId="3" fontId="3" fillId="21" borderId="159" xfId="0" applyNumberFormat="1" applyFont="1" applyFill="1" applyBorder="1" applyAlignment="1" applyProtection="1">
      <alignment horizontal="left" vertical="top" wrapText="1"/>
    </xf>
    <xf numFmtId="0" fontId="0" fillId="0" borderId="159" xfId="0" applyBorder="1" applyAlignment="1">
      <alignment horizontal="left" wrapText="1"/>
    </xf>
    <xf numFmtId="3" fontId="10" fillId="0" borderId="203" xfId="0" applyNumberFormat="1" applyFont="1" applyFill="1" applyBorder="1" applyAlignment="1" applyProtection="1">
      <alignment horizontal="left" vertical="top" wrapText="1"/>
      <protection locked="0"/>
    </xf>
    <xf numFmtId="3" fontId="3" fillId="21" borderId="207" xfId="0" applyNumberFormat="1" applyFont="1" applyFill="1" applyBorder="1" applyAlignment="1" applyProtection="1">
      <alignment vertical="center" wrapText="1"/>
    </xf>
    <xf numFmtId="3" fontId="3" fillId="21" borderId="197" xfId="0" applyNumberFormat="1" applyFont="1" applyFill="1" applyBorder="1" applyAlignment="1" applyProtection="1">
      <alignment vertical="center" wrapText="1"/>
    </xf>
    <xf numFmtId="0" fontId="3" fillId="21" borderId="12" xfId="0" applyFont="1" applyFill="1" applyBorder="1" applyAlignment="1" applyProtection="1">
      <alignment horizontal="left" vertical="top" wrapText="1"/>
    </xf>
    <xf numFmtId="0" fontId="0" fillId="0" borderId="92" xfId="0" applyBorder="1" applyAlignment="1"/>
    <xf numFmtId="0" fontId="54" fillId="0" borderId="0" xfId="0" applyFont="1" applyFill="1" applyBorder="1" applyAlignment="1" applyProtection="1">
      <alignment horizontal="left" wrapText="1"/>
    </xf>
    <xf numFmtId="0" fontId="5" fillId="21" borderId="279" xfId="0" applyFont="1" applyFill="1" applyBorder="1" applyAlignment="1" applyProtection="1">
      <alignment vertical="top" wrapText="1"/>
    </xf>
    <xf numFmtId="0" fontId="49" fillId="21" borderId="280" xfId="0" applyFont="1" applyFill="1" applyBorder="1" applyAlignment="1" applyProtection="1">
      <alignment vertical="top" wrapText="1"/>
    </xf>
    <xf numFmtId="0" fontId="5" fillId="21" borderId="268" xfId="0" applyFont="1" applyFill="1" applyBorder="1" applyAlignment="1" applyProtection="1">
      <alignment vertical="top" wrapText="1"/>
    </xf>
    <xf numFmtId="0" fontId="5" fillId="21" borderId="269" xfId="0" applyFont="1" applyFill="1" applyBorder="1" applyAlignment="1" applyProtection="1">
      <alignment vertical="top" wrapText="1"/>
    </xf>
    <xf numFmtId="0" fontId="5" fillId="21" borderId="270" xfId="0" applyFont="1" applyFill="1" applyBorder="1" applyAlignment="1" applyProtection="1">
      <alignment vertical="top" wrapText="1"/>
    </xf>
    <xf numFmtId="0" fontId="3" fillId="21" borderId="15" xfId="0" applyFont="1" applyFill="1" applyBorder="1" applyAlignment="1" applyProtection="1">
      <alignment vertical="top" wrapText="1"/>
    </xf>
    <xf numFmtId="0" fontId="0" fillId="21" borderId="15" xfId="0" applyFill="1" applyBorder="1" applyAlignment="1" applyProtection="1">
      <alignment vertical="top" wrapText="1"/>
    </xf>
    <xf numFmtId="0" fontId="0" fillId="21" borderId="42" xfId="0" applyFill="1" applyBorder="1" applyAlignment="1" applyProtection="1">
      <alignment vertical="top" wrapText="1"/>
    </xf>
    <xf numFmtId="0" fontId="3" fillId="21" borderId="60" xfId="0" applyFont="1" applyFill="1" applyBorder="1" applyAlignment="1" applyProtection="1">
      <alignment vertical="top" wrapText="1"/>
    </xf>
    <xf numFmtId="0" fontId="0" fillId="21" borderId="60" xfId="0" applyFill="1" applyBorder="1" applyAlignment="1" applyProtection="1">
      <alignment vertical="top" wrapText="1"/>
    </xf>
    <xf numFmtId="0" fontId="0" fillId="21" borderId="90" xfId="0" applyFill="1" applyBorder="1" applyAlignment="1" applyProtection="1">
      <alignment vertical="top" wrapText="1"/>
    </xf>
    <xf numFmtId="0" fontId="5" fillId="21" borderId="193" xfId="0" applyFont="1" applyFill="1" applyBorder="1" applyAlignment="1" applyProtection="1">
      <alignment horizontal="left" vertical="top" wrapText="1"/>
    </xf>
    <xf numFmtId="0" fontId="0" fillId="21" borderId="124" xfId="0" applyFill="1" applyBorder="1" applyAlignment="1">
      <alignment vertical="top"/>
    </xf>
    <xf numFmtId="0" fontId="0" fillId="21" borderId="111" xfId="0" applyFill="1" applyBorder="1" applyAlignment="1">
      <alignment vertical="top"/>
    </xf>
    <xf numFmtId="0" fontId="0" fillId="21" borderId="1" xfId="0" applyFill="1" applyBorder="1" applyAlignment="1">
      <alignment vertical="top"/>
    </xf>
    <xf numFmtId="0" fontId="127" fillId="21" borderId="27" xfId="0" applyFont="1" applyFill="1" applyBorder="1" applyAlignment="1" applyProtection="1">
      <alignment wrapText="1"/>
    </xf>
    <xf numFmtId="0" fontId="0" fillId="21" borderId="27" xfId="0" applyFill="1" applyBorder="1" applyAlignment="1">
      <alignment wrapText="1"/>
    </xf>
    <xf numFmtId="0" fontId="3" fillId="21" borderId="0" xfId="0" applyFont="1" applyFill="1" applyBorder="1" applyAlignment="1" applyProtection="1">
      <alignment wrapText="1"/>
    </xf>
    <xf numFmtId="0" fontId="22" fillId="21" borderId="0" xfId="0" applyFont="1" applyFill="1" applyAlignment="1">
      <alignment wrapText="1"/>
    </xf>
    <xf numFmtId="0" fontId="3" fillId="21" borderId="27" xfId="0" applyFont="1" applyFill="1" applyBorder="1" applyAlignment="1" applyProtection="1">
      <alignment wrapText="1"/>
    </xf>
    <xf numFmtId="0" fontId="3" fillId="21" borderId="27" xfId="0" applyFont="1" applyFill="1" applyBorder="1" applyAlignment="1" applyProtection="1">
      <alignment horizontal="left" vertical="top" wrapText="1"/>
    </xf>
    <xf numFmtId="0" fontId="0" fillId="21" borderId="27" xfId="0" applyFill="1" applyBorder="1" applyAlignment="1">
      <alignment horizontal="left" vertical="top" wrapText="1"/>
    </xf>
    <xf numFmtId="0" fontId="0" fillId="21" borderId="0" xfId="0" applyFill="1" applyAlignment="1">
      <alignment wrapText="1"/>
    </xf>
    <xf numFmtId="0" fontId="127" fillId="21" borderId="0" xfId="0" applyFont="1" applyFill="1" applyBorder="1" applyAlignment="1" applyProtection="1">
      <alignment wrapText="1"/>
    </xf>
    <xf numFmtId="0" fontId="0" fillId="21" borderId="39" xfId="0" applyFill="1" applyBorder="1" applyAlignment="1">
      <alignment wrapText="1"/>
    </xf>
    <xf numFmtId="0" fontId="49" fillId="21" borderId="36" xfId="6" applyFont="1" applyFill="1" applyBorder="1" applyAlignment="1" applyProtection="1">
      <alignment vertical="center" wrapText="1"/>
    </xf>
    <xf numFmtId="0" fontId="0" fillId="0" borderId="96" xfId="0" applyBorder="1" applyAlignment="1">
      <alignment wrapText="1"/>
    </xf>
    <xf numFmtId="0" fontId="0" fillId="0" borderId="58" xfId="0" applyBorder="1" applyAlignment="1">
      <alignment wrapText="1"/>
    </xf>
    <xf numFmtId="0" fontId="0" fillId="0" borderId="44" xfId="0" applyBorder="1" applyAlignment="1">
      <alignment wrapText="1"/>
    </xf>
    <xf numFmtId="0" fontId="3" fillId="21" borderId="118" xfId="6" applyFont="1" applyFill="1" applyBorder="1" applyAlignment="1" applyProtection="1">
      <alignment vertical="top" wrapText="1"/>
    </xf>
    <xf numFmtId="0" fontId="0" fillId="0" borderId="2" xfId="0" applyBorder="1" applyAlignment="1">
      <alignment vertical="top" wrapText="1"/>
    </xf>
    <xf numFmtId="3" fontId="3" fillId="21" borderId="16" xfId="6" applyNumberFormat="1" applyFont="1" applyFill="1" applyBorder="1" applyAlignment="1" applyProtection="1">
      <alignment vertical="top" wrapText="1"/>
    </xf>
    <xf numFmtId="0" fontId="0" fillId="21" borderId="16" xfId="0" applyFill="1" applyBorder="1" applyAlignment="1">
      <alignment wrapText="1"/>
    </xf>
    <xf numFmtId="3" fontId="3" fillId="21" borderId="15" xfId="6" applyNumberFormat="1" applyFont="1" applyFill="1" applyBorder="1" applyAlignment="1" applyProtection="1">
      <alignment vertical="top" wrapText="1"/>
    </xf>
    <xf numFmtId="0" fontId="0" fillId="21" borderId="15" xfId="0" applyFill="1" applyBorder="1" applyAlignment="1">
      <alignment vertical="top" wrapText="1"/>
    </xf>
    <xf numFmtId="0" fontId="0" fillId="21" borderId="15" xfId="0" applyFill="1" applyBorder="1" applyAlignment="1">
      <alignment wrapText="1"/>
    </xf>
    <xf numFmtId="0" fontId="3" fillId="21" borderId="15" xfId="6" applyFont="1" applyFill="1" applyBorder="1" applyAlignment="1" applyProtection="1">
      <alignment vertical="top" wrapText="1"/>
    </xf>
    <xf numFmtId="0" fontId="0" fillId="21" borderId="42" xfId="0" applyFill="1" applyBorder="1" applyAlignment="1">
      <alignment vertical="top" wrapText="1"/>
    </xf>
    <xf numFmtId="3" fontId="3" fillId="21" borderId="160" xfId="6" applyNumberFormat="1" applyFont="1" applyFill="1" applyBorder="1" applyAlignment="1" applyProtection="1">
      <alignment vertical="center" wrapText="1"/>
    </xf>
    <xf numFmtId="0" fontId="0" fillId="21" borderId="160" xfId="0" applyFill="1" applyBorder="1" applyAlignment="1">
      <alignment vertical="center" wrapText="1"/>
    </xf>
    <xf numFmtId="3" fontId="3" fillId="21" borderId="170" xfId="6" applyNumberFormat="1" applyFont="1" applyFill="1" applyBorder="1" applyAlignment="1" applyProtection="1">
      <alignment wrapText="1"/>
    </xf>
    <xf numFmtId="0" fontId="0" fillId="21" borderId="3" xfId="0" applyFill="1" applyBorder="1" applyAlignment="1">
      <alignment wrapText="1"/>
    </xf>
    <xf numFmtId="0" fontId="0" fillId="21" borderId="160" xfId="0" applyFill="1" applyBorder="1" applyAlignment="1">
      <alignment vertical="center"/>
    </xf>
    <xf numFmtId="3" fontId="3" fillId="21" borderId="160" xfId="6" applyNumberFormat="1" applyFont="1" applyFill="1" applyBorder="1" applyAlignment="1" applyProtection="1">
      <alignment vertical="top" wrapText="1"/>
    </xf>
    <xf numFmtId="0" fontId="22" fillId="21" borderId="160" xfId="0" applyFont="1" applyFill="1" applyBorder="1" applyAlignment="1">
      <alignment vertical="top" wrapText="1"/>
    </xf>
    <xf numFmtId="0" fontId="3" fillId="21" borderId="243" xfId="6" applyFont="1" applyFill="1" applyBorder="1" applyAlignment="1" applyProtection="1">
      <alignment wrapText="1"/>
    </xf>
    <xf numFmtId="0" fontId="0" fillId="0" borderId="244" xfId="0" applyBorder="1" applyAlignment="1">
      <alignment wrapText="1"/>
    </xf>
    <xf numFmtId="3" fontId="3" fillId="21" borderId="286" xfId="6" applyNumberFormat="1" applyFont="1" applyFill="1" applyBorder="1" applyAlignment="1" applyProtection="1">
      <alignment vertical="top" wrapText="1"/>
    </xf>
    <xf numFmtId="0" fontId="22" fillId="21" borderId="246" xfId="6" applyFill="1" applyBorder="1" applyAlignment="1" applyProtection="1"/>
    <xf numFmtId="0" fontId="22" fillId="21" borderId="286" xfId="6" applyFill="1" applyBorder="1" applyAlignment="1" applyProtection="1"/>
    <xf numFmtId="0" fontId="130" fillId="21" borderId="246" xfId="0" applyFont="1" applyFill="1" applyBorder="1" applyAlignment="1">
      <alignment vertical="top" wrapText="1"/>
    </xf>
    <xf numFmtId="0" fontId="0" fillId="21" borderId="246" xfId="0" applyFill="1" applyBorder="1" applyAlignment="1">
      <alignment vertical="top" wrapText="1"/>
    </xf>
    <xf numFmtId="0" fontId="132" fillId="21" borderId="246" xfId="0" applyFont="1" applyFill="1" applyBorder="1" applyAlignment="1">
      <alignment wrapText="1"/>
    </xf>
    <xf numFmtId="0" fontId="133" fillId="0" borderId="246" xfId="0" applyFont="1" applyBorder="1" applyAlignment="1">
      <alignment wrapText="1"/>
    </xf>
    <xf numFmtId="0" fontId="131" fillId="21" borderId="254" xfId="0" applyFont="1" applyFill="1" applyBorder="1" applyAlignment="1">
      <alignment horizontal="left" vertical="top" wrapText="1"/>
    </xf>
    <xf numFmtId="0" fontId="0" fillId="21" borderId="246" xfId="0" applyFill="1" applyBorder="1" applyAlignment="1">
      <alignment horizontal="left" vertical="top" wrapText="1"/>
    </xf>
    <xf numFmtId="0" fontId="0" fillId="21" borderId="255" xfId="0" applyFill="1" applyBorder="1" applyAlignment="1">
      <alignment horizontal="left" vertical="top" wrapText="1"/>
    </xf>
    <xf numFmtId="0" fontId="3" fillId="21" borderId="243" xfId="0" applyFont="1" applyFill="1" applyBorder="1" applyAlignment="1" applyProtection="1">
      <alignment vertical="top" wrapText="1"/>
    </xf>
    <xf numFmtId="0" fontId="0" fillId="0" borderId="244" xfId="0" applyBorder="1" applyAlignment="1">
      <alignment vertical="top" wrapText="1"/>
    </xf>
    <xf numFmtId="3" fontId="3" fillId="21" borderId="160" xfId="0" applyNumberFormat="1" applyFont="1" applyFill="1" applyBorder="1" applyAlignment="1" applyProtection="1">
      <alignment vertical="top" wrapText="1"/>
    </xf>
    <xf numFmtId="0" fontId="22" fillId="21" borderId="178" xfId="0" applyFont="1" applyFill="1" applyBorder="1" applyAlignment="1">
      <alignment vertical="top" wrapText="1"/>
    </xf>
    <xf numFmtId="3" fontId="3" fillId="21" borderId="160" xfId="0" applyNumberFormat="1" applyFont="1" applyFill="1" applyBorder="1" applyAlignment="1" applyProtection="1">
      <alignment wrapText="1"/>
    </xf>
    <xf numFmtId="0" fontId="0" fillId="21" borderId="160" xfId="0" applyFill="1" applyBorder="1" applyAlignment="1">
      <alignment wrapText="1"/>
    </xf>
    <xf numFmtId="0" fontId="3" fillId="21" borderId="160" xfId="0" applyFont="1" applyFill="1" applyBorder="1" applyAlignment="1" applyProtection="1">
      <alignment vertical="top" wrapText="1"/>
    </xf>
    <xf numFmtId="0" fontId="0" fillId="0" borderId="160" xfId="0" applyBorder="1" applyAlignment="1">
      <alignment vertical="top" wrapText="1"/>
    </xf>
    <xf numFmtId="3" fontId="3" fillId="21" borderId="108" xfId="0" applyNumberFormat="1" applyFont="1" applyFill="1" applyBorder="1" applyAlignment="1" applyProtection="1">
      <alignment vertical="top" wrapText="1"/>
    </xf>
  </cellXfs>
  <cellStyles count="17">
    <cellStyle name="Anteckning 2" xfId="1"/>
    <cellStyle name="Anteckning 2 2" xfId="2"/>
    <cellStyle name="Dålig 2" xfId="3"/>
    <cellStyle name="Följde hyperlänken" xfId="4"/>
    <cellStyle name="Hyperlänk" xfId="5" builtinId="8"/>
    <cellStyle name="Normal" xfId="0" builtinId="0"/>
    <cellStyle name="Normal 2" xfId="6"/>
    <cellStyle name="Normal 3" xfId="7"/>
    <cellStyle name="Normal 4" xfId="8"/>
    <cellStyle name="Normal 4 2" xfId="9"/>
    <cellStyle name="Normal_Kontrollblad" xfId="10"/>
    <cellStyle name="Normal_skolkostn" xfId="11"/>
    <cellStyle name="Normal_skolkostn 2" xfId="12"/>
    <cellStyle name="Procent" xfId="13" builtinId="5"/>
    <cellStyle name="Procent 2" xfId="14"/>
    <cellStyle name="Tusental (0)_Kommunägda företag" xfId="15"/>
    <cellStyle name="Valuta (0)_Kommunägda företag" xfId="16"/>
  </cellStyles>
  <dxfs count="158"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color rgb="FFFF000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  <color rgb="FFFFFFCC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83820</xdr:colOff>
      <xdr:row>28</xdr:row>
      <xdr:rowOff>11430</xdr:rowOff>
    </xdr:from>
    <xdr:ext cx="184731" cy="262400"/>
    <xdr:sp macro="" textlink="">
      <xdr:nvSpPr>
        <xdr:cNvPr id="2" name="textruta 1"/>
        <xdr:cNvSpPr txBox="1"/>
      </xdr:nvSpPr>
      <xdr:spPr>
        <a:xfrm>
          <a:off x="5617845" y="5097780"/>
          <a:ext cx="184731" cy="26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v-SE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76200</xdr:rowOff>
    </xdr:from>
    <xdr:to>
      <xdr:col>6</xdr:col>
      <xdr:colOff>28575</xdr:colOff>
      <xdr:row>12</xdr:row>
      <xdr:rowOff>76200</xdr:rowOff>
    </xdr:to>
    <xdr:cxnSp macro="">
      <xdr:nvCxnSpPr>
        <xdr:cNvPr id="186129" name="AutoShape 242"/>
        <xdr:cNvCxnSpPr>
          <a:cxnSpLocks noChangeShapeType="1"/>
        </xdr:cNvCxnSpPr>
      </xdr:nvCxnSpPr>
      <xdr:spPr bwMode="auto">
        <a:xfrm>
          <a:off x="4086225" y="2428875"/>
          <a:ext cx="19431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14</xdr:row>
      <xdr:rowOff>95250</xdr:rowOff>
    </xdr:from>
    <xdr:to>
      <xdr:col>6</xdr:col>
      <xdr:colOff>0</xdr:colOff>
      <xdr:row>14</xdr:row>
      <xdr:rowOff>95250</xdr:rowOff>
    </xdr:to>
    <xdr:cxnSp macro="">
      <xdr:nvCxnSpPr>
        <xdr:cNvPr id="186130" name="AutoShape 243"/>
        <xdr:cNvCxnSpPr>
          <a:cxnSpLocks noChangeShapeType="1"/>
        </xdr:cNvCxnSpPr>
      </xdr:nvCxnSpPr>
      <xdr:spPr bwMode="auto">
        <a:xfrm>
          <a:off x="4095750" y="2809875"/>
          <a:ext cx="19050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21</xdr:row>
      <xdr:rowOff>123825</xdr:rowOff>
    </xdr:from>
    <xdr:to>
      <xdr:col>6</xdr:col>
      <xdr:colOff>9525</xdr:colOff>
      <xdr:row>21</xdr:row>
      <xdr:rowOff>123825</xdr:rowOff>
    </xdr:to>
    <xdr:cxnSp macro="">
      <xdr:nvCxnSpPr>
        <xdr:cNvPr id="186131" name="AutoShape 244"/>
        <xdr:cNvCxnSpPr>
          <a:cxnSpLocks noChangeShapeType="1"/>
        </xdr:cNvCxnSpPr>
      </xdr:nvCxnSpPr>
      <xdr:spPr bwMode="auto">
        <a:xfrm flipV="1">
          <a:off x="4095750" y="4105275"/>
          <a:ext cx="19145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19050</xdr:colOff>
      <xdr:row>48</xdr:row>
      <xdr:rowOff>85725</xdr:rowOff>
    </xdr:from>
    <xdr:to>
      <xdr:col>6</xdr:col>
      <xdr:colOff>0</xdr:colOff>
      <xdr:row>48</xdr:row>
      <xdr:rowOff>85725</xdr:rowOff>
    </xdr:to>
    <xdr:cxnSp macro="">
      <xdr:nvCxnSpPr>
        <xdr:cNvPr id="186132" name="AutoShape 245"/>
        <xdr:cNvCxnSpPr>
          <a:cxnSpLocks noChangeShapeType="1"/>
        </xdr:cNvCxnSpPr>
      </xdr:nvCxnSpPr>
      <xdr:spPr bwMode="auto">
        <a:xfrm>
          <a:off x="4105275" y="8772525"/>
          <a:ext cx="189547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57</xdr:row>
      <xdr:rowOff>104775</xdr:rowOff>
    </xdr:from>
    <xdr:to>
      <xdr:col>6</xdr:col>
      <xdr:colOff>0</xdr:colOff>
      <xdr:row>57</xdr:row>
      <xdr:rowOff>114300</xdr:rowOff>
    </xdr:to>
    <xdr:cxnSp macro="">
      <xdr:nvCxnSpPr>
        <xdr:cNvPr id="186133" name="AutoShape 246"/>
        <xdr:cNvCxnSpPr>
          <a:cxnSpLocks noChangeShapeType="1"/>
        </xdr:cNvCxnSpPr>
      </xdr:nvCxnSpPr>
      <xdr:spPr bwMode="auto">
        <a:xfrm>
          <a:off x="4095750" y="10420350"/>
          <a:ext cx="1905000" cy="952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53</xdr:row>
      <xdr:rowOff>104775</xdr:rowOff>
    </xdr:from>
    <xdr:to>
      <xdr:col>6</xdr:col>
      <xdr:colOff>28575</xdr:colOff>
      <xdr:row>54</xdr:row>
      <xdr:rowOff>85725</xdr:rowOff>
    </xdr:to>
    <xdr:cxnSp macro="">
      <xdr:nvCxnSpPr>
        <xdr:cNvPr id="186135" name="AutoShape 250"/>
        <xdr:cNvCxnSpPr>
          <a:cxnSpLocks noChangeShapeType="1"/>
        </xdr:cNvCxnSpPr>
      </xdr:nvCxnSpPr>
      <xdr:spPr bwMode="auto">
        <a:xfrm flipV="1">
          <a:off x="4762500" y="9696450"/>
          <a:ext cx="1266825" cy="161925"/>
        </a:xfrm>
        <a:prstGeom prst="bentConnector3">
          <a:avLst>
            <a:gd name="adj1" fmla="val 67611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62</xdr:row>
      <xdr:rowOff>66675</xdr:rowOff>
    </xdr:from>
    <xdr:to>
      <xdr:col>5</xdr:col>
      <xdr:colOff>971550</xdr:colOff>
      <xdr:row>62</xdr:row>
      <xdr:rowOff>76200</xdr:rowOff>
    </xdr:to>
    <xdr:cxnSp macro="">
      <xdr:nvCxnSpPr>
        <xdr:cNvPr id="186136" name="AutoShape 245"/>
        <xdr:cNvCxnSpPr>
          <a:cxnSpLocks noChangeShapeType="1"/>
        </xdr:cNvCxnSpPr>
      </xdr:nvCxnSpPr>
      <xdr:spPr bwMode="auto">
        <a:xfrm>
          <a:off x="4086225" y="11687175"/>
          <a:ext cx="1647825" cy="952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352425</xdr:colOff>
      <xdr:row>19</xdr:row>
      <xdr:rowOff>57150</xdr:rowOff>
    </xdr:from>
    <xdr:to>
      <xdr:col>3</xdr:col>
      <xdr:colOff>352425</xdr:colOff>
      <xdr:row>20</xdr:row>
      <xdr:rowOff>9525</xdr:rowOff>
    </xdr:to>
    <xdr:cxnSp macro="">
      <xdr:nvCxnSpPr>
        <xdr:cNvPr id="186137" name="AutoShape 245"/>
        <xdr:cNvCxnSpPr>
          <a:cxnSpLocks noChangeShapeType="1"/>
        </xdr:cNvCxnSpPr>
      </xdr:nvCxnSpPr>
      <xdr:spPr bwMode="auto">
        <a:xfrm flipH="1" flipV="1">
          <a:off x="3733800" y="3676650"/>
          <a:ext cx="0" cy="13335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352425</xdr:colOff>
      <xdr:row>19</xdr:row>
      <xdr:rowOff>66675</xdr:rowOff>
    </xdr:from>
    <xdr:to>
      <xdr:col>6</xdr:col>
      <xdr:colOff>0</xdr:colOff>
      <xdr:row>19</xdr:row>
      <xdr:rowOff>66675</xdr:rowOff>
    </xdr:to>
    <xdr:cxnSp macro="">
      <xdr:nvCxnSpPr>
        <xdr:cNvPr id="186138" name="AutoShape 244"/>
        <xdr:cNvCxnSpPr>
          <a:cxnSpLocks noChangeShapeType="1"/>
        </xdr:cNvCxnSpPr>
      </xdr:nvCxnSpPr>
      <xdr:spPr bwMode="auto">
        <a:xfrm flipV="1">
          <a:off x="3733800" y="3686175"/>
          <a:ext cx="226695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847725</xdr:colOff>
      <xdr:row>48</xdr:row>
      <xdr:rowOff>85725</xdr:rowOff>
    </xdr:from>
    <xdr:to>
      <xdr:col>6</xdr:col>
      <xdr:colOff>19050</xdr:colOff>
      <xdr:row>49</xdr:row>
      <xdr:rowOff>76200</xdr:rowOff>
    </xdr:to>
    <xdr:cxnSp macro="">
      <xdr:nvCxnSpPr>
        <xdr:cNvPr id="186139" name="AutoShape 249"/>
        <xdr:cNvCxnSpPr>
          <a:cxnSpLocks noChangeShapeType="1"/>
        </xdr:cNvCxnSpPr>
      </xdr:nvCxnSpPr>
      <xdr:spPr bwMode="auto">
        <a:xfrm>
          <a:off x="5610225" y="8772525"/>
          <a:ext cx="409575" cy="171450"/>
        </a:xfrm>
        <a:prstGeom prst="bentConnector3">
          <a:avLst>
            <a:gd name="adj1" fmla="val 1361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885825</xdr:colOff>
      <xdr:row>55</xdr:row>
      <xdr:rowOff>76200</xdr:rowOff>
    </xdr:from>
    <xdr:to>
      <xdr:col>6</xdr:col>
      <xdr:colOff>9525</xdr:colOff>
      <xdr:row>56</xdr:row>
      <xdr:rowOff>104775</xdr:rowOff>
    </xdr:to>
    <xdr:cxnSp macro="">
      <xdr:nvCxnSpPr>
        <xdr:cNvPr id="186140" name="AutoShape 250"/>
        <xdr:cNvCxnSpPr>
          <a:cxnSpLocks noChangeShapeType="1"/>
        </xdr:cNvCxnSpPr>
      </xdr:nvCxnSpPr>
      <xdr:spPr bwMode="auto">
        <a:xfrm flipV="1">
          <a:off x="5648325" y="10029825"/>
          <a:ext cx="361950" cy="209550"/>
        </a:xfrm>
        <a:prstGeom prst="bentConnector3">
          <a:avLst>
            <a:gd name="adj1" fmla="val -844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9525</xdr:colOff>
      <xdr:row>56</xdr:row>
      <xdr:rowOff>104775</xdr:rowOff>
    </xdr:from>
    <xdr:to>
      <xdr:col>6</xdr:col>
      <xdr:colOff>47625</xdr:colOff>
      <xdr:row>56</xdr:row>
      <xdr:rowOff>104775</xdr:rowOff>
    </xdr:to>
    <xdr:cxnSp macro="">
      <xdr:nvCxnSpPr>
        <xdr:cNvPr id="186141" name="AutoShape 248"/>
        <xdr:cNvCxnSpPr>
          <a:cxnSpLocks noChangeShapeType="1"/>
        </xdr:cNvCxnSpPr>
      </xdr:nvCxnSpPr>
      <xdr:spPr bwMode="auto">
        <a:xfrm>
          <a:off x="4772025" y="10239375"/>
          <a:ext cx="15716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698500</xdr:colOff>
      <xdr:row>22</xdr:row>
      <xdr:rowOff>103188</xdr:rowOff>
    </xdr:from>
    <xdr:to>
      <xdr:col>6</xdr:col>
      <xdr:colOff>25400</xdr:colOff>
      <xdr:row>23</xdr:row>
      <xdr:rowOff>112712</xdr:rowOff>
    </xdr:to>
    <xdr:cxnSp macro="">
      <xdr:nvCxnSpPr>
        <xdr:cNvPr id="186142" name="AutoShape 249"/>
        <xdr:cNvCxnSpPr>
          <a:cxnSpLocks noChangeShapeType="1"/>
        </xdr:cNvCxnSpPr>
      </xdr:nvCxnSpPr>
      <xdr:spPr bwMode="auto">
        <a:xfrm>
          <a:off x="4079875" y="4278313"/>
          <a:ext cx="2239963" cy="192087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657225</xdr:colOff>
      <xdr:row>66</xdr:row>
      <xdr:rowOff>85725</xdr:rowOff>
    </xdr:from>
    <xdr:to>
      <xdr:col>6</xdr:col>
      <xdr:colOff>19050</xdr:colOff>
      <xdr:row>66</xdr:row>
      <xdr:rowOff>85725</xdr:rowOff>
    </xdr:to>
    <xdr:cxnSp macro="">
      <xdr:nvCxnSpPr>
        <xdr:cNvPr id="186143" name="AutoShape 248"/>
        <xdr:cNvCxnSpPr>
          <a:cxnSpLocks noChangeShapeType="1"/>
        </xdr:cNvCxnSpPr>
      </xdr:nvCxnSpPr>
      <xdr:spPr bwMode="auto">
        <a:xfrm>
          <a:off x="4743450" y="12077700"/>
          <a:ext cx="127635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800100</xdr:colOff>
      <xdr:row>57</xdr:row>
      <xdr:rowOff>114300</xdr:rowOff>
    </xdr:from>
    <xdr:to>
      <xdr:col>6</xdr:col>
      <xdr:colOff>0</xdr:colOff>
      <xdr:row>58</xdr:row>
      <xdr:rowOff>104775</xdr:rowOff>
    </xdr:to>
    <xdr:cxnSp macro="">
      <xdr:nvCxnSpPr>
        <xdr:cNvPr id="186144" name="AutoShape 249"/>
        <xdr:cNvCxnSpPr>
          <a:cxnSpLocks noChangeShapeType="1"/>
        </xdr:cNvCxnSpPr>
      </xdr:nvCxnSpPr>
      <xdr:spPr bwMode="auto">
        <a:xfrm>
          <a:off x="5562600" y="10429875"/>
          <a:ext cx="438150" cy="219075"/>
        </a:xfrm>
        <a:prstGeom prst="bentConnector3">
          <a:avLst>
            <a:gd name="adj1" fmla="val 15704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58</xdr:row>
      <xdr:rowOff>104775</xdr:rowOff>
    </xdr:from>
    <xdr:to>
      <xdr:col>5</xdr:col>
      <xdr:colOff>1524000</xdr:colOff>
      <xdr:row>60</xdr:row>
      <xdr:rowOff>87312</xdr:rowOff>
    </xdr:to>
    <xdr:cxnSp macro="">
      <xdr:nvCxnSpPr>
        <xdr:cNvPr id="186145" name="AutoShape 249"/>
        <xdr:cNvCxnSpPr>
          <a:cxnSpLocks noChangeShapeType="1"/>
        </xdr:cNvCxnSpPr>
      </xdr:nvCxnSpPr>
      <xdr:spPr bwMode="auto">
        <a:xfrm>
          <a:off x="4087813" y="11002963"/>
          <a:ext cx="2198687" cy="347662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19050</xdr:colOff>
      <xdr:row>75</xdr:row>
      <xdr:rowOff>114300</xdr:rowOff>
    </xdr:from>
    <xdr:to>
      <xdr:col>6</xdr:col>
      <xdr:colOff>38100</xdr:colOff>
      <xdr:row>80</xdr:row>
      <xdr:rowOff>133350</xdr:rowOff>
    </xdr:to>
    <xdr:cxnSp macro="">
      <xdr:nvCxnSpPr>
        <xdr:cNvPr id="186146" name="AutoShape 249"/>
        <xdr:cNvCxnSpPr>
          <a:cxnSpLocks noChangeShapeType="1"/>
        </xdr:cNvCxnSpPr>
      </xdr:nvCxnSpPr>
      <xdr:spPr bwMode="auto">
        <a:xfrm>
          <a:off x="4781550" y="13782675"/>
          <a:ext cx="1257300" cy="1143000"/>
        </a:xfrm>
        <a:prstGeom prst="bentConnector3">
          <a:avLst>
            <a:gd name="adj1" fmla="val 67611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647700</xdr:colOff>
      <xdr:row>77</xdr:row>
      <xdr:rowOff>85725</xdr:rowOff>
    </xdr:from>
    <xdr:to>
      <xdr:col>4</xdr:col>
      <xdr:colOff>647700</xdr:colOff>
      <xdr:row>77</xdr:row>
      <xdr:rowOff>85725</xdr:rowOff>
    </xdr:to>
    <xdr:cxnSp macro="">
      <xdr:nvCxnSpPr>
        <xdr:cNvPr id="186147" name="AutoShape 249"/>
        <xdr:cNvCxnSpPr>
          <a:cxnSpLocks noChangeShapeType="1"/>
        </xdr:cNvCxnSpPr>
      </xdr:nvCxnSpPr>
      <xdr:spPr bwMode="auto">
        <a:xfrm flipV="1">
          <a:off x="4733925" y="14173200"/>
          <a:ext cx="0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657225</xdr:colOff>
      <xdr:row>76</xdr:row>
      <xdr:rowOff>104775</xdr:rowOff>
    </xdr:from>
    <xdr:to>
      <xdr:col>5</xdr:col>
      <xdr:colOff>1076325</xdr:colOff>
      <xdr:row>76</xdr:row>
      <xdr:rowOff>104776</xdr:rowOff>
    </xdr:to>
    <xdr:cxnSp macro="">
      <xdr:nvCxnSpPr>
        <xdr:cNvPr id="186148" name="AutoShape 249"/>
        <xdr:cNvCxnSpPr>
          <a:cxnSpLocks noChangeShapeType="1"/>
        </xdr:cNvCxnSpPr>
      </xdr:nvCxnSpPr>
      <xdr:spPr bwMode="auto">
        <a:xfrm flipV="1">
          <a:off x="4743450" y="13992225"/>
          <a:ext cx="1095375" cy="1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77</xdr:row>
      <xdr:rowOff>95250</xdr:rowOff>
    </xdr:from>
    <xdr:to>
      <xdr:col>5</xdr:col>
      <xdr:colOff>1095375</xdr:colOff>
      <xdr:row>77</xdr:row>
      <xdr:rowOff>95251</xdr:rowOff>
    </xdr:to>
    <xdr:cxnSp macro="">
      <xdr:nvCxnSpPr>
        <xdr:cNvPr id="33" name="AutoShape 249"/>
        <xdr:cNvCxnSpPr>
          <a:cxnSpLocks noChangeShapeType="1"/>
        </xdr:cNvCxnSpPr>
      </xdr:nvCxnSpPr>
      <xdr:spPr bwMode="auto">
        <a:xfrm flipV="1">
          <a:off x="4762500" y="14182725"/>
          <a:ext cx="1095375" cy="1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9525</xdr:colOff>
      <xdr:row>78</xdr:row>
      <xdr:rowOff>114300</xdr:rowOff>
    </xdr:from>
    <xdr:to>
      <xdr:col>5</xdr:col>
      <xdr:colOff>1047750</xdr:colOff>
      <xdr:row>78</xdr:row>
      <xdr:rowOff>114303</xdr:rowOff>
    </xdr:to>
    <xdr:cxnSp macro="">
      <xdr:nvCxnSpPr>
        <xdr:cNvPr id="34" name="AutoShape 249"/>
        <xdr:cNvCxnSpPr>
          <a:cxnSpLocks noChangeShapeType="1"/>
        </xdr:cNvCxnSpPr>
      </xdr:nvCxnSpPr>
      <xdr:spPr bwMode="auto">
        <a:xfrm flipV="1">
          <a:off x="4772025" y="14439900"/>
          <a:ext cx="1038225" cy="3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476250</xdr:colOff>
      <xdr:row>23</xdr:row>
      <xdr:rowOff>111125</xdr:rowOff>
    </xdr:from>
    <xdr:to>
      <xdr:col>6</xdr:col>
      <xdr:colOff>25400</xdr:colOff>
      <xdr:row>24</xdr:row>
      <xdr:rowOff>112712</xdr:rowOff>
    </xdr:to>
    <xdr:cxnSp macro="">
      <xdr:nvCxnSpPr>
        <xdr:cNvPr id="24" name="AutoShape 249"/>
        <xdr:cNvCxnSpPr>
          <a:cxnSpLocks noChangeShapeType="1"/>
        </xdr:cNvCxnSpPr>
      </xdr:nvCxnSpPr>
      <xdr:spPr bwMode="auto">
        <a:xfrm>
          <a:off x="5238750" y="4468813"/>
          <a:ext cx="1081088" cy="184149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952500</xdr:colOff>
      <xdr:row>62</xdr:row>
      <xdr:rowOff>76200</xdr:rowOff>
    </xdr:from>
    <xdr:to>
      <xdr:col>6</xdr:col>
      <xdr:colOff>19050</xdr:colOff>
      <xdr:row>63</xdr:row>
      <xdr:rowOff>114300</xdr:rowOff>
    </xdr:to>
    <xdr:cxnSp macro="">
      <xdr:nvCxnSpPr>
        <xdr:cNvPr id="25" name="AutoShape 249"/>
        <xdr:cNvCxnSpPr>
          <a:cxnSpLocks noChangeShapeType="1"/>
        </xdr:cNvCxnSpPr>
      </xdr:nvCxnSpPr>
      <xdr:spPr bwMode="auto">
        <a:xfrm>
          <a:off x="5715000" y="11696700"/>
          <a:ext cx="600075" cy="21907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41</xdr:row>
      <xdr:rowOff>0</xdr:rowOff>
    </xdr:from>
    <xdr:to>
      <xdr:col>5</xdr:col>
      <xdr:colOff>9525</xdr:colOff>
      <xdr:row>41</xdr:row>
      <xdr:rowOff>123825</xdr:rowOff>
    </xdr:to>
    <xdr:cxnSp macro="">
      <xdr:nvCxnSpPr>
        <xdr:cNvPr id="2" name="AutoShape 187"/>
        <xdr:cNvCxnSpPr>
          <a:cxnSpLocks noChangeShapeType="1"/>
        </xdr:cNvCxnSpPr>
      </xdr:nvCxnSpPr>
      <xdr:spPr bwMode="auto">
        <a:xfrm flipV="1">
          <a:off x="4200525" y="8086725"/>
          <a:ext cx="1495425" cy="1238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27</xdr:row>
      <xdr:rowOff>70139</xdr:rowOff>
    </xdr:from>
    <xdr:to>
      <xdr:col>5</xdr:col>
      <xdr:colOff>9525</xdr:colOff>
      <xdr:row>27</xdr:row>
      <xdr:rowOff>70139</xdr:rowOff>
    </xdr:to>
    <xdr:cxnSp macro="">
      <xdr:nvCxnSpPr>
        <xdr:cNvPr id="3" name="AutoShape 197"/>
        <xdr:cNvCxnSpPr>
          <a:cxnSpLocks noChangeShapeType="1"/>
        </xdr:cNvCxnSpPr>
      </xdr:nvCxnSpPr>
      <xdr:spPr bwMode="auto">
        <a:xfrm>
          <a:off x="4210050" y="4975514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25</xdr:row>
      <xdr:rowOff>112568</xdr:rowOff>
    </xdr:from>
    <xdr:to>
      <xdr:col>5</xdr:col>
      <xdr:colOff>0</xdr:colOff>
      <xdr:row>25</xdr:row>
      <xdr:rowOff>112568</xdr:rowOff>
    </xdr:to>
    <xdr:cxnSp macro="">
      <xdr:nvCxnSpPr>
        <xdr:cNvPr id="4" name="AutoShape 197"/>
        <xdr:cNvCxnSpPr>
          <a:cxnSpLocks noChangeShapeType="1"/>
        </xdr:cNvCxnSpPr>
      </xdr:nvCxnSpPr>
      <xdr:spPr bwMode="auto">
        <a:xfrm>
          <a:off x="4199659" y="4658591"/>
          <a:ext cx="1515341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44</xdr:row>
      <xdr:rowOff>159327</xdr:rowOff>
    </xdr:from>
    <xdr:to>
      <xdr:col>5</xdr:col>
      <xdr:colOff>19050</xdr:colOff>
      <xdr:row>44</xdr:row>
      <xdr:rowOff>159327</xdr:rowOff>
    </xdr:to>
    <xdr:cxnSp macro="">
      <xdr:nvCxnSpPr>
        <xdr:cNvPr id="5" name="AutoShape 191"/>
        <xdr:cNvCxnSpPr>
          <a:cxnSpLocks noChangeShapeType="1"/>
        </xdr:cNvCxnSpPr>
      </xdr:nvCxnSpPr>
      <xdr:spPr bwMode="auto">
        <a:xfrm>
          <a:off x="4219575" y="8903277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53</xdr:row>
      <xdr:rowOff>95250</xdr:rowOff>
    </xdr:from>
    <xdr:to>
      <xdr:col>5</xdr:col>
      <xdr:colOff>9525</xdr:colOff>
      <xdr:row>53</xdr:row>
      <xdr:rowOff>95250</xdr:rowOff>
    </xdr:to>
    <xdr:cxnSp macro="">
      <xdr:nvCxnSpPr>
        <xdr:cNvPr id="6" name="AutoShape 191"/>
        <xdr:cNvCxnSpPr>
          <a:cxnSpLocks noChangeShapeType="1"/>
        </xdr:cNvCxnSpPr>
      </xdr:nvCxnSpPr>
      <xdr:spPr bwMode="auto">
        <a:xfrm>
          <a:off x="4210050" y="10544175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56</xdr:row>
      <xdr:rowOff>76200</xdr:rowOff>
    </xdr:from>
    <xdr:to>
      <xdr:col>5</xdr:col>
      <xdr:colOff>9525</xdr:colOff>
      <xdr:row>57</xdr:row>
      <xdr:rowOff>0</xdr:rowOff>
    </xdr:to>
    <xdr:cxnSp macro="">
      <xdr:nvCxnSpPr>
        <xdr:cNvPr id="7" name="AutoShape 250"/>
        <xdr:cNvCxnSpPr>
          <a:cxnSpLocks noChangeShapeType="1"/>
        </xdr:cNvCxnSpPr>
      </xdr:nvCxnSpPr>
      <xdr:spPr bwMode="auto">
        <a:xfrm>
          <a:off x="4210050" y="11010900"/>
          <a:ext cx="1485900" cy="857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42</xdr:row>
      <xdr:rowOff>66675</xdr:rowOff>
    </xdr:from>
    <xdr:to>
      <xdr:col>5</xdr:col>
      <xdr:colOff>9525</xdr:colOff>
      <xdr:row>43</xdr:row>
      <xdr:rowOff>9525</xdr:rowOff>
    </xdr:to>
    <xdr:cxnSp macro="">
      <xdr:nvCxnSpPr>
        <xdr:cNvPr id="8" name="AutoShape 250"/>
        <xdr:cNvCxnSpPr>
          <a:cxnSpLocks noChangeShapeType="1"/>
        </xdr:cNvCxnSpPr>
      </xdr:nvCxnSpPr>
      <xdr:spPr bwMode="auto">
        <a:xfrm>
          <a:off x="4219575" y="8382000"/>
          <a:ext cx="1476375" cy="2000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755072</xdr:colOff>
      <xdr:row>48</xdr:row>
      <xdr:rowOff>17319</xdr:rowOff>
    </xdr:from>
    <xdr:to>
      <xdr:col>5</xdr:col>
      <xdr:colOff>25977</xdr:colOff>
      <xdr:row>48</xdr:row>
      <xdr:rowOff>103044</xdr:rowOff>
    </xdr:to>
    <xdr:cxnSp macro="">
      <xdr:nvCxnSpPr>
        <xdr:cNvPr id="9" name="AutoShape 250"/>
        <xdr:cNvCxnSpPr>
          <a:cxnSpLocks noChangeShapeType="1"/>
        </xdr:cNvCxnSpPr>
      </xdr:nvCxnSpPr>
      <xdr:spPr bwMode="auto">
        <a:xfrm flipV="1">
          <a:off x="4192731" y="9862705"/>
          <a:ext cx="1522269" cy="857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67</xdr:row>
      <xdr:rowOff>9525</xdr:rowOff>
    </xdr:from>
    <xdr:to>
      <xdr:col>5</xdr:col>
      <xdr:colOff>9525</xdr:colOff>
      <xdr:row>68</xdr:row>
      <xdr:rowOff>114300</xdr:rowOff>
    </xdr:to>
    <xdr:cxnSp macro="">
      <xdr:nvCxnSpPr>
        <xdr:cNvPr id="10" name="AutoShape 250"/>
        <xdr:cNvCxnSpPr>
          <a:cxnSpLocks noChangeShapeType="1"/>
        </xdr:cNvCxnSpPr>
      </xdr:nvCxnSpPr>
      <xdr:spPr bwMode="auto">
        <a:xfrm flipV="1">
          <a:off x="4200525" y="12792075"/>
          <a:ext cx="1495425" cy="342900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69273</xdr:rowOff>
    </xdr:from>
    <xdr:to>
      <xdr:col>5</xdr:col>
      <xdr:colOff>8659</xdr:colOff>
      <xdr:row>26</xdr:row>
      <xdr:rowOff>69273</xdr:rowOff>
    </xdr:to>
    <xdr:cxnSp macro="">
      <xdr:nvCxnSpPr>
        <xdr:cNvPr id="11" name="AutoShape 197"/>
        <xdr:cNvCxnSpPr>
          <a:cxnSpLocks noChangeShapeType="1"/>
        </xdr:cNvCxnSpPr>
      </xdr:nvCxnSpPr>
      <xdr:spPr bwMode="auto">
        <a:xfrm>
          <a:off x="4210050" y="4812723"/>
          <a:ext cx="1485034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39</xdr:row>
      <xdr:rowOff>112569</xdr:rowOff>
    </xdr:from>
    <xdr:to>
      <xdr:col>5</xdr:col>
      <xdr:colOff>9525</xdr:colOff>
      <xdr:row>39</xdr:row>
      <xdr:rowOff>112569</xdr:rowOff>
    </xdr:to>
    <xdr:cxnSp macro="">
      <xdr:nvCxnSpPr>
        <xdr:cNvPr id="12" name="AutoShape 197"/>
        <xdr:cNvCxnSpPr>
          <a:cxnSpLocks noChangeShapeType="1"/>
        </xdr:cNvCxnSpPr>
      </xdr:nvCxnSpPr>
      <xdr:spPr bwMode="auto">
        <a:xfrm>
          <a:off x="4210050" y="7808769"/>
          <a:ext cx="14859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18</xdr:row>
      <xdr:rowOff>103909</xdr:rowOff>
    </xdr:from>
    <xdr:to>
      <xdr:col>5</xdr:col>
      <xdr:colOff>8659</xdr:colOff>
      <xdr:row>18</xdr:row>
      <xdr:rowOff>103909</xdr:rowOff>
    </xdr:to>
    <xdr:cxnSp macro="">
      <xdr:nvCxnSpPr>
        <xdr:cNvPr id="15" name="AutoShape 197"/>
        <xdr:cNvCxnSpPr>
          <a:cxnSpLocks noChangeShapeType="1"/>
        </xdr:cNvCxnSpPr>
      </xdr:nvCxnSpPr>
      <xdr:spPr bwMode="auto">
        <a:xfrm>
          <a:off x="4208318" y="3437659"/>
          <a:ext cx="1489364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23</xdr:row>
      <xdr:rowOff>138545</xdr:rowOff>
    </xdr:from>
    <xdr:to>
      <xdr:col>5</xdr:col>
      <xdr:colOff>0</xdr:colOff>
      <xdr:row>23</xdr:row>
      <xdr:rowOff>138545</xdr:rowOff>
    </xdr:to>
    <xdr:cxnSp macro="">
      <xdr:nvCxnSpPr>
        <xdr:cNvPr id="16" name="AutoShape 197"/>
        <xdr:cNvCxnSpPr>
          <a:cxnSpLocks noChangeShapeType="1"/>
        </xdr:cNvCxnSpPr>
      </xdr:nvCxnSpPr>
      <xdr:spPr bwMode="auto">
        <a:xfrm>
          <a:off x="4199659" y="4320886"/>
          <a:ext cx="2034886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70139</xdr:rowOff>
    </xdr:from>
    <xdr:to>
      <xdr:col>5</xdr:col>
      <xdr:colOff>9525</xdr:colOff>
      <xdr:row>26</xdr:row>
      <xdr:rowOff>70139</xdr:rowOff>
    </xdr:to>
    <xdr:cxnSp macro="">
      <xdr:nvCxnSpPr>
        <xdr:cNvPr id="17" name="AutoShape 197"/>
        <xdr:cNvCxnSpPr>
          <a:cxnSpLocks noChangeShapeType="1"/>
        </xdr:cNvCxnSpPr>
      </xdr:nvCxnSpPr>
      <xdr:spPr bwMode="auto">
        <a:xfrm>
          <a:off x="4208318" y="4979844"/>
          <a:ext cx="149023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45</xdr:row>
      <xdr:rowOff>129886</xdr:rowOff>
    </xdr:from>
    <xdr:to>
      <xdr:col>5</xdr:col>
      <xdr:colOff>9525</xdr:colOff>
      <xdr:row>45</xdr:row>
      <xdr:rowOff>129886</xdr:rowOff>
    </xdr:to>
    <xdr:cxnSp macro="">
      <xdr:nvCxnSpPr>
        <xdr:cNvPr id="27" name="AutoShape 191"/>
        <xdr:cNvCxnSpPr>
          <a:cxnSpLocks noChangeShapeType="1"/>
        </xdr:cNvCxnSpPr>
      </xdr:nvCxnSpPr>
      <xdr:spPr bwMode="auto">
        <a:xfrm>
          <a:off x="4208318" y="9247909"/>
          <a:ext cx="149023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6</xdr:row>
      <xdr:rowOff>38100</xdr:rowOff>
    </xdr:from>
    <xdr:to>
      <xdr:col>13</xdr:col>
      <xdr:colOff>9525</xdr:colOff>
      <xdr:row>7</xdr:row>
      <xdr:rowOff>57150</xdr:rowOff>
    </xdr:to>
    <xdr:cxnSp macro="">
      <xdr:nvCxnSpPr>
        <xdr:cNvPr id="4" name="AutoShape 250"/>
        <xdr:cNvCxnSpPr>
          <a:cxnSpLocks noChangeShapeType="1"/>
        </xdr:cNvCxnSpPr>
      </xdr:nvCxnSpPr>
      <xdr:spPr bwMode="auto">
        <a:xfrm>
          <a:off x="10591800" y="1133475"/>
          <a:ext cx="1943100" cy="209550"/>
        </a:xfrm>
        <a:prstGeom prst="bentConnector3">
          <a:avLst>
            <a:gd name="adj1" fmla="val 80139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400050</xdr:colOff>
      <xdr:row>6</xdr:row>
      <xdr:rowOff>38100</xdr:rowOff>
    </xdr:from>
    <xdr:to>
      <xdr:col>10</xdr:col>
      <xdr:colOff>400050</xdr:colOff>
      <xdr:row>6</xdr:row>
      <xdr:rowOff>180975</xdr:rowOff>
    </xdr:to>
    <xdr:cxnSp macro="">
      <xdr:nvCxnSpPr>
        <xdr:cNvPr id="5" name="AutoShape 191"/>
        <xdr:cNvCxnSpPr>
          <a:cxnSpLocks noChangeShapeType="1"/>
        </xdr:cNvCxnSpPr>
      </xdr:nvCxnSpPr>
      <xdr:spPr bwMode="auto">
        <a:xfrm flipV="1">
          <a:off x="10601325" y="1133475"/>
          <a:ext cx="0" cy="14287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704850</xdr:colOff>
      <xdr:row>26</xdr:row>
      <xdr:rowOff>142875</xdr:rowOff>
    </xdr:from>
    <xdr:to>
      <xdr:col>4</xdr:col>
      <xdr:colOff>1457325</xdr:colOff>
      <xdr:row>27</xdr:row>
      <xdr:rowOff>171450</xdr:rowOff>
    </xdr:to>
    <xdr:cxnSp macro="">
      <xdr:nvCxnSpPr>
        <xdr:cNvPr id="6" name="AutoShape 250"/>
        <xdr:cNvCxnSpPr>
          <a:cxnSpLocks noChangeShapeType="1"/>
        </xdr:cNvCxnSpPr>
      </xdr:nvCxnSpPr>
      <xdr:spPr bwMode="auto">
        <a:xfrm>
          <a:off x="3638550" y="5114925"/>
          <a:ext cx="1466850" cy="228600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28575</xdr:colOff>
      <xdr:row>14</xdr:row>
      <xdr:rowOff>76200</xdr:rowOff>
    </xdr:from>
    <xdr:to>
      <xdr:col>13</xdr:col>
      <xdr:colOff>9525</xdr:colOff>
      <xdr:row>15</xdr:row>
      <xdr:rowOff>85725</xdr:rowOff>
    </xdr:to>
    <xdr:cxnSp macro="">
      <xdr:nvCxnSpPr>
        <xdr:cNvPr id="14" name="AutoShape 250"/>
        <xdr:cNvCxnSpPr>
          <a:cxnSpLocks noChangeShapeType="1"/>
        </xdr:cNvCxnSpPr>
      </xdr:nvCxnSpPr>
      <xdr:spPr bwMode="auto">
        <a:xfrm>
          <a:off x="10944225" y="2619375"/>
          <a:ext cx="1590675" cy="18097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14</xdr:row>
      <xdr:rowOff>66675</xdr:rowOff>
    </xdr:from>
    <xdr:to>
      <xdr:col>13</xdr:col>
      <xdr:colOff>9525</xdr:colOff>
      <xdr:row>14</xdr:row>
      <xdr:rowOff>66675</xdr:rowOff>
    </xdr:to>
    <xdr:cxnSp macro="">
      <xdr:nvCxnSpPr>
        <xdr:cNvPr id="16" name="AutoShape 191"/>
        <xdr:cNvCxnSpPr>
          <a:cxnSpLocks noChangeShapeType="1"/>
        </xdr:cNvCxnSpPr>
      </xdr:nvCxnSpPr>
      <xdr:spPr bwMode="auto">
        <a:xfrm>
          <a:off x="11630025" y="2609850"/>
          <a:ext cx="90487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47625</xdr:rowOff>
    </xdr:from>
    <xdr:to>
      <xdr:col>0</xdr:col>
      <xdr:colOff>19050</xdr:colOff>
      <xdr:row>8</xdr:row>
      <xdr:rowOff>161925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9050" y="153352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 editAs="oneCell">
    <xdr:from>
      <xdr:col>0</xdr:col>
      <xdr:colOff>19050</xdr:colOff>
      <xdr:row>18</xdr:row>
      <xdr:rowOff>47625</xdr:rowOff>
    </xdr:from>
    <xdr:to>
      <xdr:col>0</xdr:col>
      <xdr:colOff>19050</xdr:colOff>
      <xdr:row>18</xdr:row>
      <xdr:rowOff>161925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9050" y="32480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47625</xdr:rowOff>
    </xdr:from>
    <xdr:to>
      <xdr:col>1</xdr:col>
      <xdr:colOff>0</xdr:colOff>
      <xdr:row>3</xdr:row>
      <xdr:rowOff>28575</xdr:rowOff>
    </xdr:to>
    <xdr:sp macro="" textlink="">
      <xdr:nvSpPr>
        <xdr:cNvPr id="2" name="txtGoTo"/>
        <xdr:cNvSpPr txBox="1">
          <a:spLocks noChangeArrowheads="1"/>
        </xdr:cNvSpPr>
      </xdr:nvSpPr>
      <xdr:spPr bwMode="auto">
        <a:xfrm>
          <a:off x="342900" y="6000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 editAs="oneCell">
    <xdr:from>
      <xdr:col>0</xdr:col>
      <xdr:colOff>38100</xdr:colOff>
      <xdr:row>2</xdr:row>
      <xdr:rowOff>47625</xdr:rowOff>
    </xdr:from>
    <xdr:to>
      <xdr:col>0</xdr:col>
      <xdr:colOff>38100</xdr:colOff>
      <xdr:row>3</xdr:row>
      <xdr:rowOff>28575</xdr:rowOff>
    </xdr:to>
    <xdr:sp macro="" textlink="">
      <xdr:nvSpPr>
        <xdr:cNvPr id="3" name="txtGoTo"/>
        <xdr:cNvSpPr txBox="1">
          <a:spLocks noChangeArrowheads="1"/>
        </xdr:cNvSpPr>
      </xdr:nvSpPr>
      <xdr:spPr bwMode="auto">
        <a:xfrm>
          <a:off x="38100" y="6000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47625</xdr:rowOff>
    </xdr:from>
    <xdr:to>
      <xdr:col>0</xdr:col>
      <xdr:colOff>38100</xdr:colOff>
      <xdr:row>3</xdr:row>
      <xdr:rowOff>28575</xdr:rowOff>
    </xdr:to>
    <xdr:sp macro="" textlink="">
      <xdr:nvSpPr>
        <xdr:cNvPr id="2" name="txtGoTo"/>
        <xdr:cNvSpPr txBox="1">
          <a:spLocks noChangeArrowheads="1"/>
        </xdr:cNvSpPr>
      </xdr:nvSpPr>
      <xdr:spPr bwMode="auto">
        <a:xfrm>
          <a:off x="38100" y="2762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>
    <xdr:from>
      <xdr:col>19</xdr:col>
      <xdr:colOff>0</xdr:colOff>
      <xdr:row>65535</xdr:row>
      <xdr:rowOff>0</xdr:rowOff>
    </xdr:from>
    <xdr:to>
      <xdr:col>19</xdr:col>
      <xdr:colOff>0</xdr:colOff>
      <xdr:row>65535</xdr:row>
      <xdr:rowOff>0</xdr:rowOff>
    </xdr:to>
    <xdr:sp macro="" textlink="">
      <xdr:nvSpPr>
        <xdr:cNvPr id="172907" name="Entreprenad"/>
        <xdr:cNvSpPr txBox="1">
          <a:spLocks noChangeArrowheads="1"/>
        </xdr:cNvSpPr>
      </xdr:nvSpPr>
      <xdr:spPr bwMode="auto">
        <a:xfrm>
          <a:off x="14478000" y="7000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65535</xdr:row>
      <xdr:rowOff>0</xdr:rowOff>
    </xdr:from>
    <xdr:to>
      <xdr:col>19</xdr:col>
      <xdr:colOff>0</xdr:colOff>
      <xdr:row>65535</xdr:row>
      <xdr:rowOff>0</xdr:rowOff>
    </xdr:to>
    <xdr:sp macro="" textlink="">
      <xdr:nvSpPr>
        <xdr:cNvPr id="172908" name="Entreprenad"/>
        <xdr:cNvSpPr txBox="1">
          <a:spLocks noChangeArrowheads="1"/>
        </xdr:cNvSpPr>
      </xdr:nvSpPr>
      <xdr:spPr bwMode="auto">
        <a:xfrm>
          <a:off x="14478000" y="7000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a:spPr>
      <a:bodyPr/>
      <a:lstStyle>
        <a:defPPr>
          <a:defRPr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scb.se/rskommune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rgb="FFFFFF00"/>
    <pageSetUpPr fitToPage="1"/>
  </sheetPr>
  <dimension ref="A1:E50"/>
  <sheetViews>
    <sheetView tabSelected="1" zoomScaleNormal="100" workbookViewId="0">
      <selection sqref="A1:D1"/>
    </sheetView>
  </sheetViews>
  <sheetFormatPr defaultColWidth="0" defaultRowHeight="12.75" zeroHeight="1"/>
  <cols>
    <col min="1" max="1" width="22.85546875" style="423" customWidth="1"/>
    <col min="2" max="2" width="26.7109375" style="423" customWidth="1"/>
    <col min="3" max="3" width="20.5703125" style="423" customWidth="1"/>
    <col min="4" max="4" width="26.7109375" style="423" customWidth="1"/>
    <col min="5" max="5" width="12.42578125" style="422" customWidth="1"/>
  </cols>
  <sheetData>
    <row r="1" spans="1:5" s="424" customFormat="1">
      <c r="A1" s="2423"/>
      <c r="B1" s="2424"/>
      <c r="C1" s="2424"/>
      <c r="D1" s="2424"/>
      <c r="E1" s="2195"/>
    </row>
    <row r="2" spans="1:5" s="423" customFormat="1" ht="15.75">
      <c r="A2" s="2196" t="s">
        <v>1216</v>
      </c>
      <c r="B2" s="2197"/>
      <c r="C2" s="2198"/>
      <c r="D2" s="2198"/>
      <c r="E2" s="2199"/>
    </row>
    <row r="3" spans="1:5" s="423" customFormat="1" ht="15.75">
      <c r="A3" s="2200"/>
      <c r="B3" s="2201"/>
      <c r="C3" s="2198"/>
      <c r="D3" s="2198"/>
      <c r="E3" s="2199"/>
    </row>
    <row r="4" spans="1:5" s="423" customFormat="1" ht="15.75">
      <c r="A4" s="1989" t="str">
        <f>"Invånare 31 dec. "&amp;År&amp;""</f>
        <v>Invånare 31 dec. 2019</v>
      </c>
      <c r="B4" s="2202">
        <v>10327.589</v>
      </c>
      <c r="C4" s="2203">
        <v>10327589</v>
      </c>
      <c r="D4" s="2198"/>
      <c r="E4" s="2199"/>
    </row>
    <row r="5" spans="1:5" s="423" customFormat="1" ht="19.5" customHeight="1">
      <c r="A5" s="1989" t="str">
        <f>"Inv. 7-15 år 31 dec. "&amp;År&amp;""</f>
        <v>Inv. 7-15 år 31 dec. 2019</v>
      </c>
      <c r="B5" s="2202">
        <v>1102.143</v>
      </c>
      <c r="C5" s="2203">
        <v>1102143</v>
      </c>
      <c r="D5" s="2198"/>
      <c r="E5" s="2199"/>
    </row>
    <row r="6" spans="1:5" s="423" customFormat="1">
      <c r="A6" s="2204"/>
      <c r="B6" s="2204"/>
      <c r="C6" s="2204"/>
      <c r="D6" s="2204"/>
      <c r="E6" s="2204"/>
    </row>
    <row r="7" spans="1:5" s="423" customFormat="1">
      <c r="A7" s="2204"/>
      <c r="B7" s="2204"/>
      <c r="C7" s="2204"/>
      <c r="D7" s="2204"/>
      <c r="E7" s="2204"/>
    </row>
    <row r="8" spans="1:5" s="423" customFormat="1" ht="22.5" customHeight="1">
      <c r="A8" s="2204"/>
      <c r="B8" s="2204"/>
      <c r="C8" s="2204"/>
      <c r="D8" s="2204"/>
      <c r="E8" s="2204"/>
    </row>
    <row r="9" spans="1:5" s="423" customFormat="1" ht="12.75" customHeight="1">
      <c r="A9" s="2204"/>
      <c r="B9" s="2204"/>
      <c r="C9" s="2204"/>
      <c r="D9" s="2204"/>
      <c r="E9" s="2204"/>
    </row>
    <row r="10" spans="1:5" s="423" customFormat="1">
      <c r="A10" s="2204"/>
      <c r="B10" s="2204"/>
      <c r="C10" s="2204"/>
      <c r="D10" s="2204"/>
      <c r="E10" s="2204"/>
    </row>
    <row r="11" spans="1:5" s="423" customFormat="1">
      <c r="A11" s="2204"/>
      <c r="B11" s="2204"/>
      <c r="C11" s="2204"/>
      <c r="D11" s="2204"/>
      <c r="E11" s="2204"/>
    </row>
    <row r="12" spans="1:5" s="423" customFormat="1" ht="33">
      <c r="A12" s="2205" t="s">
        <v>1217</v>
      </c>
      <c r="B12" s="2204"/>
      <c r="C12" s="2204"/>
      <c r="D12" s="2204"/>
      <c r="E12" s="2204"/>
    </row>
    <row r="13" spans="1:5" s="423" customFormat="1">
      <c r="A13" s="2204"/>
      <c r="B13" s="2204"/>
      <c r="C13" s="2204"/>
      <c r="D13" s="2204"/>
      <c r="E13" s="2204"/>
    </row>
    <row r="14" spans="1:5" s="423" customFormat="1" ht="33">
      <c r="A14" s="2205" t="s">
        <v>1218</v>
      </c>
      <c r="B14" s="2204"/>
      <c r="C14" s="2204"/>
      <c r="D14" s="2204"/>
      <c r="E14" s="2204"/>
    </row>
    <row r="15" spans="1:5" s="423" customFormat="1">
      <c r="A15" s="2204"/>
      <c r="B15" s="2204"/>
      <c r="C15" s="2204"/>
      <c r="D15" s="2204"/>
      <c r="E15" s="2204"/>
    </row>
    <row r="16" spans="1:5" s="423" customFormat="1">
      <c r="A16" s="2204"/>
      <c r="B16" s="2204"/>
      <c r="C16" s="2204"/>
      <c r="D16" s="2204"/>
      <c r="E16" s="2204"/>
    </row>
    <row r="17" spans="1:5" s="423" customFormat="1">
      <c r="A17" s="2204"/>
      <c r="B17" s="2204"/>
      <c r="C17" s="2204"/>
      <c r="D17" s="2204"/>
      <c r="E17" s="2204"/>
    </row>
    <row r="18" spans="1:5" s="423" customFormat="1">
      <c r="A18" s="2204"/>
      <c r="B18" s="2204"/>
      <c r="C18" s="2204"/>
      <c r="D18" s="2204"/>
      <c r="E18" s="2204"/>
    </row>
    <row r="19" spans="1:5" s="423" customFormat="1">
      <c r="A19" s="2204"/>
      <c r="B19" s="2204"/>
      <c r="C19" s="2204"/>
      <c r="D19" s="2204"/>
      <c r="E19" s="2204"/>
    </row>
    <row r="20" spans="1:5" s="423" customFormat="1">
      <c r="A20" s="2204"/>
      <c r="B20" s="2204"/>
      <c r="C20" s="2204"/>
      <c r="D20" s="2204"/>
      <c r="E20" s="2204"/>
    </row>
    <row r="21" spans="1:5" s="423" customFormat="1">
      <c r="A21" s="2204"/>
      <c r="B21" s="2204"/>
      <c r="C21" s="2204"/>
      <c r="D21" s="2204"/>
      <c r="E21" s="2204"/>
    </row>
    <row r="22" spans="1:5" s="423" customFormat="1">
      <c r="A22" s="2204"/>
      <c r="B22" s="2204"/>
      <c r="C22" s="2204"/>
      <c r="D22" s="2204"/>
      <c r="E22" s="2204"/>
    </row>
    <row r="23" spans="1:5" s="423" customFormat="1">
      <c r="A23" s="2204"/>
      <c r="B23" s="2204"/>
      <c r="C23" s="2204"/>
      <c r="D23" s="2204"/>
      <c r="E23" s="2204"/>
    </row>
    <row r="24" spans="1:5" s="423" customFormat="1">
      <c r="A24" s="2204"/>
      <c r="B24" s="2204"/>
      <c r="C24" s="2204"/>
      <c r="D24" s="2204"/>
      <c r="E24" s="2204"/>
    </row>
    <row r="25" spans="1:5" s="423" customFormat="1">
      <c r="A25" s="2204"/>
      <c r="B25" s="2204"/>
      <c r="C25" s="2204"/>
      <c r="D25" s="2204"/>
      <c r="E25" s="2204"/>
    </row>
    <row r="26" spans="1:5" s="423" customFormat="1">
      <c r="A26" s="2204"/>
      <c r="B26" s="2204"/>
      <c r="C26" s="2204"/>
      <c r="D26" s="2204"/>
      <c r="E26" s="2204"/>
    </row>
    <row r="27" spans="1:5" s="423" customFormat="1">
      <c r="A27" s="2204"/>
      <c r="B27" s="2204"/>
      <c r="C27" s="2204"/>
      <c r="D27" s="2204"/>
      <c r="E27" s="2204"/>
    </row>
    <row r="28" spans="1:5" s="423" customFormat="1">
      <c r="A28" s="2204"/>
      <c r="B28" s="2204"/>
      <c r="C28" s="2204"/>
      <c r="D28" s="2204"/>
      <c r="E28" s="2204"/>
    </row>
    <row r="29" spans="1:5" s="423" customFormat="1">
      <c r="A29" s="2204"/>
      <c r="B29" s="2204"/>
      <c r="C29" s="2204"/>
      <c r="D29" s="2204"/>
      <c r="E29" s="2204"/>
    </row>
    <row r="30" spans="1:5" s="423" customFormat="1">
      <c r="A30" s="2204"/>
      <c r="B30" s="2204"/>
      <c r="C30" s="2204"/>
      <c r="D30" s="2204"/>
      <c r="E30" s="2204"/>
    </row>
    <row r="31" spans="1:5" s="423" customFormat="1">
      <c r="A31" s="2204"/>
      <c r="B31" s="2204"/>
      <c r="C31" s="2204"/>
      <c r="D31" s="2204"/>
      <c r="E31" s="2204"/>
    </row>
    <row r="32" spans="1:5" s="423" customFormat="1">
      <c r="A32" s="2204"/>
      <c r="B32" s="2204"/>
      <c r="C32" s="2204"/>
      <c r="D32" s="2204"/>
      <c r="E32" s="2204"/>
    </row>
    <row r="33" spans="1:5" s="423" customFormat="1">
      <c r="A33" s="2204"/>
      <c r="B33" s="2204"/>
      <c r="C33" s="2204"/>
      <c r="D33" s="2204"/>
      <c r="E33" s="2204"/>
    </row>
    <row r="34" spans="1:5" s="423" customFormat="1">
      <c r="A34" s="2204"/>
      <c r="B34" s="2204"/>
      <c r="C34" s="2204"/>
      <c r="D34" s="2204"/>
      <c r="E34" s="2204"/>
    </row>
    <row r="35" spans="1:5" s="423" customFormat="1">
      <c r="A35" s="2204"/>
      <c r="B35" s="2204"/>
      <c r="C35" s="2204"/>
      <c r="D35" s="2204"/>
      <c r="E35" s="2204"/>
    </row>
    <row r="36" spans="1:5" s="423" customFormat="1">
      <c r="A36" s="2204"/>
      <c r="B36" s="2204"/>
      <c r="C36" s="2204"/>
      <c r="D36" s="2204"/>
      <c r="E36" s="2204"/>
    </row>
    <row r="37" spans="1:5" s="423" customFormat="1">
      <c r="A37" s="2204"/>
      <c r="B37" s="2204"/>
      <c r="C37" s="2204"/>
      <c r="D37" s="2204"/>
      <c r="E37" s="2204"/>
    </row>
    <row r="38" spans="1:5" s="423" customFormat="1">
      <c r="A38" s="2204"/>
      <c r="B38" s="2204"/>
      <c r="C38" s="2204"/>
      <c r="D38" s="2204"/>
      <c r="E38" s="2204"/>
    </row>
    <row r="39" spans="1:5" s="423" customFormat="1">
      <c r="A39" s="2204"/>
      <c r="B39" s="2204"/>
      <c r="C39" s="2204"/>
      <c r="D39" s="2204"/>
      <c r="E39" s="2204"/>
    </row>
    <row r="40" spans="1:5" s="423" customFormat="1">
      <c r="A40" s="2204"/>
      <c r="B40" s="2204"/>
      <c r="C40" s="2204"/>
      <c r="D40" s="2204"/>
      <c r="E40" s="2204"/>
    </row>
    <row r="41" spans="1:5" s="423" customFormat="1">
      <c r="A41" s="2204"/>
      <c r="B41" s="2204"/>
      <c r="C41" s="2204"/>
      <c r="D41" s="2204"/>
      <c r="E41" s="2204"/>
    </row>
    <row r="42" spans="1:5" s="423" customFormat="1">
      <c r="A42" s="2204"/>
      <c r="B42" s="2204"/>
      <c r="C42" s="2204"/>
      <c r="D42" s="2204"/>
      <c r="E42" s="2204"/>
    </row>
    <row r="43" spans="1:5" s="423" customFormat="1">
      <c r="A43" s="2204"/>
      <c r="B43" s="2204"/>
      <c r="C43" s="2204"/>
      <c r="D43" s="2204"/>
      <c r="E43" s="2204"/>
    </row>
    <row r="44" spans="1:5" s="423" customFormat="1">
      <c r="A44" s="2204"/>
      <c r="B44" s="2204"/>
      <c r="C44" s="2204"/>
      <c r="D44" s="2204"/>
      <c r="E44" s="2204"/>
    </row>
    <row r="45" spans="1:5" s="423" customFormat="1">
      <c r="A45" s="2204"/>
      <c r="B45" s="2204"/>
      <c r="C45" s="2204"/>
      <c r="D45" s="2204"/>
      <c r="E45" s="2204"/>
    </row>
    <row r="46" spans="1:5" s="423" customFormat="1">
      <c r="A46" s="2204"/>
      <c r="B46" s="2204"/>
      <c r="C46" s="2204"/>
      <c r="D46" s="2204"/>
      <c r="E46" s="2204"/>
    </row>
    <row r="47" spans="1:5" s="423" customFormat="1">
      <c r="A47" s="2204"/>
      <c r="B47" s="2204"/>
      <c r="C47" s="2204"/>
      <c r="D47" s="2204"/>
      <c r="E47" s="2204"/>
    </row>
    <row r="48" spans="1:5" s="423" customFormat="1">
      <c r="A48" s="2204"/>
      <c r="B48" s="2204"/>
      <c r="C48" s="2204"/>
      <c r="D48" s="2204"/>
      <c r="E48" s="2204"/>
    </row>
    <row r="49" spans="1:5" s="423" customFormat="1">
      <c r="A49" s="2206" t="s">
        <v>533</v>
      </c>
      <c r="B49" s="2199"/>
      <c r="C49" s="2199"/>
      <c r="D49" s="2199"/>
      <c r="E49" s="2199"/>
    </row>
    <row r="50" spans="1:5" s="308" customFormat="1" ht="54.75" customHeight="1">
      <c r="A50" s="2207" t="s">
        <v>1223</v>
      </c>
      <c r="B50" s="2208"/>
      <c r="C50" s="2208"/>
      <c r="D50" s="2208"/>
      <c r="E50" s="2208"/>
    </row>
  </sheetData>
  <customSheetViews>
    <customSheetView guid="{27C9E95B-0E2B-454F-B637-1CECC9579A10}" fitToPage="1" hiddenRows="1" hiddenColumns="1" showRuler="0">
      <selection activeCell="D3" sqref="D3"/>
      <pageMargins left="0.70866141732283472" right="0.70866141732283472" top="0.74803149606299213" bottom="0.74803149606299213" header="0.31496062992125984" footer="0.31496062992125984"/>
      <pageSetup paperSize="9" scale="65" orientation="portrait" r:id="rId1"/>
      <headerFooter alignWithMargins="0"/>
    </customSheetView>
    <customSheetView guid="{99FBDEB7-DD08-4F57-81F4-3C180403E153}" fitToPage="1" hiddenRows="1" hiddenColumns="1">
      <selection activeCell="B4" sqref="B4"/>
      <pageMargins left="0.70866141732283472" right="0.70866141732283472" top="0.74803149606299213" bottom="0.74803149606299213" header="0.31496062992125984" footer="0.31496062992125984"/>
      <pageSetup paperSize="9" scale="65" orientation="portrait" r:id="rId2"/>
    </customSheetView>
    <customSheetView guid="{97D6DB71-3F4C-4C5F-8C5B-51E3EBF78932}" showPageBreaks="1" fitToPage="1" hiddenRows="1" hiddenColumns="1">
      <selection activeCell="B4" sqref="B4"/>
      <pageMargins left="0.70866141732283472" right="0.70866141732283472" top="0.74803149606299213" bottom="0.74803149606299213" header="0.31496062992125984" footer="0.31496062992125984"/>
      <pageSetup paperSize="9" scale="71" orientation="portrait" r:id="rId3"/>
    </customSheetView>
  </customSheetViews>
  <mergeCells count="1">
    <mergeCell ref="A1:D1"/>
  </mergeCells>
  <phoneticPr fontId="87" type="noConversion"/>
  <hyperlinks>
    <hyperlink ref="A49" r:id="rId4"/>
  </hyperlinks>
  <pageMargins left="0.70866141732283472" right="0.48" top="0.74803149606299213" bottom="0.74803149606299213" header="0.31496062992125984" footer="0.31496062992125984"/>
  <pageSetup paperSize="9" scale="84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>
    <tabColor rgb="FFFFFF00"/>
  </sheetPr>
  <dimension ref="A1:W60"/>
  <sheetViews>
    <sheetView showGridLines="0" zoomScaleNormal="100" workbookViewId="0">
      <pane xSplit="2" ySplit="11" topLeftCell="C12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0" defaultRowHeight="0" customHeight="1" zeroHeight="1"/>
  <cols>
    <col min="1" max="1" width="5.28515625" style="273" customWidth="1"/>
    <col min="2" max="2" width="32.7109375" style="276" customWidth="1"/>
    <col min="3" max="3" width="11.28515625" style="279" customWidth="1"/>
    <col min="4" max="4" width="9.140625" style="279" customWidth="1"/>
    <col min="5" max="7" width="8.7109375" style="279" customWidth="1"/>
    <col min="8" max="8" width="10" style="279" customWidth="1"/>
    <col min="9" max="9" width="9.7109375" style="279" customWidth="1"/>
    <col min="10" max="10" width="10" style="279" customWidth="1"/>
    <col min="11" max="11" width="9.7109375" style="279" customWidth="1"/>
    <col min="12" max="13" width="10.140625" style="279" customWidth="1"/>
    <col min="14" max="14" width="13.140625" style="279" customWidth="1"/>
    <col min="15" max="15" width="8" style="277" customWidth="1"/>
    <col min="16" max="16" width="2.5703125" style="273" customWidth="1"/>
    <col min="17" max="17" width="7.85546875" style="278" customWidth="1"/>
    <col min="18" max="18" width="18.7109375" style="273" customWidth="1"/>
    <col min="19" max="19" width="4.140625" style="273" customWidth="1"/>
    <col min="20" max="20" width="14.7109375" style="273" customWidth="1"/>
    <col min="21" max="21" width="9.140625" style="273" customWidth="1"/>
    <col min="22" max="22" width="9.140625" style="272" customWidth="1"/>
    <col min="23" max="16384" width="0" style="272" hidden="1"/>
  </cols>
  <sheetData>
    <row r="1" spans="1:23" ht="21.75">
      <c r="A1" s="132" t="str">
        <f>"Specificering vård och omsorg om äldre och personer med funktionsnedsättning "&amp;År&amp;", miljoner kronor"</f>
        <v>Specificering vård och omsorg om äldre och personer med funktionsnedsättning 2019, miljoner kronor</v>
      </c>
      <c r="B1" s="133"/>
      <c r="C1" s="133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523" t="s">
        <v>466</v>
      </c>
      <c r="P1" s="524" t="str">
        <f>'Kn Information'!A2</f>
        <v>RIKSTOTAL</v>
      </c>
      <c r="Q1" s="271"/>
      <c r="R1" s="270"/>
      <c r="S1" s="270"/>
      <c r="T1" s="270"/>
      <c r="U1" s="270"/>
    </row>
    <row r="2" spans="1:23" ht="12.75">
      <c r="A2" s="2209"/>
      <c r="B2" s="2209"/>
      <c r="C2" s="2209"/>
      <c r="D2" s="2209"/>
      <c r="E2" s="2209"/>
      <c r="F2" s="2209"/>
      <c r="G2" s="2209"/>
      <c r="H2" s="2209"/>
      <c r="I2" s="2209"/>
      <c r="J2" s="2209"/>
      <c r="K2" s="2209"/>
      <c r="L2" s="2209"/>
      <c r="M2" s="2209"/>
      <c r="N2" s="2209"/>
      <c r="O2" s="2209"/>
      <c r="P2" s="2209"/>
      <c r="Q2" s="2209"/>
      <c r="R2" s="2209"/>
      <c r="S2" s="2209"/>
      <c r="T2" s="2209"/>
      <c r="U2" s="2209"/>
      <c r="V2" s="2209"/>
    </row>
    <row r="3" spans="1:23" ht="12.75" customHeight="1" thickBot="1">
      <c r="A3" s="2209"/>
      <c r="B3" s="2209"/>
      <c r="C3" s="2209"/>
      <c r="D3" s="2209"/>
      <c r="E3" s="2209"/>
      <c r="F3" s="2209"/>
      <c r="G3" s="2209"/>
      <c r="H3" s="2209"/>
      <c r="I3" s="2209"/>
      <c r="J3" s="2209"/>
      <c r="K3" s="2209"/>
      <c r="L3" s="2209"/>
      <c r="M3" s="2209"/>
      <c r="N3" s="2209"/>
      <c r="O3" s="2209"/>
      <c r="P3" s="2209"/>
      <c r="Q3" s="2209"/>
      <c r="R3" s="2209"/>
      <c r="S3" s="2209"/>
      <c r="T3" s="2209"/>
      <c r="U3" s="2209"/>
      <c r="V3" s="2209"/>
    </row>
    <row r="4" spans="1:23" ht="12.75">
      <c r="A4" s="1133" t="s">
        <v>634</v>
      </c>
      <c r="B4" s="1134" t="s">
        <v>16</v>
      </c>
      <c r="C4" s="1559" t="s">
        <v>975</v>
      </c>
      <c r="D4" s="1559"/>
      <c r="E4" s="1780"/>
      <c r="F4" s="1371" t="s">
        <v>40</v>
      </c>
      <c r="G4" s="1136"/>
      <c r="H4" s="1136"/>
      <c r="I4" s="1135"/>
      <c r="J4" s="1373" t="s">
        <v>41</v>
      </c>
      <c r="K4" s="1372" t="s">
        <v>973</v>
      </c>
      <c r="L4" s="1959" t="s">
        <v>1061</v>
      </c>
      <c r="M4" s="1619" t="s">
        <v>982</v>
      </c>
      <c r="N4" s="1616"/>
      <c r="O4" s="2559" t="str">
        <f>"Förändring kostnader för eget åtagande "&amp;År-1&amp;"-"&amp;År&amp;" procent"</f>
        <v>Förändring kostnader för eget åtagande 2018-2019 procent</v>
      </c>
      <c r="P4" s="2209"/>
      <c r="Q4" s="2346"/>
      <c r="R4" s="2363"/>
      <c r="S4" s="2209"/>
      <c r="T4" s="2209"/>
      <c r="U4" s="2209"/>
      <c r="V4" s="2209"/>
      <c r="W4" s="273"/>
    </row>
    <row r="5" spans="1:23" ht="12.75" customHeight="1">
      <c r="A5" s="1138" t="s">
        <v>637</v>
      </c>
      <c r="B5" s="1139"/>
      <c r="C5" s="1324" t="s">
        <v>44</v>
      </c>
      <c r="D5" s="1324"/>
      <c r="E5" s="1774"/>
      <c r="F5" s="1140"/>
      <c r="G5" s="1141"/>
      <c r="H5" s="1141"/>
      <c r="I5" s="1142"/>
      <c r="J5" s="1374" t="s">
        <v>43</v>
      </c>
      <c r="K5" s="1634" t="s">
        <v>989</v>
      </c>
      <c r="L5" s="1960" t="s">
        <v>45</v>
      </c>
      <c r="M5" s="1618" t="s">
        <v>981</v>
      </c>
      <c r="N5" s="1617"/>
      <c r="O5" s="2560"/>
      <c r="P5" s="2209"/>
      <c r="Q5" s="2347"/>
      <c r="R5" s="2364"/>
      <c r="S5" s="2209"/>
      <c r="T5" s="2209"/>
      <c r="U5" s="2209"/>
      <c r="V5" s="2209"/>
      <c r="W5" s="273"/>
    </row>
    <row r="6" spans="1:23" ht="33.75" customHeight="1">
      <c r="A6" s="1145"/>
      <c r="B6" s="1146"/>
      <c r="C6" s="1591"/>
      <c r="D6" s="2552" t="s">
        <v>1060</v>
      </c>
      <c r="E6" s="2552" t="s">
        <v>1098</v>
      </c>
      <c r="F6" s="2545" t="s">
        <v>708</v>
      </c>
      <c r="G6" s="2547" t="s">
        <v>856</v>
      </c>
      <c r="H6" s="2547" t="s">
        <v>476</v>
      </c>
      <c r="I6" s="2554" t="s">
        <v>1156</v>
      </c>
      <c r="J6" s="1774"/>
      <c r="K6" s="1633" t="s">
        <v>988</v>
      </c>
      <c r="L6" s="1781"/>
      <c r="M6" s="1911"/>
      <c r="N6" s="1630"/>
      <c r="O6" s="2560"/>
      <c r="P6" s="2209"/>
      <c r="Q6" s="2561" t="str">
        <f>"Nämnare nyckeltal"</f>
        <v>Nämnare nyckeltal</v>
      </c>
      <c r="R6" s="2562"/>
      <c r="S6" s="2209"/>
      <c r="T6" s="2209"/>
      <c r="U6" s="2209"/>
      <c r="V6" s="2209"/>
      <c r="W6" s="273"/>
    </row>
    <row r="7" spans="1:23" ht="21" customHeight="1">
      <c r="A7" s="1148"/>
      <c r="B7" s="1146"/>
      <c r="C7" s="1324"/>
      <c r="D7" s="2556"/>
      <c r="E7" s="2553"/>
      <c r="F7" s="2546"/>
      <c r="G7" s="2548"/>
      <c r="H7" s="2549"/>
      <c r="I7" s="2555"/>
      <c r="J7" s="1774"/>
      <c r="K7" s="1622" t="s">
        <v>983</v>
      </c>
      <c r="L7" s="1787" t="s">
        <v>979</v>
      </c>
      <c r="M7" s="1788" t="s">
        <v>987</v>
      </c>
      <c r="N7" s="1629" t="s">
        <v>987</v>
      </c>
      <c r="O7" s="2336"/>
      <c r="P7" s="2209"/>
      <c r="Q7" s="2563"/>
      <c r="R7" s="2562"/>
      <c r="S7" s="2209"/>
      <c r="T7" s="2209"/>
      <c r="U7" s="2209"/>
      <c r="V7" s="2209"/>
      <c r="W7" s="273"/>
    </row>
    <row r="8" spans="1:23" ht="12.75">
      <c r="A8" s="1148"/>
      <c r="B8" s="1149"/>
      <c r="C8" s="1143"/>
      <c r="D8" s="1774"/>
      <c r="E8" s="1590"/>
      <c r="F8" s="1147"/>
      <c r="G8" s="1941"/>
      <c r="H8" s="1941"/>
      <c r="I8" s="1377"/>
      <c r="J8" s="1774"/>
      <c r="K8" s="1323" t="s">
        <v>1157</v>
      </c>
      <c r="L8" s="1789"/>
      <c r="M8" s="1790">
        <f>År</f>
        <v>2019</v>
      </c>
      <c r="N8" s="1621">
        <f>År-1</f>
        <v>2018</v>
      </c>
      <c r="O8" s="2337"/>
      <c r="P8" s="2209"/>
      <c r="Q8" s="2348"/>
      <c r="R8" s="2365"/>
      <c r="S8" s="2209"/>
      <c r="T8" s="2209"/>
      <c r="U8" s="2209"/>
      <c r="V8" s="2209"/>
      <c r="W8" s="273"/>
    </row>
    <row r="9" spans="1:23" ht="20.25" customHeight="1">
      <c r="A9" s="1148"/>
      <c r="B9" s="1146"/>
      <c r="C9" s="1143"/>
      <c r="D9" s="2557" t="s">
        <v>1189</v>
      </c>
      <c r="E9" s="1603" t="s">
        <v>829</v>
      </c>
      <c r="F9" s="1602" t="s">
        <v>867</v>
      </c>
      <c r="G9" s="1601" t="s">
        <v>48</v>
      </c>
      <c r="H9" s="2550" t="s">
        <v>855</v>
      </c>
      <c r="I9" s="2190" t="s">
        <v>1159</v>
      </c>
      <c r="J9" s="1144"/>
      <c r="K9" s="2068" t="s">
        <v>1158</v>
      </c>
      <c r="L9" s="1942"/>
      <c r="M9" s="1791"/>
      <c r="N9" s="1620"/>
      <c r="O9" s="2337"/>
      <c r="P9" s="2209"/>
      <c r="Q9" s="2349"/>
      <c r="R9" s="2366"/>
      <c r="S9" s="2209"/>
      <c r="T9" s="2209"/>
      <c r="U9" s="2209"/>
      <c r="V9" s="2209"/>
      <c r="W9" s="273"/>
    </row>
    <row r="10" spans="1:23" ht="12.75" customHeight="1">
      <c r="A10" s="1148"/>
      <c r="B10" s="1152"/>
      <c r="C10" s="1143"/>
      <c r="D10" s="2558"/>
      <c r="E10" s="1590"/>
      <c r="F10" s="1388"/>
      <c r="G10" s="1604"/>
      <c r="H10" s="2548"/>
      <c r="I10" s="1593"/>
      <c r="J10" s="1144"/>
      <c r="K10" s="1323" t="s">
        <v>1154</v>
      </c>
      <c r="L10" s="1782"/>
      <c r="M10" s="1631"/>
      <c r="N10" s="1632"/>
      <c r="O10" s="2338"/>
      <c r="P10" s="2209"/>
      <c r="Q10" s="2350"/>
      <c r="R10" s="2367"/>
      <c r="S10" s="2209"/>
      <c r="T10" s="2209"/>
      <c r="U10" s="2209"/>
      <c r="V10" s="2209"/>
      <c r="W10" s="273"/>
    </row>
    <row r="11" spans="1:23" ht="12.75">
      <c r="A11" s="1153"/>
      <c r="B11" s="1389"/>
      <c r="C11" s="1154"/>
      <c r="D11" s="1775"/>
      <c r="E11" s="1592"/>
      <c r="F11" s="1388"/>
      <c r="G11" s="1605"/>
      <c r="H11" s="2551"/>
      <c r="I11" s="1594"/>
      <c r="J11" s="1156"/>
      <c r="K11" s="2095" t="s">
        <v>1155</v>
      </c>
      <c r="L11" s="1783"/>
      <c r="M11" s="1778"/>
      <c r="N11" s="1779"/>
      <c r="O11" s="2339"/>
      <c r="P11" s="2209"/>
      <c r="Q11" s="2351"/>
      <c r="R11" s="2339"/>
      <c r="S11" s="2209"/>
      <c r="T11" s="2209"/>
      <c r="U11" s="2209"/>
      <c r="V11" s="2209"/>
      <c r="W11" s="273"/>
    </row>
    <row r="12" spans="1:23" ht="12.75">
      <c r="A12" s="1157">
        <v>510</v>
      </c>
      <c r="B12" s="1158" t="s">
        <v>496</v>
      </c>
      <c r="C12" s="339">
        <f>Drift!P73</f>
        <v>145289.413</v>
      </c>
      <c r="D12" s="339">
        <f>SUM(Drift!C73:D73)</f>
        <v>80153.942999999999</v>
      </c>
      <c r="E12" s="339">
        <f>Drift!F73</f>
        <v>20578.592000000001</v>
      </c>
      <c r="F12" s="339">
        <f>Drift!R73</f>
        <v>5234.4369999999999</v>
      </c>
      <c r="G12" s="339">
        <f>Drift!S73</f>
        <v>4392.1949999999997</v>
      </c>
      <c r="H12" s="339">
        <f>Drift!T73</f>
        <v>6662.0680000000002</v>
      </c>
      <c r="I12" s="339">
        <f>Motpart!Y27+Motpart!Z27</f>
        <v>270.21600000000001</v>
      </c>
      <c r="J12" s="339">
        <f>Drift!V73</f>
        <v>15639.107</v>
      </c>
      <c r="K12" s="1174">
        <f t="shared" ref="K12:K18" si="0">C12-I12-J12</f>
        <v>129380.09000000001</v>
      </c>
      <c r="L12" s="1773">
        <f t="shared" ref="L12:L18" si="1">C12-SUM(F12:H12,J12)</f>
        <v>113361.606</v>
      </c>
      <c r="M12" s="1785">
        <f>IF(C12&gt;0,K12*1000000/Q12,"")</f>
        <v>62642.663507260462</v>
      </c>
      <c r="N12" s="1786">
        <v>62045.644</v>
      </c>
      <c r="O12" s="2340"/>
      <c r="P12" s="2209"/>
      <c r="Q12" s="2352">
        <v>2065367</v>
      </c>
      <c r="R12" s="2368" t="s">
        <v>1091</v>
      </c>
      <c r="S12" s="2209"/>
      <c r="T12" s="2209"/>
      <c r="U12" s="2209"/>
      <c r="V12" s="2209"/>
      <c r="W12" s="274"/>
    </row>
    <row r="13" spans="1:23" ht="13.5" customHeight="1">
      <c r="A13" s="1159">
        <v>5101</v>
      </c>
      <c r="B13" s="1160" t="s">
        <v>452</v>
      </c>
      <c r="C13" s="134">
        <v>51593.25</v>
      </c>
      <c r="D13" s="134">
        <v>30426.784</v>
      </c>
      <c r="E13" s="134">
        <v>6758.22</v>
      </c>
      <c r="F13" s="134">
        <v>2517.91</v>
      </c>
      <c r="G13" s="134">
        <v>2.16</v>
      </c>
      <c r="H13" s="134">
        <v>1591.0340000000001</v>
      </c>
      <c r="I13" s="134">
        <v>107.85299999999999</v>
      </c>
      <c r="J13" s="134">
        <v>6831.567</v>
      </c>
      <c r="K13" s="1175">
        <f t="shared" si="0"/>
        <v>44653.829999999994</v>
      </c>
      <c r="L13" s="1776">
        <f t="shared" si="1"/>
        <v>40650.578999999998</v>
      </c>
      <c r="M13" s="1176">
        <f>IF(C13&gt;0,K13*1000000/Q12,"")</f>
        <v>21620.288307114421</v>
      </c>
      <c r="N13" s="1176">
        <v>21050.63</v>
      </c>
      <c r="O13" s="2341">
        <f>IF(ISERROR((M13-N13)/N13),"",((M13-N13)/N13))</f>
        <v>2.7061342445067894E-2</v>
      </c>
      <c r="P13" s="2209"/>
      <c r="Q13" s="2353"/>
      <c r="R13" s="2369"/>
      <c r="S13" s="2209"/>
      <c r="T13" s="2209"/>
      <c r="U13" s="2209"/>
      <c r="V13" s="2209"/>
      <c r="W13" s="274"/>
    </row>
    <row r="14" spans="1:23" ht="13.5" customHeight="1">
      <c r="A14" s="1159">
        <v>5103</v>
      </c>
      <c r="B14" s="1160" t="s">
        <v>774</v>
      </c>
      <c r="C14" s="280">
        <v>7695.58</v>
      </c>
      <c r="D14" s="134">
        <v>4516.3419999999996</v>
      </c>
      <c r="E14" s="134">
        <v>697.28300000000002</v>
      </c>
      <c r="F14" s="134">
        <v>224.51400000000001</v>
      </c>
      <c r="G14" s="134">
        <v>42.753999999999998</v>
      </c>
      <c r="H14" s="134">
        <v>298.66800000000001</v>
      </c>
      <c r="I14" s="134">
        <v>40.851999999999997</v>
      </c>
      <c r="J14" s="134">
        <v>902.22400000000005</v>
      </c>
      <c r="K14" s="1175">
        <f t="shared" si="0"/>
        <v>6752.5039999999999</v>
      </c>
      <c r="L14" s="1776">
        <f t="shared" si="1"/>
        <v>6227.42</v>
      </c>
      <c r="M14" s="1176">
        <f>IF(C14&gt;0,K14*1000000/Q12,"")</f>
        <v>3269.3966738114823</v>
      </c>
      <c r="N14" s="1177">
        <v>3312.8470000000002</v>
      </c>
      <c r="O14" s="2341">
        <f>IF(ISERROR((M14-N14)/N14),"",((M14-N14)/N14))</f>
        <v>-1.3115705672045197E-2</v>
      </c>
      <c r="P14" s="2209"/>
      <c r="Q14" s="2354"/>
      <c r="R14" s="2564" t="str">
        <f>"För minst en delv-ht inom v-het 510 redovisas varken detta år eller året innan några kostnader. Har kommunen inte verksamheten(-erna)? Lämna förklarande kommentar"</f>
        <v>För minst en delv-ht inom v-het 510 redovisas varken detta år eller året innan några kostnader. Har kommunen inte verksamheten(-erna)? Lämna förklarande kommentar</v>
      </c>
      <c r="S14" s="2209"/>
      <c r="T14" s="2209"/>
      <c r="U14" s="2209"/>
      <c r="V14" s="2209"/>
      <c r="W14" s="274"/>
    </row>
    <row r="15" spans="1:23" ht="13.5" customHeight="1">
      <c r="A15" s="1159">
        <v>5104</v>
      </c>
      <c r="B15" s="1160" t="s">
        <v>453</v>
      </c>
      <c r="C15" s="280">
        <v>1520.721</v>
      </c>
      <c r="D15" s="134">
        <v>865.24300000000005</v>
      </c>
      <c r="E15" s="134">
        <v>108.702</v>
      </c>
      <c r="F15" s="134">
        <v>44.753999999999998</v>
      </c>
      <c r="G15" s="134">
        <v>0.55500000000000005</v>
      </c>
      <c r="H15" s="134">
        <v>55.689</v>
      </c>
      <c r="I15" s="134">
        <v>0.51800000000000002</v>
      </c>
      <c r="J15" s="280">
        <v>157.995</v>
      </c>
      <c r="K15" s="1175">
        <f t="shared" si="0"/>
        <v>1362.2080000000001</v>
      </c>
      <c r="L15" s="1776">
        <f t="shared" si="1"/>
        <v>1261.7280000000001</v>
      </c>
      <c r="M15" s="1176">
        <f>IF(C15&gt;0,K15*1000000/Q12,"")</f>
        <v>659.54767360958124</v>
      </c>
      <c r="N15" s="1177">
        <v>658.73800000000006</v>
      </c>
      <c r="O15" s="2341">
        <f>IF(ISERROR((M15-N15)/N15),"",((M15-N15)/N15))</f>
        <v>1.2291284388955578E-3</v>
      </c>
      <c r="P15" s="2209"/>
      <c r="Q15" s="2354"/>
      <c r="R15" s="2565"/>
      <c r="S15" s="2209"/>
      <c r="T15" s="2209"/>
      <c r="U15" s="2209"/>
      <c r="V15" s="2209"/>
      <c r="W15" s="274"/>
    </row>
    <row r="16" spans="1:23" ht="13.5" customHeight="1">
      <c r="A16" s="1159">
        <v>5105</v>
      </c>
      <c r="B16" s="1160" t="s">
        <v>487</v>
      </c>
      <c r="C16" s="280">
        <v>81065.206999999995</v>
      </c>
      <c r="D16" s="134">
        <v>43032.468999999997</v>
      </c>
      <c r="E16" s="281">
        <v>12853.456</v>
      </c>
      <c r="F16" s="281">
        <v>2395.7379999999998</v>
      </c>
      <c r="G16" s="281">
        <v>4235.1239999999998</v>
      </c>
      <c r="H16" s="281">
        <v>4481.8419999999996</v>
      </c>
      <c r="I16" s="281">
        <v>108.56399999999999</v>
      </c>
      <c r="J16" s="281">
        <v>7509.2920000000004</v>
      </c>
      <c r="K16" s="1175">
        <f t="shared" si="0"/>
        <v>73447.350999999995</v>
      </c>
      <c r="L16" s="1776">
        <f t="shared" si="1"/>
        <v>62443.210999999996</v>
      </c>
      <c r="M16" s="1176">
        <f>IF(C16&gt;0,K16*1000000/Q12,"")</f>
        <v>35561.404341213936</v>
      </c>
      <c r="N16" s="1178">
        <v>35267.285000000003</v>
      </c>
      <c r="O16" s="2341">
        <f>IF(ISERROR((M16-N16)/N16),"",((M16-N16)/N16))</f>
        <v>8.3397216772976082E-3</v>
      </c>
      <c r="P16" s="2209"/>
      <c r="Q16" s="2354"/>
      <c r="R16" s="2565"/>
      <c r="S16" s="2209"/>
      <c r="T16" s="2209"/>
      <c r="U16" s="2209"/>
      <c r="V16" s="2209"/>
      <c r="W16" s="274"/>
    </row>
    <row r="17" spans="1:23" ht="13.5" customHeight="1">
      <c r="A17" s="1159">
        <v>5106</v>
      </c>
      <c r="B17" s="1161" t="s">
        <v>104</v>
      </c>
      <c r="C17" s="280">
        <v>1866.288</v>
      </c>
      <c r="D17" s="134">
        <v>853.601</v>
      </c>
      <c r="E17" s="134">
        <v>65.966999999999999</v>
      </c>
      <c r="F17" s="134">
        <v>35.844000000000001</v>
      </c>
      <c r="G17" s="134">
        <v>26.507999999999999</v>
      </c>
      <c r="H17" s="134">
        <v>179.65799999999999</v>
      </c>
      <c r="I17" s="134">
        <v>2.9830000000000001</v>
      </c>
      <c r="J17" s="134">
        <v>185.999</v>
      </c>
      <c r="K17" s="1175">
        <f t="shared" si="0"/>
        <v>1677.306</v>
      </c>
      <c r="L17" s="1776">
        <f t="shared" si="1"/>
        <v>1438.279</v>
      </c>
      <c r="M17" s="1176">
        <f>IF(C17&gt;0,K17*1000000/Q12,"")</f>
        <v>812.11039006626913</v>
      </c>
      <c r="N17" s="1176">
        <v>844.91399999999999</v>
      </c>
      <c r="O17" s="2341">
        <f>IF(ISERROR((M17-N17)/N17),"",((M17-N17)/N17))</f>
        <v>-3.8824791557165408E-2</v>
      </c>
      <c r="P17" s="2209"/>
      <c r="Q17" s="2354"/>
      <c r="R17" s="2565"/>
      <c r="S17" s="2209"/>
      <c r="T17" s="2209"/>
      <c r="U17" s="2209"/>
      <c r="V17" s="2209"/>
      <c r="W17" s="274"/>
    </row>
    <row r="18" spans="1:23" ht="13.5" customHeight="1">
      <c r="A18" s="1159">
        <v>5109</v>
      </c>
      <c r="B18" s="1160" t="s">
        <v>375</v>
      </c>
      <c r="C18" s="280">
        <v>1548.3810000000001</v>
      </c>
      <c r="D18" s="134">
        <v>459.49099999999999</v>
      </c>
      <c r="E18" s="134">
        <v>94.954999999999998</v>
      </c>
      <c r="F18" s="134">
        <v>15.67</v>
      </c>
      <c r="G18" s="134">
        <v>85.091999999999999</v>
      </c>
      <c r="H18" s="134">
        <v>55.174999999999997</v>
      </c>
      <c r="I18" s="134">
        <v>9.4380000000000006</v>
      </c>
      <c r="J18" s="134">
        <v>52.033000000000001</v>
      </c>
      <c r="K18" s="1175">
        <f t="shared" si="0"/>
        <v>1486.91</v>
      </c>
      <c r="L18" s="1776">
        <f t="shared" si="1"/>
        <v>1340.4110000000001</v>
      </c>
      <c r="M18" s="1179"/>
      <c r="N18" s="1179"/>
      <c r="O18" s="2342"/>
      <c r="P18" s="2209"/>
      <c r="Q18" s="2354"/>
      <c r="R18" s="2565"/>
      <c r="S18" s="2209"/>
      <c r="T18" s="2209"/>
      <c r="U18" s="2209"/>
      <c r="V18" s="2209"/>
      <c r="W18" s="274"/>
    </row>
    <row r="19" spans="1:23" ht="12.75">
      <c r="A19" s="1162">
        <v>51099</v>
      </c>
      <c r="B19" s="1163" t="s">
        <v>159</v>
      </c>
      <c r="C19" s="323">
        <f>SUM(C13:C18)</f>
        <v>145289.427</v>
      </c>
      <c r="D19" s="323">
        <f>SUM(D13:D18)</f>
        <v>80153.929999999978</v>
      </c>
      <c r="E19" s="323">
        <f t="shared" ref="E19:J19" si="2">SUM(E13:E18)</f>
        <v>20578.583000000002</v>
      </c>
      <c r="F19" s="323">
        <f t="shared" si="2"/>
        <v>5234.4299999999994</v>
      </c>
      <c r="G19" s="323">
        <f t="shared" si="2"/>
        <v>4392.1929999999993</v>
      </c>
      <c r="H19" s="323">
        <f>SUM(H13:H18)</f>
        <v>6662.0660000000007</v>
      </c>
      <c r="I19" s="323">
        <f t="shared" si="2"/>
        <v>270.20799999999997</v>
      </c>
      <c r="J19" s="323">
        <f t="shared" si="2"/>
        <v>15639.11</v>
      </c>
      <c r="K19" s="1180"/>
      <c r="L19" s="1784"/>
      <c r="M19" s="1181"/>
      <c r="N19" s="1181"/>
      <c r="O19" s="2343"/>
      <c r="P19" s="2209"/>
      <c r="Q19" s="2354"/>
      <c r="R19" s="2565"/>
      <c r="S19" s="2209"/>
      <c r="T19" s="2209"/>
      <c r="U19" s="2209"/>
      <c r="V19" s="2209"/>
      <c r="W19" s="274"/>
    </row>
    <row r="20" spans="1:23" ht="13.5" thickBot="1">
      <c r="A20" s="1164"/>
      <c r="B20" s="1708" t="s">
        <v>165</v>
      </c>
      <c r="C20" s="324">
        <f>C12-C19</f>
        <v>-1.3999999995576218E-2</v>
      </c>
      <c r="D20" s="324">
        <f>D12-D19</f>
        <v>1.3000000020838343E-2</v>
      </c>
      <c r="E20" s="324">
        <f t="shared" ref="E20:J20" si="3">E12-E19</f>
        <v>8.9999999981955625E-3</v>
      </c>
      <c r="F20" s="324">
        <f t="shared" si="3"/>
        <v>7.000000000516593E-3</v>
      </c>
      <c r="G20" s="324">
        <f t="shared" si="3"/>
        <v>2.0000000004074536E-3</v>
      </c>
      <c r="H20" s="324">
        <f t="shared" si="3"/>
        <v>1.9999999994979589E-3</v>
      </c>
      <c r="I20" s="324">
        <f t="shared" si="3"/>
        <v>8.0000000000381988E-3</v>
      </c>
      <c r="J20" s="324">
        <f t="shared" si="3"/>
        <v>-3.0000000006111804E-3</v>
      </c>
      <c r="K20" s="1182"/>
      <c r="L20" s="1793"/>
      <c r="M20" s="1183"/>
      <c r="N20" s="1183"/>
      <c r="O20" s="2344"/>
      <c r="P20" s="2209"/>
      <c r="Q20" s="2355"/>
      <c r="R20" s="2370"/>
      <c r="S20" s="2209"/>
      <c r="T20" s="2209"/>
      <c r="U20" s="2209"/>
      <c r="V20" s="2209"/>
      <c r="W20" s="274"/>
    </row>
    <row r="21" spans="1:23" ht="22.5" customHeight="1">
      <c r="A21" s="1165">
        <v>520</v>
      </c>
      <c r="B21" s="1166" t="s">
        <v>113</v>
      </c>
      <c r="C21" s="340">
        <f>Drift!P74</f>
        <v>16195.746000000001</v>
      </c>
      <c r="D21" s="339">
        <f>SUM(Drift!C74:D74)</f>
        <v>8174.2759999999998</v>
      </c>
      <c r="E21" s="340">
        <f>Drift!F74</f>
        <v>3524.5320000000002</v>
      </c>
      <c r="F21" s="340">
        <f>Drift!R74</f>
        <v>295.44900000000001</v>
      </c>
      <c r="G21" s="340">
        <f>Drift!S74</f>
        <v>314.25</v>
      </c>
      <c r="H21" s="340">
        <f>Drift!T74</f>
        <v>799.12400000000002</v>
      </c>
      <c r="I21" s="340">
        <f>Motpart!Y28+Motpart!Z28</f>
        <v>45.773000000000003</v>
      </c>
      <c r="J21" s="340">
        <f>Drift!V74</f>
        <v>1327.1279999999999</v>
      </c>
      <c r="K21" s="1184">
        <f t="shared" ref="K21:K28" si="4">C21-I21-J21</f>
        <v>14822.845000000001</v>
      </c>
      <c r="L21" s="1184">
        <f t="shared" ref="L21:L28" si="5">C21-SUM(F21:H21,J21)</f>
        <v>13459.795000000002</v>
      </c>
      <c r="M21" s="1185">
        <f>IF(C21&gt;0,K21*1000000/Q21,"")</f>
        <v>1794.050680313359</v>
      </c>
      <c r="N21" s="1185">
        <v>1775.7090000000001</v>
      </c>
      <c r="O21" s="2345"/>
      <c r="P21" s="2209"/>
      <c r="Q21" s="2356">
        <v>8262222</v>
      </c>
      <c r="R21" s="2371" t="s">
        <v>1092</v>
      </c>
      <c r="S21" s="2209"/>
      <c r="T21" s="2209"/>
      <c r="U21" s="2209"/>
      <c r="V21" s="2209"/>
      <c r="W21" s="274"/>
    </row>
    <row r="22" spans="1:23" ht="12.75">
      <c r="A22" s="1159">
        <v>5201</v>
      </c>
      <c r="B22" s="1160" t="s">
        <v>454</v>
      </c>
      <c r="C22" s="134">
        <v>4401.4459999999999</v>
      </c>
      <c r="D22" s="134">
        <v>2345.13</v>
      </c>
      <c r="E22" s="134">
        <v>749.98699999999997</v>
      </c>
      <c r="F22" s="134">
        <v>145.208</v>
      </c>
      <c r="G22" s="134">
        <v>1.5129999999999999</v>
      </c>
      <c r="H22" s="134">
        <v>163.108</v>
      </c>
      <c r="I22" s="134">
        <v>6.92</v>
      </c>
      <c r="J22" s="134">
        <v>346.19799999999998</v>
      </c>
      <c r="K22" s="1186">
        <f t="shared" si="4"/>
        <v>4048.328</v>
      </c>
      <c r="L22" s="1776">
        <f t="shared" si="5"/>
        <v>3745.4189999999999</v>
      </c>
      <c r="M22" s="1177">
        <f>IF(C22&gt;0,K22*1000000/Q21,"")</f>
        <v>489.98054034374775</v>
      </c>
      <c r="N22" s="1177">
        <v>479.46899999999999</v>
      </c>
      <c r="O22" s="2341">
        <f t="shared" ref="O22:O27" si="6">IF(ISERROR((M22-N22)/N22),"",((M22-N22)/N22))</f>
        <v>2.1923295027932471E-2</v>
      </c>
      <c r="P22" s="2209"/>
      <c r="Q22" s="2353"/>
      <c r="R22" s="2372"/>
      <c r="S22" s="2209"/>
      <c r="T22" s="2209"/>
      <c r="U22" s="2209"/>
      <c r="V22" s="2209"/>
      <c r="W22" s="274"/>
    </row>
    <row r="23" spans="1:23" ht="12.75">
      <c r="A23" s="1159">
        <v>5202</v>
      </c>
      <c r="B23" s="1160" t="s">
        <v>455</v>
      </c>
      <c r="C23" s="280">
        <v>2740.0830000000001</v>
      </c>
      <c r="D23" s="134">
        <v>1903.144</v>
      </c>
      <c r="E23" s="134">
        <v>264.13900000000001</v>
      </c>
      <c r="F23" s="134">
        <v>24.120999999999999</v>
      </c>
      <c r="G23" s="134">
        <v>4.0990000000000002</v>
      </c>
      <c r="H23" s="134">
        <v>63.860999999999997</v>
      </c>
      <c r="I23" s="134">
        <v>1.982</v>
      </c>
      <c r="J23" s="134">
        <v>261.029</v>
      </c>
      <c r="K23" s="1186">
        <f t="shared" si="4"/>
        <v>2477.0720000000001</v>
      </c>
      <c r="L23" s="1776">
        <f t="shared" si="5"/>
        <v>2386.973</v>
      </c>
      <c r="M23" s="1177">
        <f>IF(C23&gt;0,K23*1000000/Q21,"")</f>
        <v>299.80700107065627</v>
      </c>
      <c r="N23" s="1177">
        <v>291.17200000000003</v>
      </c>
      <c r="O23" s="2341">
        <f t="shared" si="6"/>
        <v>2.9656014557224747E-2</v>
      </c>
      <c r="P23" s="2209"/>
      <c r="Q23" s="2357"/>
      <c r="R23" s="2566" t="str">
        <f>"För minst en delv-ht inom v-het 520 redovisas varken detta år eller året innan några kostnader. Har kommunen inte verksamheten(-erna)? Lämna förklarande kommentar"</f>
        <v>För minst en delv-ht inom v-het 520 redovisas varken detta år eller året innan några kostnader. Har kommunen inte verksamheten(-erna)? Lämna förklarande kommentar</v>
      </c>
      <c r="S23" s="2209"/>
      <c r="T23" s="2209"/>
      <c r="U23" s="2209"/>
      <c r="V23" s="2209"/>
      <c r="W23" s="274"/>
    </row>
    <row r="24" spans="1:23" ht="12.75">
      <c r="A24" s="1159">
        <v>5203</v>
      </c>
      <c r="B24" s="1160" t="s">
        <v>774</v>
      </c>
      <c r="C24" s="280">
        <v>765.93700000000001</v>
      </c>
      <c r="D24" s="134">
        <v>269.08199999999999</v>
      </c>
      <c r="E24" s="134">
        <v>291.01900000000001</v>
      </c>
      <c r="F24" s="134">
        <v>11.29</v>
      </c>
      <c r="G24" s="134">
        <v>3.5979999999999999</v>
      </c>
      <c r="H24" s="134">
        <v>34.695999999999998</v>
      </c>
      <c r="I24" s="134">
        <v>1.736</v>
      </c>
      <c r="J24" s="280">
        <v>58.823999999999998</v>
      </c>
      <c r="K24" s="1186">
        <f t="shared" si="4"/>
        <v>705.37700000000007</v>
      </c>
      <c r="L24" s="1776">
        <f t="shared" si="5"/>
        <v>657.529</v>
      </c>
      <c r="M24" s="1177">
        <f>IF(C24&gt;0,K24*1000000/Q21,"")</f>
        <v>85.373765071914079</v>
      </c>
      <c r="N24" s="1177">
        <v>91.525000000000006</v>
      </c>
      <c r="O24" s="2341">
        <f t="shared" si="6"/>
        <v>-6.7208248326532924E-2</v>
      </c>
      <c r="P24" s="2209"/>
      <c r="Q24" s="2358"/>
      <c r="R24" s="2567"/>
      <c r="S24" s="2209"/>
      <c r="T24" s="2209"/>
      <c r="U24" s="2209"/>
      <c r="V24" s="2209"/>
      <c r="W24" s="274"/>
    </row>
    <row r="25" spans="1:23" ht="12.75">
      <c r="A25" s="1971">
        <v>5204</v>
      </c>
      <c r="B25" s="1160" t="s">
        <v>1062</v>
      </c>
      <c r="C25" s="134">
        <v>512.63199999999995</v>
      </c>
      <c r="D25" s="134">
        <v>303.22300000000001</v>
      </c>
      <c r="E25" s="134">
        <v>42.094000000000001</v>
      </c>
      <c r="F25" s="134">
        <v>9.7870000000000008</v>
      </c>
      <c r="G25" s="134">
        <v>0.13500000000000001</v>
      </c>
      <c r="H25" s="134">
        <v>30.291</v>
      </c>
      <c r="I25" s="134">
        <v>4.194</v>
      </c>
      <c r="J25" s="134">
        <v>38.566000000000003</v>
      </c>
      <c r="K25" s="1186">
        <f t="shared" si="4"/>
        <v>469.87199999999996</v>
      </c>
      <c r="L25" s="1776">
        <f t="shared" si="5"/>
        <v>433.85299999999995</v>
      </c>
      <c r="M25" s="1177">
        <f>IF(C25&gt;0,K25*1000000/Q21,"")</f>
        <v>56.869931599514025</v>
      </c>
      <c r="N25" s="1177">
        <v>57.356000000000002</v>
      </c>
      <c r="O25" s="2341">
        <f t="shared" si="6"/>
        <v>-8.47458679974155E-3</v>
      </c>
      <c r="P25" s="2209"/>
      <c r="Q25" s="2358"/>
      <c r="R25" s="2567"/>
      <c r="S25" s="2209"/>
      <c r="T25" s="2209"/>
      <c r="U25" s="2209"/>
      <c r="V25" s="2209"/>
      <c r="W25" s="274"/>
    </row>
    <row r="26" spans="1:23" ht="12.75">
      <c r="A26" s="1159">
        <v>5205</v>
      </c>
      <c r="B26" s="1160" t="s">
        <v>487</v>
      </c>
      <c r="C26" s="134">
        <v>5948.4279999999999</v>
      </c>
      <c r="D26" s="134">
        <v>2546.3870000000002</v>
      </c>
      <c r="E26" s="134">
        <v>1983.7840000000001</v>
      </c>
      <c r="F26" s="134">
        <v>98.04</v>
      </c>
      <c r="G26" s="134">
        <v>257.7</v>
      </c>
      <c r="H26" s="134">
        <v>304.48599999999999</v>
      </c>
      <c r="I26" s="134">
        <v>8.9209999999999994</v>
      </c>
      <c r="J26" s="134">
        <v>488.76</v>
      </c>
      <c r="K26" s="1186">
        <f t="shared" si="4"/>
        <v>5450.7469999999994</v>
      </c>
      <c r="L26" s="1776">
        <f t="shared" si="5"/>
        <v>4799.442</v>
      </c>
      <c r="M26" s="1177">
        <f>IF(C26&gt;0,K26*1000000/Q21,"")</f>
        <v>659.71926196124957</v>
      </c>
      <c r="N26" s="1177">
        <v>647.51</v>
      </c>
      <c r="O26" s="2341">
        <f t="shared" si="6"/>
        <v>1.885571182105231E-2</v>
      </c>
      <c r="P26" s="2209"/>
      <c r="Q26" s="2358"/>
      <c r="R26" s="2567"/>
      <c r="S26" s="2209"/>
      <c r="T26" s="2209"/>
      <c r="U26" s="2209"/>
      <c r="V26" s="2209"/>
      <c r="W26" s="274"/>
    </row>
    <row r="27" spans="1:23" ht="12.75">
      <c r="A27" s="1159">
        <v>5206</v>
      </c>
      <c r="B27" s="1160" t="s">
        <v>104</v>
      </c>
      <c r="C27" s="280">
        <v>803.31700000000001</v>
      </c>
      <c r="D27" s="134">
        <v>420.84800000000001</v>
      </c>
      <c r="E27" s="134">
        <v>46.509</v>
      </c>
      <c r="F27" s="134">
        <v>3.8210000000000002</v>
      </c>
      <c r="G27" s="134">
        <v>5.149</v>
      </c>
      <c r="H27" s="134">
        <v>112.92700000000001</v>
      </c>
      <c r="I27" s="134">
        <v>8.6449999999999996</v>
      </c>
      <c r="J27" s="134">
        <v>74.03</v>
      </c>
      <c r="K27" s="1187">
        <f t="shared" si="4"/>
        <v>720.64200000000005</v>
      </c>
      <c r="L27" s="1776">
        <f t="shared" si="5"/>
        <v>607.39</v>
      </c>
      <c r="M27" s="1176">
        <f>IF(C27&gt;0,K27*1000000/Q21,"")</f>
        <v>87.221331017249355</v>
      </c>
      <c r="N27" s="1176">
        <v>97.382999999999996</v>
      </c>
      <c r="O27" s="2341">
        <f t="shared" si="6"/>
        <v>-0.10434746293244859</v>
      </c>
      <c r="P27" s="2209"/>
      <c r="Q27" s="2358"/>
      <c r="R27" s="2567"/>
      <c r="S27" s="2209"/>
      <c r="T27" s="2209"/>
      <c r="U27" s="2209"/>
      <c r="V27" s="2209"/>
      <c r="W27" s="274"/>
    </row>
    <row r="28" spans="1:23" ht="12.75">
      <c r="A28" s="1159">
        <v>5209</v>
      </c>
      <c r="B28" s="1160" t="s">
        <v>375</v>
      </c>
      <c r="C28" s="280">
        <v>1023.9109999999999</v>
      </c>
      <c r="D28" s="134">
        <v>386.45600000000002</v>
      </c>
      <c r="E28" s="134">
        <v>146.99100000000001</v>
      </c>
      <c r="F28" s="134">
        <v>3.1930000000000001</v>
      </c>
      <c r="G28" s="134">
        <v>42.052</v>
      </c>
      <c r="H28" s="134">
        <v>89.757000000000005</v>
      </c>
      <c r="I28" s="134">
        <v>13.37</v>
      </c>
      <c r="J28" s="134">
        <v>59.715000000000003</v>
      </c>
      <c r="K28" s="1186">
        <f t="shared" si="4"/>
        <v>950.82599999999991</v>
      </c>
      <c r="L28" s="1776">
        <f t="shared" si="5"/>
        <v>829.19399999999996</v>
      </c>
      <c r="M28" s="1180"/>
      <c r="N28" s="1179"/>
      <c r="O28" s="2342"/>
      <c r="P28" s="2209"/>
      <c r="Q28" s="2358"/>
      <c r="R28" s="2567"/>
      <c r="S28" s="2209"/>
      <c r="T28" s="2209"/>
      <c r="U28" s="2209"/>
      <c r="V28" s="2209"/>
      <c r="W28" s="274"/>
    </row>
    <row r="29" spans="1:23" ht="21.75" customHeight="1">
      <c r="A29" s="1162">
        <v>52099</v>
      </c>
      <c r="B29" s="1167" t="s">
        <v>626</v>
      </c>
      <c r="C29" s="135">
        <f>SUM(C22:C28)</f>
        <v>16195.754000000001</v>
      </c>
      <c r="D29" s="135">
        <f>SUM(D22:D28)</f>
        <v>8174.27</v>
      </c>
      <c r="E29" s="135">
        <f t="shared" ref="E29:J29" si="7">SUM(E22:E28)</f>
        <v>3524.5230000000001</v>
      </c>
      <c r="F29" s="135">
        <f t="shared" si="7"/>
        <v>295.46000000000004</v>
      </c>
      <c r="G29" s="135">
        <f t="shared" si="7"/>
        <v>314.24600000000004</v>
      </c>
      <c r="H29" s="135">
        <f t="shared" si="7"/>
        <v>799.12599999999998</v>
      </c>
      <c r="I29" s="135">
        <f t="shared" si="7"/>
        <v>45.767999999999994</v>
      </c>
      <c r="J29" s="135">
        <f t="shared" si="7"/>
        <v>1327.1219999999998</v>
      </c>
      <c r="K29" s="1180"/>
      <c r="L29" s="1784"/>
      <c r="M29" s="1181"/>
      <c r="N29" s="1181"/>
      <c r="O29" s="2343"/>
      <c r="P29" s="2209"/>
      <c r="Q29" s="2353"/>
      <c r="R29" s="2567"/>
      <c r="S29" s="2209"/>
      <c r="T29" s="2209"/>
      <c r="U29" s="2209"/>
      <c r="V29" s="2209"/>
      <c r="W29" s="274"/>
    </row>
    <row r="30" spans="1:23" ht="13.5" thickBot="1">
      <c r="A30" s="1168"/>
      <c r="B30" s="1708" t="s">
        <v>166</v>
      </c>
      <c r="C30" s="322">
        <f>C21-C29</f>
        <v>-7.9999999998108251E-3</v>
      </c>
      <c r="D30" s="322">
        <f>D21-D29</f>
        <v>5.9999999994033715E-3</v>
      </c>
      <c r="E30" s="322">
        <f t="shared" ref="E30:J30" si="8">E21-E29</f>
        <v>9.0000000000145519E-3</v>
      </c>
      <c r="F30" s="322">
        <f t="shared" si="8"/>
        <v>-1.1000000000024102E-2</v>
      </c>
      <c r="G30" s="322">
        <f t="shared" si="8"/>
        <v>3.999999999962256E-3</v>
      </c>
      <c r="H30" s="322">
        <f t="shared" si="8"/>
        <v>-1.9999999999527063E-3</v>
      </c>
      <c r="I30" s="322">
        <f>I21-I29</f>
        <v>5.0000000000096634E-3</v>
      </c>
      <c r="J30" s="322">
        <f t="shared" si="8"/>
        <v>6.0000000000854925E-3</v>
      </c>
      <c r="K30" s="1182"/>
      <c r="L30" s="1793"/>
      <c r="M30" s="1183"/>
      <c r="N30" s="1183"/>
      <c r="O30" s="2344"/>
      <c r="P30" s="2209"/>
      <c r="Q30" s="2355"/>
      <c r="R30" s="2370"/>
      <c r="S30" s="2209"/>
      <c r="T30" s="2209"/>
      <c r="U30" s="2209"/>
      <c r="V30" s="2209"/>
      <c r="W30" s="274"/>
    </row>
    <row r="31" spans="1:23" ht="12.75">
      <c r="A31" s="1169">
        <v>513</v>
      </c>
      <c r="B31" s="1170" t="s">
        <v>627</v>
      </c>
      <c r="C31" s="339">
        <f>Drift!P75</f>
        <v>68288.441000000006</v>
      </c>
      <c r="D31" s="339">
        <f>SUM(Drift!C75:D75)</f>
        <v>36523.199000000001</v>
      </c>
      <c r="E31" s="339">
        <f>Drift!F75</f>
        <v>13272.078</v>
      </c>
      <c r="F31" s="339">
        <f>Drift!R75</f>
        <v>135.417</v>
      </c>
      <c r="G31" s="339">
        <f>Drift!S75</f>
        <v>1312.2439999999999</v>
      </c>
      <c r="H31" s="340">
        <f>Drift!T75</f>
        <v>7928.56</v>
      </c>
      <c r="I31" s="340">
        <f>Motpart!Y29+Motpart!Z29</f>
        <v>255.25899999999999</v>
      </c>
      <c r="J31" s="339">
        <f>Drift!V75</f>
        <v>4457.8590000000004</v>
      </c>
      <c r="K31" s="1188">
        <f>C31-I31-J31-G41-G43</f>
        <v>57840.099000000002</v>
      </c>
      <c r="L31" s="1792">
        <f t="shared" ref="L31:L36" si="9">C31-SUM(F31:H31,J31)</f>
        <v>54454.361000000004</v>
      </c>
      <c r="M31" s="1912">
        <f>IF(C31&gt;0,K31*1000000/Q31,"")</f>
        <v>5600.5422950119337</v>
      </c>
      <c r="N31" s="1912">
        <v>5421.7979999999998</v>
      </c>
      <c r="O31" s="2341">
        <f>IF(ISERROR((M31-N31)/N31),"",((M31-N31)/N31))</f>
        <v>3.2967715693564E-2</v>
      </c>
      <c r="P31" s="2209"/>
      <c r="Q31" s="2359">
        <v>10327589</v>
      </c>
      <c r="R31" s="2371" t="s">
        <v>526</v>
      </c>
      <c r="S31" s="2209"/>
      <c r="T31" s="2209"/>
      <c r="U31" s="2209"/>
      <c r="V31" s="2209"/>
      <c r="W31" s="274"/>
    </row>
    <row r="32" spans="1:23" ht="12.75">
      <c r="A32" s="1171">
        <v>5131</v>
      </c>
      <c r="B32" s="1172" t="s">
        <v>200</v>
      </c>
      <c r="C32" s="134">
        <v>31918.486000000001</v>
      </c>
      <c r="D32" s="134">
        <v>19145.919999999998</v>
      </c>
      <c r="E32" s="134">
        <v>5756.3720000000003</v>
      </c>
      <c r="F32" s="134">
        <v>60.744999999999997</v>
      </c>
      <c r="G32" s="134">
        <v>1277.3620000000001</v>
      </c>
      <c r="H32" s="134">
        <v>884.11800000000005</v>
      </c>
      <c r="I32" s="134">
        <v>54.036000000000001</v>
      </c>
      <c r="J32" s="134">
        <v>2125.0189999999998</v>
      </c>
      <c r="K32" s="1186">
        <f>C32-I32-J32</f>
        <v>29739.431</v>
      </c>
      <c r="L32" s="1784">
        <f t="shared" si="9"/>
        <v>27571.242000000002</v>
      </c>
      <c r="M32" s="1177">
        <f>IF(C32&gt;0,K32*1000000/Q32,"")</f>
        <v>3922.4664951774766</v>
      </c>
      <c r="N32" s="1177">
        <v>3734.1759999999999</v>
      </c>
      <c r="O32" s="2341">
        <f>IF(ISERROR((M32-N32)/N32),"",((M32-N32)/N32))</f>
        <v>5.0423572744690316E-2</v>
      </c>
      <c r="P32" s="2209"/>
      <c r="Q32" s="2360">
        <v>7581819</v>
      </c>
      <c r="R32" s="2373" t="s">
        <v>1093</v>
      </c>
      <c r="S32" s="2209"/>
      <c r="T32" s="2209"/>
      <c r="U32" s="2209"/>
      <c r="V32" s="2209"/>
      <c r="W32" s="274"/>
    </row>
    <row r="33" spans="1:23" ht="12.75">
      <c r="A33" s="1171">
        <v>5132</v>
      </c>
      <c r="B33" s="1173" t="s">
        <v>547</v>
      </c>
      <c r="C33" s="280">
        <v>2217.0619999999999</v>
      </c>
      <c r="D33" s="134">
        <v>653.16300000000001</v>
      </c>
      <c r="E33" s="134">
        <v>1175.575</v>
      </c>
      <c r="F33" s="134">
        <v>5.79</v>
      </c>
      <c r="G33" s="134">
        <v>11.930999999999999</v>
      </c>
      <c r="H33" s="134">
        <v>148.59700000000001</v>
      </c>
      <c r="I33" s="134">
        <v>62.377000000000002</v>
      </c>
      <c r="J33" s="134">
        <v>158.28800000000001</v>
      </c>
      <c r="K33" s="1186">
        <f>C33-I33-J33</f>
        <v>1996.3969999999999</v>
      </c>
      <c r="L33" s="1784">
        <f t="shared" si="9"/>
        <v>1892.4559999999999</v>
      </c>
      <c r="M33" s="1177">
        <f>IF(C33&gt;0,K33*1000000/Q33,"")</f>
        <v>727.08092811852418</v>
      </c>
      <c r="N33" s="1177">
        <v>709.33900000000006</v>
      </c>
      <c r="O33" s="2341">
        <f>IF(ISERROR((M33-N33)/N33),"",((M33-N33)/N33))</f>
        <v>2.5011916895199795E-2</v>
      </c>
      <c r="P33" s="2209"/>
      <c r="Q33" s="2360">
        <v>2745770</v>
      </c>
      <c r="R33" s="2374" t="s">
        <v>1094</v>
      </c>
      <c r="S33" s="2209"/>
      <c r="T33" s="2209"/>
      <c r="U33" s="2209"/>
      <c r="V33" s="2209"/>
      <c r="W33" s="274"/>
    </row>
    <row r="34" spans="1:23" ht="12.75">
      <c r="A34" s="1171">
        <v>5133</v>
      </c>
      <c r="B34" s="1172" t="s">
        <v>628</v>
      </c>
      <c r="C34" s="280">
        <v>18311.977999999999</v>
      </c>
      <c r="D34" s="134">
        <v>8481.5889999999999</v>
      </c>
      <c r="E34" s="134">
        <v>3951.2330000000002</v>
      </c>
      <c r="F34" s="134">
        <v>13.374000000000001</v>
      </c>
      <c r="G34" s="134">
        <v>12.997</v>
      </c>
      <c r="H34" s="134">
        <v>6048.6850000000004</v>
      </c>
      <c r="I34" s="134">
        <v>17.664000000000001</v>
      </c>
      <c r="J34" s="280">
        <v>416.62599999999998</v>
      </c>
      <c r="K34" s="1186">
        <f>C34-I34-J34</f>
        <v>17877.687999999998</v>
      </c>
      <c r="L34" s="1784">
        <f t="shared" si="9"/>
        <v>11820.295999999998</v>
      </c>
      <c r="M34" s="1177">
        <f>IF(C34&gt;0,K34*1000000/Q34,"")</f>
        <v>1731.0611411821287</v>
      </c>
      <c r="N34" s="1177">
        <v>1750.8969999999999</v>
      </c>
      <c r="O34" s="2341">
        <f>IF(ISERROR((M34-N34)/N34),"",((M34-N34)/N34))</f>
        <v>-1.1328969561242731E-2</v>
      </c>
      <c r="P34" s="2209"/>
      <c r="Q34" s="2360">
        <v>10327589</v>
      </c>
      <c r="R34" s="2374" t="s">
        <v>526</v>
      </c>
      <c r="S34" s="2209"/>
      <c r="T34" s="2209"/>
      <c r="U34" s="2209"/>
      <c r="V34" s="2209"/>
      <c r="W34" s="274"/>
    </row>
    <row r="35" spans="1:23" ht="12.75">
      <c r="A35" s="1171">
        <v>5135</v>
      </c>
      <c r="B35" s="1160" t="s">
        <v>160</v>
      </c>
      <c r="C35" s="280">
        <v>9954.1569999999992</v>
      </c>
      <c r="D35" s="134">
        <v>4842.2299999999996</v>
      </c>
      <c r="E35" s="281">
        <v>1685.8679999999999</v>
      </c>
      <c r="F35" s="281">
        <v>31.277000000000001</v>
      </c>
      <c r="G35" s="281">
        <v>3.5529999999999999</v>
      </c>
      <c r="H35" s="281">
        <v>657.072</v>
      </c>
      <c r="I35" s="281">
        <v>40.1</v>
      </c>
      <c r="J35" s="281">
        <v>1065.539</v>
      </c>
      <c r="K35" s="1186">
        <f>C35-I35-J35</f>
        <v>8848.5179999999982</v>
      </c>
      <c r="L35" s="1784">
        <f t="shared" si="9"/>
        <v>8196.7159999999985</v>
      </c>
      <c r="M35" s="1177">
        <f>IF(C35&gt;0,K35*1000000/Q35,"")</f>
        <v>1604.0233831455432</v>
      </c>
      <c r="N35" s="1177">
        <v>1579.6310000000001</v>
      </c>
      <c r="O35" s="2341">
        <f>IF(ISERROR((M35-N35)/N35),"",((M35-N35)/N35))</f>
        <v>1.5441823530649332E-2</v>
      </c>
      <c r="P35" s="2209"/>
      <c r="Q35" s="2360">
        <v>5516452</v>
      </c>
      <c r="R35" s="2374" t="s">
        <v>1095</v>
      </c>
      <c r="S35" s="2209"/>
      <c r="T35" s="2209"/>
      <c r="U35" s="2209"/>
      <c r="V35" s="2209"/>
      <c r="W35" s="274"/>
    </row>
    <row r="36" spans="1:23" ht="12.75">
      <c r="A36" s="1171">
        <v>5139</v>
      </c>
      <c r="B36" s="1160" t="s">
        <v>161</v>
      </c>
      <c r="C36" s="280">
        <v>5886.77</v>
      </c>
      <c r="D36" s="134">
        <v>3400.2939999999999</v>
      </c>
      <c r="E36" s="134">
        <v>703.03300000000002</v>
      </c>
      <c r="F36" s="134">
        <v>24.233000000000001</v>
      </c>
      <c r="G36" s="134">
        <v>6.3979999999999997</v>
      </c>
      <c r="H36" s="134">
        <v>190.08</v>
      </c>
      <c r="I36" s="134">
        <v>81.085999999999999</v>
      </c>
      <c r="J36" s="134">
        <v>692.38199999999995</v>
      </c>
      <c r="K36" s="1186">
        <f>C36-I36-J36</f>
        <v>5113.3020000000006</v>
      </c>
      <c r="L36" s="1784">
        <f t="shared" si="9"/>
        <v>4973.6770000000006</v>
      </c>
      <c r="M36" s="1180"/>
      <c r="N36" s="1179"/>
      <c r="O36" s="2342"/>
      <c r="P36" s="2209"/>
      <c r="Q36" s="2357" t="str">
        <f>"På minst en delv-ht inom v-het 513 redovisas varken detta år eller året innan lämnat några kostnader. Har kommunen inte denna/dessa verksamhet(er)? Lämna förklarande kommentar"</f>
        <v>På minst en delv-ht inom v-het 513 redovisas varken detta år eller året innan lämnat några kostnader. Har kommunen inte denna/dessa verksamhet(er)? Lämna förklarande kommentar</v>
      </c>
      <c r="R36" s="2568" t="str">
        <f>"För minst en delv-ht inom v-het 513 redovisas varken detta år eller året innan några kostnader. Har kommunen inte verksamheten(-erna)? Lämna förklarande kommentar"</f>
        <v>För minst en delv-ht inom v-het 513 redovisas varken detta år eller året innan några kostnader. Har kommunen inte verksamheten(-erna)? Lämna förklarande kommentar</v>
      </c>
      <c r="S36" s="2209"/>
      <c r="T36" s="2209"/>
      <c r="U36" s="2209"/>
      <c r="V36" s="2209"/>
      <c r="W36" s="274"/>
    </row>
    <row r="37" spans="1:23" ht="17.25" customHeight="1">
      <c r="A37" s="1162">
        <v>51399</v>
      </c>
      <c r="B37" s="1163" t="s">
        <v>629</v>
      </c>
      <c r="C37" s="323">
        <f t="shared" ref="C37:J37" si="10">SUM(C32:C36)</f>
        <v>68288.452999999994</v>
      </c>
      <c r="D37" s="323">
        <f>SUM(D32:D36)</f>
        <v>36523.196000000004</v>
      </c>
      <c r="E37" s="323">
        <f t="shared" si="10"/>
        <v>13272.081</v>
      </c>
      <c r="F37" s="323">
        <f t="shared" si="10"/>
        <v>135.41899999999998</v>
      </c>
      <c r="G37" s="323">
        <f t="shared" si="10"/>
        <v>1312.2410000000002</v>
      </c>
      <c r="H37" s="323">
        <f t="shared" si="10"/>
        <v>7928.5520000000006</v>
      </c>
      <c r="I37" s="323">
        <f t="shared" si="10"/>
        <v>255.26299999999998</v>
      </c>
      <c r="J37" s="325">
        <f t="shared" si="10"/>
        <v>4457.8539999999994</v>
      </c>
      <c r="K37" s="1180"/>
      <c r="L37" s="1181"/>
      <c r="M37" s="1181"/>
      <c r="N37" s="1181"/>
      <c r="O37" s="2343"/>
      <c r="P37" s="2209"/>
      <c r="Q37" s="2361"/>
      <c r="R37" s="2569"/>
      <c r="S37" s="2209"/>
      <c r="T37" s="2209"/>
      <c r="U37" s="2209"/>
      <c r="V37" s="2209"/>
      <c r="W37" s="274"/>
    </row>
    <row r="38" spans="1:23" ht="13.5" thickBot="1">
      <c r="A38" s="1164"/>
      <c r="B38" s="1708" t="s">
        <v>167</v>
      </c>
      <c r="C38" s="322">
        <f>C31-C37</f>
        <v>-1.1999999987892807E-2</v>
      </c>
      <c r="D38" s="322">
        <f>D31-D37</f>
        <v>2.9999999969732016E-3</v>
      </c>
      <c r="E38" s="322">
        <f t="shared" ref="E38:J38" si="11">E31-E37</f>
        <v>-3.0000000006111804E-3</v>
      </c>
      <c r="F38" s="322">
        <f t="shared" si="11"/>
        <v>-1.999999999981128E-3</v>
      </c>
      <c r="G38" s="322">
        <f t="shared" si="11"/>
        <v>2.9999999997016857E-3</v>
      </c>
      <c r="H38" s="322">
        <f t="shared" si="11"/>
        <v>7.9999999998108251E-3</v>
      </c>
      <c r="I38" s="326">
        <f>I31-I37</f>
        <v>-3.9999999999906777E-3</v>
      </c>
      <c r="J38" s="322">
        <f t="shared" si="11"/>
        <v>5.0000000010186341E-3</v>
      </c>
      <c r="K38" s="1182"/>
      <c r="L38" s="1777"/>
      <c r="M38" s="1183"/>
      <c r="N38" s="1183"/>
      <c r="O38" s="2344"/>
      <c r="P38" s="2209"/>
      <c r="Q38" s="2362"/>
      <c r="R38" s="2570"/>
      <c r="S38" s="2209"/>
      <c r="T38" s="2209"/>
      <c r="U38" s="2209"/>
      <c r="V38" s="2209"/>
      <c r="W38" s="274"/>
    </row>
    <row r="39" spans="1:23" ht="12.75">
      <c r="A39" s="276"/>
      <c r="B39" s="304" t="s">
        <v>632</v>
      </c>
      <c r="C39" s="304"/>
      <c r="D39" s="304"/>
      <c r="E39" s="304"/>
      <c r="F39" s="304"/>
      <c r="G39" s="304"/>
      <c r="H39" s="304"/>
      <c r="I39" s="304"/>
      <c r="J39" s="1830"/>
      <c r="K39" s="1830"/>
      <c r="L39" s="1830"/>
      <c r="M39" s="1830"/>
      <c r="N39" s="1830"/>
      <c r="O39" s="338"/>
      <c r="P39" s="2335"/>
      <c r="Q39" s="1825"/>
      <c r="R39" s="275"/>
      <c r="S39" s="274"/>
      <c r="T39" s="274"/>
      <c r="U39" s="274"/>
      <c r="V39" s="274"/>
    </row>
    <row r="40" spans="1:23" ht="12.75">
      <c r="B40" s="304" t="s">
        <v>630</v>
      </c>
      <c r="C40" s="305"/>
      <c r="D40" s="305"/>
      <c r="E40" s="305"/>
      <c r="F40" s="305"/>
      <c r="G40" s="306"/>
      <c r="H40" s="306"/>
      <c r="I40" s="306"/>
      <c r="J40" s="306"/>
      <c r="K40" s="276"/>
      <c r="L40" s="276"/>
      <c r="M40" s="276"/>
      <c r="N40" s="276"/>
    </row>
    <row r="41" spans="1:23" ht="12.75">
      <c r="B41" s="1189" t="s">
        <v>168</v>
      </c>
      <c r="C41" s="1190"/>
      <c r="D41" s="1190"/>
      <c r="E41" s="1191"/>
      <c r="F41" s="1192"/>
      <c r="G41" s="136">
        <f>'Verks int o kostn'!D20</f>
        <v>5724.5249999999996</v>
      </c>
      <c r="H41" s="2009"/>
      <c r="I41" s="276"/>
      <c r="J41" s="276"/>
      <c r="K41" s="276"/>
      <c r="L41" s="276"/>
      <c r="M41" s="276"/>
      <c r="N41" s="276"/>
    </row>
    <row r="42" spans="1:23" ht="12.75">
      <c r="B42" s="1189" t="s">
        <v>169</v>
      </c>
      <c r="C42" s="1190"/>
      <c r="D42" s="1190"/>
      <c r="E42" s="1191"/>
      <c r="F42" s="1192"/>
      <c r="G42" s="136">
        <f>'Verks int o kostn'!I41</f>
        <v>4396.4840000000004</v>
      </c>
      <c r="H42" s="2009"/>
      <c r="I42" s="276"/>
      <c r="J42" s="276"/>
      <c r="K42" s="276"/>
      <c r="L42" s="276"/>
      <c r="M42" s="276"/>
      <c r="N42" s="276"/>
    </row>
    <row r="43" spans="1:23" ht="12.75">
      <c r="A43" s="437">
        <v>51398</v>
      </c>
      <c r="B43" s="1193" t="s">
        <v>196</v>
      </c>
      <c r="C43" s="1190"/>
      <c r="D43" s="1190"/>
      <c r="E43" s="1191"/>
      <c r="F43" s="1192"/>
      <c r="G43" s="134">
        <v>10.699</v>
      </c>
      <c r="H43" s="321"/>
      <c r="I43" s="276"/>
      <c r="J43" s="276"/>
      <c r="K43" s="276"/>
      <c r="L43" s="276"/>
      <c r="M43" s="276"/>
      <c r="N43" s="276"/>
    </row>
    <row r="44" spans="1:23" ht="13.5" thickBot="1">
      <c r="E44" s="431" t="s">
        <v>743</v>
      </c>
      <c r="F44" s="431" t="s">
        <v>744</v>
      </c>
      <c r="G44" s="431" t="s">
        <v>745</v>
      </c>
      <c r="H44" s="431" t="s">
        <v>746</v>
      </c>
      <c r="I44" s="431" t="s">
        <v>747</v>
      </c>
      <c r="J44" s="431" t="s">
        <v>748</v>
      </c>
      <c r="K44" s="431" t="s">
        <v>749</v>
      </c>
      <c r="L44" s="431" t="s">
        <v>750</v>
      </c>
      <c r="M44" s="431" t="s">
        <v>751</v>
      </c>
    </row>
    <row r="45" spans="1:23" ht="14.25" customHeight="1">
      <c r="A45" s="2539" t="s">
        <v>839</v>
      </c>
      <c r="B45" s="2540"/>
      <c r="C45" s="1317" t="s">
        <v>815</v>
      </c>
      <c r="D45" s="1194" t="s">
        <v>130</v>
      </c>
      <c r="E45" s="1135" t="s">
        <v>202</v>
      </c>
      <c r="F45" s="1135" t="s">
        <v>500</v>
      </c>
      <c r="G45" s="1135" t="s">
        <v>203</v>
      </c>
      <c r="H45" s="1135" t="s">
        <v>127</v>
      </c>
      <c r="I45" s="1194" t="s">
        <v>1132</v>
      </c>
      <c r="J45" s="1135" t="s">
        <v>129</v>
      </c>
      <c r="K45" s="2543" t="s">
        <v>852</v>
      </c>
      <c r="L45" s="1135" t="s">
        <v>128</v>
      </c>
      <c r="M45" s="1135" t="s">
        <v>153</v>
      </c>
      <c r="N45" s="1137"/>
      <c r="O45" s="1136"/>
      <c r="P45" s="1195"/>
      <c r="R45" s="2209"/>
      <c r="S45" s="2209"/>
      <c r="T45" s="2209"/>
      <c r="U45" s="2209"/>
      <c r="V45" s="2209"/>
    </row>
    <row r="46" spans="1:23" ht="12.75">
      <c r="A46" s="2541"/>
      <c r="B46" s="2542"/>
      <c r="C46" s="1375" t="s">
        <v>831</v>
      </c>
      <c r="D46" s="1139"/>
      <c r="E46" s="1196" t="s">
        <v>131</v>
      </c>
      <c r="F46" s="1196" t="s">
        <v>201</v>
      </c>
      <c r="G46" s="1196" t="s">
        <v>132</v>
      </c>
      <c r="H46" s="1196"/>
      <c r="I46" s="1762"/>
      <c r="J46" s="1196" t="s">
        <v>134</v>
      </c>
      <c r="K46" s="2544"/>
      <c r="L46" s="1196" t="s">
        <v>133</v>
      </c>
      <c r="M46" s="1196"/>
      <c r="N46" s="1146"/>
      <c r="O46" s="1151"/>
      <c r="P46" s="1197"/>
      <c r="R46" s="2209"/>
      <c r="S46" s="2209"/>
      <c r="T46" s="2209"/>
      <c r="U46" s="2209"/>
      <c r="V46" s="2209"/>
    </row>
    <row r="47" spans="1:23" ht="30" customHeight="1">
      <c r="A47" s="2541"/>
      <c r="B47" s="2542"/>
      <c r="C47" s="1595"/>
      <c r="D47" s="1318"/>
      <c r="E47" s="1596" t="s">
        <v>803</v>
      </c>
      <c r="F47" s="1580" t="s">
        <v>804</v>
      </c>
      <c r="G47" s="1580" t="s">
        <v>805</v>
      </c>
      <c r="H47" s="1580" t="s">
        <v>806</v>
      </c>
      <c r="I47" s="1580" t="s">
        <v>807</v>
      </c>
      <c r="J47" s="1580" t="s">
        <v>808</v>
      </c>
      <c r="K47" s="1580" t="s">
        <v>809</v>
      </c>
      <c r="L47" s="1580" t="s">
        <v>810</v>
      </c>
      <c r="M47" s="1580" t="s">
        <v>811</v>
      </c>
      <c r="N47" s="1146"/>
      <c r="O47" s="1151"/>
      <c r="P47" s="1197"/>
      <c r="R47" s="2209"/>
      <c r="S47" s="2209"/>
      <c r="T47" s="2209"/>
      <c r="U47" s="2209"/>
      <c r="V47" s="2209"/>
    </row>
    <row r="48" spans="1:23" ht="6.75" customHeight="1">
      <c r="A48" s="1521"/>
      <c r="B48" s="1522"/>
      <c r="C48" s="1597"/>
      <c r="D48" s="1598"/>
      <c r="E48" s="1599"/>
      <c r="F48" s="1599"/>
      <c r="G48" s="1599"/>
      <c r="H48" s="1599"/>
      <c r="I48" s="1600"/>
      <c r="J48" s="1599"/>
      <c r="K48" s="1600"/>
      <c r="L48" s="1599"/>
      <c r="M48" s="1196"/>
      <c r="N48" s="1146"/>
      <c r="O48" s="1151"/>
      <c r="P48" s="1197"/>
      <c r="R48" s="2209"/>
      <c r="S48" s="2209"/>
      <c r="T48" s="2209"/>
      <c r="U48" s="2209"/>
      <c r="V48" s="2209"/>
    </row>
    <row r="49" spans="1:22" ht="12" customHeight="1">
      <c r="A49" s="1198">
        <v>510</v>
      </c>
      <c r="B49" s="1199" t="s">
        <v>522</v>
      </c>
      <c r="C49" s="432">
        <f>E12</f>
        <v>20578.592000000001</v>
      </c>
      <c r="D49" s="298">
        <f t="shared" ref="D49:D57" si="12">C49-SUM(E49:M49)</f>
        <v>-1.0000000002037268E-3</v>
      </c>
      <c r="E49" s="432">
        <f>Motpart!D27</f>
        <v>1966.962</v>
      </c>
      <c r="F49" s="432">
        <f>Motpart!E27</f>
        <v>440.88499999999999</v>
      </c>
      <c r="G49" s="432">
        <f>Motpart!F27</f>
        <v>17041.315999999999</v>
      </c>
      <c r="H49" s="432">
        <f>Motpart!G27</f>
        <v>168.84399999999999</v>
      </c>
      <c r="I49" s="432">
        <f>Motpart!H27</f>
        <v>209.98400000000001</v>
      </c>
      <c r="J49" s="432">
        <f>Motpart!I27</f>
        <v>8.2639999999999993</v>
      </c>
      <c r="K49" s="1931"/>
      <c r="L49" s="432">
        <f>Motpart!K27</f>
        <v>739.14400000000001</v>
      </c>
      <c r="M49" s="436">
        <f>Motpart!L27</f>
        <v>3.194</v>
      </c>
      <c r="N49" s="2010"/>
      <c r="O49" s="330"/>
      <c r="P49" s="334"/>
      <c r="R49" s="2209"/>
      <c r="S49" s="2209"/>
      <c r="T49" s="2209"/>
      <c r="U49" s="2209"/>
      <c r="V49" s="2209"/>
    </row>
    <row r="50" spans="1:22" ht="12.75">
      <c r="A50" s="1171">
        <v>5101</v>
      </c>
      <c r="B50" s="1200" t="s">
        <v>452</v>
      </c>
      <c r="C50" s="433">
        <f>E13</f>
        <v>6758.22</v>
      </c>
      <c r="D50" s="138">
        <f t="shared" si="12"/>
        <v>1.5000000001236913E-2</v>
      </c>
      <c r="E50" s="134">
        <v>254.01499999999999</v>
      </c>
      <c r="F50" s="134">
        <v>175.19800000000001</v>
      </c>
      <c r="G50" s="134">
        <v>6045.9949999999999</v>
      </c>
      <c r="H50" s="134">
        <v>54.561</v>
      </c>
      <c r="I50" s="134">
        <v>30.966999999999999</v>
      </c>
      <c r="J50" s="134">
        <v>2.9409999999999998</v>
      </c>
      <c r="K50" s="1932">
        <v>0</v>
      </c>
      <c r="L50" s="134">
        <v>194.52799999999999</v>
      </c>
      <c r="M50" s="329">
        <v>0</v>
      </c>
      <c r="N50" s="2011"/>
      <c r="O50" s="331"/>
      <c r="P50" s="335"/>
      <c r="R50" s="2209"/>
      <c r="S50" s="2209"/>
      <c r="T50" s="2209"/>
      <c r="U50" s="2209"/>
      <c r="V50" s="2209"/>
    </row>
    <row r="51" spans="1:22" ht="12.75">
      <c r="A51" s="1171">
        <v>5103</v>
      </c>
      <c r="B51" s="1201" t="s">
        <v>451</v>
      </c>
      <c r="C51" s="433">
        <f>E14</f>
        <v>697.28300000000002</v>
      </c>
      <c r="D51" s="137">
        <f t="shared" si="12"/>
        <v>3.0000000000427463E-3</v>
      </c>
      <c r="E51" s="134">
        <v>29.55</v>
      </c>
      <c r="F51" s="134">
        <v>23.853999999999999</v>
      </c>
      <c r="G51" s="134">
        <v>467.35199999999998</v>
      </c>
      <c r="H51" s="134">
        <v>26.558</v>
      </c>
      <c r="I51" s="134">
        <v>127.866</v>
      </c>
      <c r="J51" s="134">
        <v>0.58499999999999996</v>
      </c>
      <c r="K51" s="1932">
        <v>0</v>
      </c>
      <c r="L51" s="134">
        <v>20.521000000000001</v>
      </c>
      <c r="M51" s="315">
        <v>0.99399999999999999</v>
      </c>
      <c r="N51" s="2012"/>
      <c r="O51" s="332"/>
      <c r="P51" s="335"/>
      <c r="R51" s="2209"/>
      <c r="S51" s="2209"/>
      <c r="T51" s="2209"/>
      <c r="U51" s="2209"/>
      <c r="V51" s="2209"/>
    </row>
    <row r="52" spans="1:22" ht="12.75">
      <c r="A52" s="1202">
        <v>5105</v>
      </c>
      <c r="B52" s="1155" t="s">
        <v>487</v>
      </c>
      <c r="C52" s="434">
        <f>E16</f>
        <v>12853.456</v>
      </c>
      <c r="D52" s="139">
        <f t="shared" si="12"/>
        <v>0.32999999999810825</v>
      </c>
      <c r="E52" s="314">
        <v>1652.7260000000001</v>
      </c>
      <c r="F52" s="314">
        <v>227.042</v>
      </c>
      <c r="G52" s="314">
        <v>10348.718000000001</v>
      </c>
      <c r="H52" s="314">
        <v>70.698999999999998</v>
      </c>
      <c r="I52" s="314">
        <v>41.863999999999997</v>
      </c>
      <c r="J52" s="314">
        <v>4.3840000000000003</v>
      </c>
      <c r="K52" s="1933">
        <v>0</v>
      </c>
      <c r="L52" s="314">
        <v>505.49299999999999</v>
      </c>
      <c r="M52" s="316">
        <v>2.2000000000000002</v>
      </c>
      <c r="N52" s="2013"/>
      <c r="O52" s="511"/>
      <c r="P52" s="512"/>
      <c r="R52" s="2209"/>
      <c r="S52" s="2209"/>
      <c r="T52" s="2209"/>
      <c r="U52" s="2209"/>
      <c r="V52" s="2209"/>
    </row>
    <row r="53" spans="1:22" ht="12.75">
      <c r="A53" s="1203">
        <v>520</v>
      </c>
      <c r="B53" s="1152" t="s">
        <v>461</v>
      </c>
      <c r="C53" s="432">
        <f>E21</f>
        <v>3524.5320000000002</v>
      </c>
      <c r="D53" s="138">
        <f t="shared" si="12"/>
        <v>0</v>
      </c>
      <c r="E53" s="432">
        <f>Motpart!D28</f>
        <v>259.13099999999997</v>
      </c>
      <c r="F53" s="432">
        <f>Motpart!E28</f>
        <v>16.329000000000001</v>
      </c>
      <c r="G53" s="432">
        <f>Motpart!F28</f>
        <v>3067.683</v>
      </c>
      <c r="H53" s="432">
        <f>Motpart!G28</f>
        <v>50.054000000000002</v>
      </c>
      <c r="I53" s="432">
        <f>Motpart!H28</f>
        <v>25.417999999999999</v>
      </c>
      <c r="J53" s="432">
        <f>Motpart!I28</f>
        <v>7.76</v>
      </c>
      <c r="K53" s="1931"/>
      <c r="L53" s="432">
        <f>Motpart!K28</f>
        <v>98.150999999999996</v>
      </c>
      <c r="M53" s="432">
        <f>Motpart!L28</f>
        <v>6.0000000000000001E-3</v>
      </c>
      <c r="N53" s="2014"/>
      <c r="O53" s="330"/>
      <c r="P53" s="334"/>
      <c r="R53" s="2209"/>
      <c r="S53" s="2209"/>
      <c r="T53" s="2209"/>
      <c r="U53" s="2209"/>
      <c r="V53" s="2209"/>
    </row>
    <row r="54" spans="1:22" ht="12.75">
      <c r="A54" s="1171">
        <v>5201</v>
      </c>
      <c r="B54" s="1200" t="s">
        <v>454</v>
      </c>
      <c r="C54" s="433">
        <f>E22</f>
        <v>749.98699999999997</v>
      </c>
      <c r="D54" s="137">
        <f t="shared" si="12"/>
        <v>-9.9999999997635314E-4</v>
      </c>
      <c r="E54" s="134">
        <v>17.048999999999999</v>
      </c>
      <c r="F54" s="134">
        <v>6.8310000000000004</v>
      </c>
      <c r="G54" s="134">
        <v>714.85199999999998</v>
      </c>
      <c r="H54" s="134">
        <v>5.4690000000000003</v>
      </c>
      <c r="I54" s="134">
        <v>2.27</v>
      </c>
      <c r="J54" s="134">
        <v>8.6999999999999994E-2</v>
      </c>
      <c r="K54" s="1932">
        <v>0</v>
      </c>
      <c r="L54" s="134">
        <v>3.43</v>
      </c>
      <c r="M54" s="315">
        <v>0</v>
      </c>
      <c r="N54" s="2015"/>
      <c r="O54" s="332"/>
      <c r="P54" s="335"/>
      <c r="R54" s="2209"/>
      <c r="S54" s="2209"/>
      <c r="T54" s="2209"/>
      <c r="U54" s="2209"/>
      <c r="V54" s="2209"/>
    </row>
    <row r="55" spans="1:22" ht="12.75">
      <c r="A55" s="1171">
        <v>5203</v>
      </c>
      <c r="B55" s="1200" t="s">
        <v>451</v>
      </c>
      <c r="C55" s="433">
        <f>E24</f>
        <v>291.01900000000001</v>
      </c>
      <c r="D55" s="137">
        <f t="shared" si="12"/>
        <v>1.0999999999967258E-2</v>
      </c>
      <c r="E55" s="134">
        <v>24.91</v>
      </c>
      <c r="F55" s="134">
        <v>0.878</v>
      </c>
      <c r="G55" s="134">
        <v>256.303</v>
      </c>
      <c r="H55" s="134">
        <v>1.7330000000000001</v>
      </c>
      <c r="I55" s="134">
        <v>6.9349999999999996</v>
      </c>
      <c r="J55" s="134">
        <v>5.8999999999999997E-2</v>
      </c>
      <c r="K55" s="1932">
        <v>0</v>
      </c>
      <c r="L55" s="134">
        <v>0.19</v>
      </c>
      <c r="M55" s="315">
        <v>0</v>
      </c>
      <c r="N55" s="2012"/>
      <c r="O55" s="332"/>
      <c r="P55" s="335"/>
      <c r="R55" s="2209"/>
      <c r="S55" s="2209"/>
      <c r="T55" s="2209"/>
      <c r="U55" s="2209"/>
      <c r="V55" s="2209"/>
    </row>
    <row r="56" spans="1:22" ht="12.75">
      <c r="A56" s="1204">
        <v>5205</v>
      </c>
      <c r="B56" s="1149" t="s">
        <v>487</v>
      </c>
      <c r="C56" s="434">
        <f>E26</f>
        <v>1983.7840000000001</v>
      </c>
      <c r="D56" s="297">
        <f t="shared" si="12"/>
        <v>2.8999999999996362E-2</v>
      </c>
      <c r="E56" s="134">
        <v>160.05099999999999</v>
      </c>
      <c r="F56" s="134">
        <v>2.5089999999999999</v>
      </c>
      <c r="G56" s="134">
        <v>1728.2819999999999</v>
      </c>
      <c r="H56" s="134">
        <v>26.192</v>
      </c>
      <c r="I56" s="134">
        <v>8.9670000000000005</v>
      </c>
      <c r="J56" s="134">
        <v>3.52</v>
      </c>
      <c r="K56" s="1932">
        <v>0</v>
      </c>
      <c r="L56" s="134">
        <v>54.228000000000002</v>
      </c>
      <c r="M56" s="316">
        <v>6.0000000000000001E-3</v>
      </c>
      <c r="N56" s="2013"/>
      <c r="O56" s="511"/>
      <c r="P56" s="512"/>
      <c r="R56" s="2209"/>
      <c r="S56" s="2209"/>
      <c r="T56" s="2209"/>
      <c r="U56" s="2209"/>
      <c r="V56" s="2209"/>
    </row>
    <row r="57" spans="1:22" ht="12.75">
      <c r="A57" s="1205">
        <v>513</v>
      </c>
      <c r="B57" s="1206" t="s">
        <v>460</v>
      </c>
      <c r="C57" s="432">
        <f>E31</f>
        <v>13272.078</v>
      </c>
      <c r="D57" s="298">
        <f t="shared" si="12"/>
        <v>0</v>
      </c>
      <c r="E57" s="432">
        <f>Motpart!D29</f>
        <v>1547.0809999999999</v>
      </c>
      <c r="F57" s="432">
        <f>Motpart!E29</f>
        <v>267.81299999999999</v>
      </c>
      <c r="G57" s="432">
        <f>Motpart!F29</f>
        <v>10670.759</v>
      </c>
      <c r="H57" s="432">
        <f>Motpart!G29</f>
        <v>297.36399999999998</v>
      </c>
      <c r="I57" s="432">
        <f>Motpart!H29</f>
        <v>98.974999999999994</v>
      </c>
      <c r="J57" s="432">
        <f>Motpart!I29</f>
        <v>13.5</v>
      </c>
      <c r="K57" s="1931"/>
      <c r="L57" s="432">
        <f>Motpart!K29</f>
        <v>375.935</v>
      </c>
      <c r="M57" s="432">
        <f>Motpart!L29</f>
        <v>0.65100000000000002</v>
      </c>
      <c r="N57" s="2016"/>
      <c r="O57" s="513"/>
      <c r="P57" s="334"/>
      <c r="R57" s="2209"/>
      <c r="S57" s="2209"/>
      <c r="T57" s="2209"/>
      <c r="U57" s="2209"/>
      <c r="V57" s="2209"/>
    </row>
    <row r="58" spans="1:22" ht="13.5" thickBot="1">
      <c r="A58" s="1164">
        <v>5131</v>
      </c>
      <c r="B58" s="1207" t="s">
        <v>200</v>
      </c>
      <c r="C58" s="435">
        <f>E32</f>
        <v>5756.3720000000003</v>
      </c>
      <c r="D58" s="299">
        <f>C58-SUM(E58:M58)</f>
        <v>6.4999999999599822E-2</v>
      </c>
      <c r="E58" s="317">
        <v>800.05499999999995</v>
      </c>
      <c r="F58" s="317">
        <v>129.39400000000001</v>
      </c>
      <c r="G58" s="317">
        <v>4582.8940000000002</v>
      </c>
      <c r="H58" s="317">
        <v>51.93</v>
      </c>
      <c r="I58" s="317">
        <v>14.904</v>
      </c>
      <c r="J58" s="317">
        <v>1.2709999999999999</v>
      </c>
      <c r="K58" s="1934">
        <v>0</v>
      </c>
      <c r="L58" s="317">
        <v>175.85900000000001</v>
      </c>
      <c r="M58" s="318">
        <v>0</v>
      </c>
      <c r="N58" s="2017"/>
      <c r="O58" s="333"/>
      <c r="P58" s="336"/>
      <c r="R58" s="2209"/>
      <c r="S58" s="2209"/>
      <c r="T58" s="2209"/>
      <c r="U58" s="2209"/>
      <c r="V58" s="2209"/>
    </row>
    <row r="59" spans="1:22" ht="12.75">
      <c r="D59" s="337"/>
      <c r="N59" s="319"/>
      <c r="O59" s="320"/>
      <c r="R59" s="2209"/>
      <c r="S59" s="2209"/>
      <c r="T59" s="2209"/>
      <c r="U59" s="2209"/>
      <c r="V59" s="2209"/>
    </row>
    <row r="60" spans="1:22" ht="12.75">
      <c r="R60" s="2209"/>
      <c r="S60" s="2209"/>
      <c r="T60" s="2209"/>
      <c r="U60" s="2209"/>
      <c r="V60" s="2209"/>
    </row>
  </sheetData>
  <sheetProtection algorithmName="SHA-512" hashValue="IyLAMDcZ7SoF21+GqkAiC7kRyEMP9xZsyonJ+LZdTgLuvgBZLMl3tPUGTOlmJiFTSjMGeQkRm4f3QhOp/rJQyA==" saltValue="J8xjLWyLGA1kaKB+rWHJtw==" spinCount="100000" sheet="1" objects="1" scenarios="1"/>
  <customSheetViews>
    <customSheetView guid="{27C9E95B-0E2B-454F-B637-1CECC9579A10}" showGridLines="0" fitToPage="1" hiddenRows="1" hiddenColumns="1" showRuler="0">
      <selection activeCell="J30" sqref="J30"/>
      <pageMargins left="0.31496062992125984" right="0.6692913385826772" top="0.74803149606299213" bottom="0.15748031496062992" header="0.31496062992125984" footer="0.31496062992125984"/>
      <pageSetup paperSize="9" scale="56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fitToPage="1" hiddenRows="1" hiddenColumns="1">
      <selection activeCell="A43" sqref="A43:B47"/>
      <pageMargins left="0.31496062992125984" right="0.6692913385826772" top="0.74803149606299213" bottom="0.15748031496062992" header="0.31496062992125984" footer="0.31496062992125984"/>
      <pageSetup paperSize="9" scale="56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fitToPage="1" hiddenRows="1" hiddenColumns="1" topLeftCell="A15">
      <selection activeCell="A44" sqref="A44:B48"/>
      <pageMargins left="0.31496062992125984" right="0.6692913385826772" top="0.74803149606299213" bottom="0.15748031496062992" header="0.31496062992125984" footer="0.31496062992125984"/>
      <pageSetup paperSize="9" scale="54" orientation="landscape" r:id="rId3"/>
      <headerFooter>
        <oddHeader>&amp;L&amp;8Statistiska Centralbyrån
Offentlig ekonomi&amp;R&amp;P</oddHeader>
      </headerFooter>
    </customSheetView>
  </customSheetViews>
  <mergeCells count="15">
    <mergeCell ref="O4:O6"/>
    <mergeCell ref="Q6:R7"/>
    <mergeCell ref="R14:R19"/>
    <mergeCell ref="R23:R29"/>
    <mergeCell ref="R36:R38"/>
    <mergeCell ref="A45:B47"/>
    <mergeCell ref="K45:K46"/>
    <mergeCell ref="F6:F7"/>
    <mergeCell ref="G6:G7"/>
    <mergeCell ref="H6:H7"/>
    <mergeCell ref="H9:H11"/>
    <mergeCell ref="E6:E7"/>
    <mergeCell ref="I6:I7"/>
    <mergeCell ref="D6:D7"/>
    <mergeCell ref="D9:D10"/>
  </mergeCells>
  <phoneticPr fontId="87" type="noConversion"/>
  <conditionalFormatting sqref="H34">
    <cfRule type="cellIs" dxfId="22" priority="25" stopIfTrue="1" operator="lessThan">
      <formula>0</formula>
    </cfRule>
    <cfRule type="cellIs" dxfId="21" priority="26" stopIfTrue="1" operator="lessThan">
      <formula>SUM(G41)</formula>
    </cfRule>
  </conditionalFormatting>
  <conditionalFormatting sqref="C34:D34">
    <cfRule type="cellIs" dxfId="20" priority="27" stopIfTrue="1" operator="lessThan">
      <formula>0</formula>
    </cfRule>
    <cfRule type="cellIs" dxfId="19" priority="28" stopIfTrue="1" operator="lessThan">
      <formula>SUM(G42)</formula>
    </cfRule>
  </conditionalFormatting>
  <conditionalFormatting sqref="E58:M58 G43 H35:H36 I32:J36 H32:H33 E32:G36 E50:M52 E54:M56 C13:J18 C22:J28 C32:D33 C35:D36">
    <cfRule type="cellIs" dxfId="18" priority="23" stopIfTrue="1" operator="lessThan">
      <formula>0</formula>
    </cfRule>
  </conditionalFormatting>
  <conditionalFormatting sqref="B20 B30 B38">
    <cfRule type="expression" dxfId="17" priority="86" stopIfTrue="1">
      <formula>OR(C20&gt;5,C20&lt;-5,E20&gt;5,E20&lt;-5,F20&gt;5,F20&lt;-5,G20&gt;5,G20&lt;-5,H20&gt;5,H20&lt;-5,I20&gt;5,I20&lt;-5,J20&gt;5,J20&lt;-5)</formula>
    </cfRule>
  </conditionalFormatting>
  <conditionalFormatting sqref="R14:R19">
    <cfRule type="expression" dxfId="16" priority="6">
      <formula>IF(C12=0,"",IF(C17&gt;1,"",IF(K17=0,N17=0)))</formula>
    </cfRule>
    <cfRule type="expression" dxfId="15" priority="7">
      <formula>IF(C12=0,"",IF(C16&gt;1,"",IF(K16=0,N16=0)))</formula>
    </cfRule>
    <cfRule type="expression" dxfId="14" priority="8">
      <formula>IF(C12=0,"",IF(C15&gt;1,"",IF(K15=0,N15=0)))</formula>
    </cfRule>
    <cfRule type="expression" dxfId="13" priority="9">
      <formula>IF(C12=0,"",IF(C14&gt;1,"",IF(K14=0,N14=0)))</formula>
    </cfRule>
    <cfRule type="expression" dxfId="12" priority="15">
      <formula>IF(C12=0,"",IF(C13&gt;1,"",IF(K13=0,N13=0)))</formula>
    </cfRule>
  </conditionalFormatting>
  <conditionalFormatting sqref="R36:R38">
    <cfRule type="expression" dxfId="11" priority="2">
      <formula>IF(C31=0,"",IF(C35&gt;1,"",IF(K35=0,N35=0)))</formula>
    </cfRule>
    <cfRule type="expression" dxfId="10" priority="3">
      <formula>IF(C31=0,"",IF(C34&gt;1,"",IF(K34=0,N34=0)))</formula>
    </cfRule>
    <cfRule type="expression" dxfId="9" priority="4">
      <formula>IF(C31=0,"",IF(C33&gt;1,"",IF(K33=0,N33=0)))</formula>
    </cfRule>
    <cfRule type="expression" dxfId="8" priority="5">
      <formula>IF(C31=0,"",IF(C32&gt;1,"",IF(K32=0,N32=0)))</formula>
    </cfRule>
  </conditionalFormatting>
  <conditionalFormatting sqref="R23:R28">
    <cfRule type="expression" dxfId="7" priority="10">
      <formula>IF(C21=0,"",IF(C27&gt;1,"",IF(K27=0,N27=0)))</formula>
    </cfRule>
    <cfRule type="expression" dxfId="6" priority="11">
      <formula>IF(C21=0,"",IF(C26&gt;1,"",IF(K26=0,N26=0)))</formula>
    </cfRule>
    <cfRule type="expression" dxfId="5" priority="12">
      <formula>IF(C21=0,"",IF(C25&gt;1,"",IF(K25=0,N25=0)))</formula>
    </cfRule>
    <cfRule type="expression" dxfId="4" priority="13">
      <formula>IF(C21=0,"",IF(C23&gt;1,"",IF(K23=0,N23=0)))</formula>
    </cfRule>
    <cfRule type="expression" dxfId="3" priority="14">
      <formula>IF(C21=0,"",IF(C22&gt;1,"",IF(K22=0,N22=0)))</formula>
    </cfRule>
  </conditionalFormatting>
  <conditionalFormatting sqref="R23:R29">
    <cfRule type="expression" dxfId="2" priority="1">
      <formula>IF(C21=0,"",IF(C24&gt;1,"",IF(K24=0,N24=0)))</formula>
    </cfRule>
  </conditionalFormatting>
  <dataValidations count="2">
    <dataValidation type="decimal" operator="lessThan" allowBlank="1" showInputMessage="1" showErrorMessage="1" error="Beloppen ska vara i 1000 tal kronor" sqref="E58:M58 I29:I30 J29:J31 I21 G43 E50:M56 C32:J36 C22:J28 C13:J20 C29:H31">
      <formula1>99999999</formula1>
    </dataValidation>
    <dataValidation type="decimal" operator="lessThan" allowBlank="1" showInputMessage="1" showErrorMessage="1" error="Beloppet ska vara i 1000 tal kr" sqref="I31">
      <formula1>99999999</formula1>
    </dataValidation>
  </dataValidations>
  <pageMargins left="0.43" right="0.17" top="0.43" bottom="0.15748031496062992" header="0.21" footer="0.31496062992125984"/>
  <pageSetup paperSize="9" scale="70" orientation="landscape" r:id="rId4"/>
  <headerFooter>
    <oddHeader>&amp;L&amp;8Statistiska Centralbyrån
Offentlig ekonomi&amp;R&amp;P</oddHead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>
    <tabColor rgb="FFFFFF00"/>
  </sheetPr>
  <dimension ref="A1:S65536"/>
  <sheetViews>
    <sheetView showGridLines="0" zoomScaleNormal="100" workbookViewId="0">
      <pane xSplit="2" ySplit="11" topLeftCell="C12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0" defaultRowHeight="12.75" zeroHeight="1"/>
  <cols>
    <col min="1" max="1" width="5.7109375" style="283" customWidth="1"/>
    <col min="2" max="2" width="34.140625" style="1822" customWidth="1"/>
    <col min="3" max="3" width="9.42578125" style="1822" customWidth="1"/>
    <col min="4" max="4" width="8.7109375" style="1822" customWidth="1"/>
    <col min="5" max="5" width="10.28515625" style="1822" customWidth="1"/>
    <col min="6" max="6" width="10.5703125" style="1822" customWidth="1"/>
    <col min="7" max="7" width="9.42578125" style="1822" customWidth="1"/>
    <col min="8" max="8" width="11.7109375" style="1822" customWidth="1"/>
    <col min="9" max="9" width="8.7109375" style="1822" customWidth="1"/>
    <col min="10" max="10" width="14.28515625" style="1822" customWidth="1"/>
    <col min="11" max="11" width="9.5703125" style="286" customWidth="1"/>
    <col min="12" max="12" width="1" style="286" customWidth="1"/>
    <col min="13" max="13" width="10.42578125" style="286" customWidth="1"/>
    <col min="14" max="14" width="10.28515625" style="286" customWidth="1"/>
    <col min="15" max="19" width="9.140625" style="286" customWidth="1"/>
    <col min="20" max="16384" width="0" style="286" hidden="1"/>
  </cols>
  <sheetData>
    <row r="1" spans="1:19" s="1797" customFormat="1" ht="21.75">
      <c r="A1" s="77" t="str">
        <f>"Specificering individ- och familjeomsorg "&amp;År&amp;", miljoner kronor"</f>
        <v>Specificering individ- och familjeomsorg 2019, miljoner kronor</v>
      </c>
      <c r="B1" s="78"/>
      <c r="C1" s="78"/>
      <c r="D1" s="78"/>
      <c r="E1" s="284"/>
      <c r="F1" s="284"/>
      <c r="G1" s="284"/>
      <c r="H1" s="284"/>
      <c r="I1" s="525" t="s">
        <v>466</v>
      </c>
      <c r="J1" s="526" t="str">
        <f>'Kn Information'!A2</f>
        <v>RIKSTOTAL</v>
      </c>
      <c r="K1" s="284"/>
      <c r="L1" s="284"/>
      <c r="M1" s="284"/>
      <c r="N1" s="284"/>
      <c r="O1" s="284"/>
      <c r="P1" s="284"/>
      <c r="Q1" s="284"/>
      <c r="R1" s="284"/>
      <c r="S1" s="284"/>
    </row>
    <row r="2" spans="1:19" s="285" customFormat="1" ht="12.75" customHeight="1">
      <c r="A2" s="2209"/>
      <c r="B2" s="2209"/>
      <c r="C2" s="2209"/>
      <c r="D2" s="2209"/>
      <c r="E2" s="2209"/>
      <c r="F2" s="2209"/>
      <c r="G2" s="2209"/>
      <c r="H2" s="2209"/>
      <c r="I2" s="2209"/>
      <c r="J2" s="2209"/>
      <c r="K2" s="2209"/>
      <c r="L2" s="2209"/>
      <c r="M2" s="2209"/>
      <c r="N2" s="2209"/>
      <c r="O2" s="2209"/>
      <c r="P2" s="2209"/>
      <c r="Q2" s="2209"/>
      <c r="R2" s="2209"/>
      <c r="S2" s="2209"/>
    </row>
    <row r="3" spans="1:19" s="1797" customFormat="1" ht="12.75" customHeight="1" thickBot="1">
      <c r="A3" s="2209"/>
      <c r="B3" s="2209"/>
      <c r="C3" s="2209"/>
      <c r="D3" s="2209"/>
      <c r="E3" s="2209"/>
      <c r="F3" s="2209"/>
      <c r="G3" s="2209"/>
      <c r="H3" s="2209"/>
      <c r="I3" s="2209"/>
      <c r="J3" s="2209"/>
      <c r="K3" s="2209"/>
      <c r="L3" s="2209"/>
      <c r="M3" s="2209"/>
      <c r="N3" s="2209"/>
      <c r="O3" s="2209"/>
      <c r="P3" s="2209"/>
      <c r="Q3" s="2209"/>
      <c r="R3" s="2209"/>
      <c r="S3" s="2209"/>
    </row>
    <row r="4" spans="1:19" s="287" customFormat="1" ht="18" customHeight="1">
      <c r="A4" s="659" t="s">
        <v>634</v>
      </c>
      <c r="B4" s="1798" t="s">
        <v>16</v>
      </c>
      <c r="C4" s="1795"/>
      <c r="D4" s="1961"/>
      <c r="E4" s="1961"/>
      <c r="F4" s="1794"/>
      <c r="G4" s="1795"/>
      <c r="H4" s="1799" t="s">
        <v>974</v>
      </c>
      <c r="I4" s="1624" t="s">
        <v>984</v>
      </c>
      <c r="J4" s="1625"/>
      <c r="K4" s="2571" t="str">
        <f>"Förändring kostnader för eget åtagande "&amp;År-1&amp;"-"&amp;År&amp;" procent"</f>
        <v>Förändring kostnader för eget åtagande 2018-2019 procent</v>
      </c>
      <c r="L4" s="2209"/>
      <c r="M4" s="2395"/>
      <c r="N4" s="2407"/>
      <c r="O4" s="2209"/>
      <c r="P4" s="2209"/>
      <c r="Q4" s="2209"/>
      <c r="R4" s="2209"/>
      <c r="S4" s="2209"/>
    </row>
    <row r="5" spans="1:19" s="287" customFormat="1" ht="15" customHeight="1">
      <c r="A5" s="661" t="s">
        <v>637</v>
      </c>
      <c r="B5" s="1583"/>
      <c r="C5" s="1376" t="s">
        <v>42</v>
      </c>
      <c r="D5" s="1376"/>
      <c r="E5" s="1376"/>
      <c r="F5" s="1796"/>
      <c r="G5" s="1796"/>
      <c r="H5" s="1635" t="s">
        <v>989</v>
      </c>
      <c r="I5" s="1626" t="s">
        <v>981</v>
      </c>
      <c r="J5" s="1627"/>
      <c r="K5" s="2572"/>
      <c r="L5" s="2209"/>
      <c r="M5" s="2396"/>
      <c r="N5" s="2408"/>
      <c r="O5" s="2209"/>
      <c r="P5" s="2209"/>
      <c r="Q5" s="2209"/>
      <c r="R5" s="2209"/>
      <c r="S5" s="2209"/>
    </row>
    <row r="6" spans="1:19" s="287" customFormat="1" ht="24" customHeight="1">
      <c r="A6" s="1209"/>
      <c r="B6" s="1801"/>
      <c r="C6" s="1376" t="s">
        <v>44</v>
      </c>
      <c r="D6" s="2575" t="s">
        <v>1060</v>
      </c>
      <c r="E6" s="2575" t="s">
        <v>1066</v>
      </c>
      <c r="F6" s="2577" t="s">
        <v>148</v>
      </c>
      <c r="G6" s="2573" t="s">
        <v>1161</v>
      </c>
      <c r="H6" s="1636" t="s">
        <v>988</v>
      </c>
      <c r="I6" s="1802"/>
      <c r="J6" s="1803"/>
      <c r="K6" s="2572"/>
      <c r="L6" s="2209"/>
      <c r="M6" s="2397" t="str">
        <f>"Nämnare nyckeltal"</f>
        <v>Nämnare nyckeltal</v>
      </c>
      <c r="N6" s="2409"/>
      <c r="O6" s="2209"/>
      <c r="P6" s="2209"/>
      <c r="Q6" s="2209"/>
      <c r="R6" s="2209"/>
      <c r="S6" s="2209"/>
    </row>
    <row r="7" spans="1:19" s="287" customFormat="1" ht="27.75" customHeight="1">
      <c r="A7" s="1069"/>
      <c r="B7" s="1804"/>
      <c r="C7" s="1376"/>
      <c r="D7" s="2576"/>
      <c r="E7" s="2576"/>
      <c r="F7" s="2578"/>
      <c r="G7" s="2573"/>
      <c r="H7" s="1622" t="s">
        <v>1162</v>
      </c>
      <c r="I7" s="1638" t="s">
        <v>987</v>
      </c>
      <c r="J7" s="1637" t="s">
        <v>987</v>
      </c>
      <c r="K7" s="2384"/>
      <c r="L7" s="2209"/>
      <c r="M7" s="2397"/>
      <c r="N7" s="2409"/>
      <c r="O7" s="2209"/>
      <c r="P7" s="2209"/>
      <c r="Q7" s="2209"/>
      <c r="R7" s="2209"/>
      <c r="S7" s="2209"/>
    </row>
    <row r="8" spans="1:19" s="287" customFormat="1" ht="12" customHeight="1">
      <c r="A8" s="1209"/>
      <c r="B8" s="1805"/>
      <c r="C8" s="1796"/>
      <c r="D8" s="2576"/>
      <c r="E8" s="2576"/>
      <c r="F8" s="2578"/>
      <c r="G8" s="2579"/>
      <c r="H8" s="2067" t="s">
        <v>1163</v>
      </c>
      <c r="I8" s="1150">
        <f>År</f>
        <v>2019</v>
      </c>
      <c r="J8" s="1150">
        <f>År-1</f>
        <v>2018</v>
      </c>
      <c r="K8" s="2385"/>
      <c r="L8" s="2209"/>
      <c r="M8" s="2398"/>
      <c r="N8" s="2410"/>
      <c r="O8" s="2209"/>
      <c r="P8" s="2209"/>
      <c r="Q8" s="2209"/>
      <c r="R8" s="2209"/>
      <c r="S8" s="2209"/>
    </row>
    <row r="9" spans="1:19" s="287" customFormat="1" ht="21" customHeight="1">
      <c r="A9" s="1209"/>
      <c r="B9" s="1805"/>
      <c r="C9" s="1796"/>
      <c r="D9" s="2573" t="s">
        <v>1190</v>
      </c>
      <c r="E9" s="1824" t="s">
        <v>829</v>
      </c>
      <c r="F9" s="1796"/>
      <c r="G9" s="2189" t="s">
        <v>1160</v>
      </c>
      <c r="H9" s="1623" t="s">
        <v>1158</v>
      </c>
      <c r="I9" s="1806"/>
      <c r="J9" s="1806"/>
      <c r="K9" s="2386"/>
      <c r="L9" s="2209"/>
      <c r="M9" s="2398"/>
      <c r="N9" s="2410"/>
      <c r="O9" s="2209"/>
      <c r="P9" s="2209"/>
      <c r="Q9" s="2209"/>
      <c r="R9" s="2209"/>
      <c r="S9" s="2209"/>
    </row>
    <row r="10" spans="1:19" s="287" customFormat="1" ht="14.25" customHeight="1">
      <c r="A10" s="1209"/>
      <c r="B10" s="1805"/>
      <c r="C10" s="1796"/>
      <c r="D10" s="2558"/>
      <c r="E10" s="1796"/>
      <c r="F10" s="1796"/>
      <c r="G10" s="1796"/>
      <c r="H10" s="1323" t="s">
        <v>1165</v>
      </c>
      <c r="I10" s="1628"/>
      <c r="J10" s="1628"/>
      <c r="K10" s="2386"/>
      <c r="L10" s="2209"/>
      <c r="M10" s="2398"/>
      <c r="N10" s="2410"/>
      <c r="O10" s="2209"/>
      <c r="P10" s="2209"/>
      <c r="Q10" s="2209"/>
      <c r="R10" s="2209"/>
      <c r="S10" s="2209"/>
    </row>
    <row r="11" spans="1:19" s="287" customFormat="1" ht="13.5" customHeight="1">
      <c r="A11" s="1210"/>
      <c r="B11" s="1807"/>
      <c r="C11" s="1218"/>
      <c r="D11" s="2574"/>
      <c r="E11" s="1218"/>
      <c r="F11" s="1218"/>
      <c r="G11" s="1606"/>
      <c r="H11" s="2096" t="s">
        <v>1164</v>
      </c>
      <c r="I11" s="1219"/>
      <c r="J11" s="1219"/>
      <c r="K11" s="2387"/>
      <c r="L11" s="2209"/>
      <c r="M11" s="2399"/>
      <c r="N11" s="2411"/>
      <c r="O11" s="2209"/>
      <c r="P11" s="2209"/>
      <c r="Q11" s="2209"/>
      <c r="R11" s="2209"/>
      <c r="S11" s="2209"/>
    </row>
    <row r="12" spans="1:19" s="287" customFormat="1">
      <c r="A12" s="1211">
        <v>559</v>
      </c>
      <c r="B12" s="1808" t="s">
        <v>497</v>
      </c>
      <c r="C12" s="1809">
        <f>Drift!P79</f>
        <v>9011.2869999999984</v>
      </c>
      <c r="D12" s="2069">
        <f>SUM(Drift!C79:D79)</f>
        <v>3518.085</v>
      </c>
      <c r="E12" s="1809">
        <f>Drift!F79</f>
        <v>3142.9270000000001</v>
      </c>
      <c r="F12" s="1809">
        <f>Drift!V79</f>
        <v>538.79600000000005</v>
      </c>
      <c r="G12" s="1810">
        <f>Motpart!Y31+Motpart!Z31</f>
        <v>71.795000000000002</v>
      </c>
      <c r="H12" s="1220">
        <f t="shared" ref="H12:H18" si="0">C12-F12-G12</f>
        <v>8400.6959999999981</v>
      </c>
      <c r="I12" s="1221">
        <f>IF(C12&gt;0,H12*1000000/M12,"")</f>
        <v>1463.057463613379</v>
      </c>
      <c r="J12" s="1221">
        <v>1439.3009999999999</v>
      </c>
      <c r="K12" s="2388">
        <f>IF(ISERROR((I12-J12)/J12),"",((I12-J12)/J12))</f>
        <v>1.6505556248053107E-2</v>
      </c>
      <c r="L12" s="2209"/>
      <c r="M12" s="2400">
        <v>5741877</v>
      </c>
      <c r="N12" s="2412" t="s">
        <v>523</v>
      </c>
      <c r="O12" s="2209"/>
      <c r="P12" s="2209"/>
      <c r="Q12" s="2209"/>
      <c r="R12" s="2209"/>
      <c r="S12" s="2209"/>
    </row>
    <row r="13" spans="1:19" s="287" customFormat="1">
      <c r="A13" s="1212">
        <v>552</v>
      </c>
      <c r="B13" s="1583" t="s">
        <v>446</v>
      </c>
      <c r="C13" s="54">
        <v>3474.9679999999998</v>
      </c>
      <c r="D13" s="54">
        <v>861.54300000000001</v>
      </c>
      <c r="E13" s="54">
        <v>2084.694</v>
      </c>
      <c r="F13" s="54">
        <v>102.818</v>
      </c>
      <c r="G13" s="1800">
        <f>Motpart!Y32+Motpart!Z32</f>
        <v>38.582999999999998</v>
      </c>
      <c r="H13" s="1222">
        <f t="shared" si="0"/>
        <v>3333.5669999999996</v>
      </c>
      <c r="I13" s="1223">
        <f>IF(C13&gt;0,H13*1000000/M12,"")</f>
        <v>580.57095266930992</v>
      </c>
      <c r="J13" s="1223">
        <v>589.21900000000005</v>
      </c>
      <c r="K13" s="2389">
        <f t="shared" ref="K13:K18" si="1">IF(ISERROR((I13-J13)/J13),"",((I13-J13)/J13))</f>
        <v>-1.467713588782801E-2</v>
      </c>
      <c r="L13" s="2209"/>
      <c r="M13" s="2401"/>
      <c r="N13" s="2413"/>
      <c r="O13" s="2209"/>
      <c r="P13" s="2209"/>
      <c r="Q13" s="2209"/>
      <c r="R13" s="2209"/>
      <c r="S13" s="2209"/>
    </row>
    <row r="14" spans="1:19" s="287" customFormat="1">
      <c r="A14" s="1212">
        <v>556</v>
      </c>
      <c r="B14" s="1811" t="s">
        <v>503</v>
      </c>
      <c r="C14" s="54">
        <v>195.71</v>
      </c>
      <c r="D14" s="54">
        <v>68.245000000000005</v>
      </c>
      <c r="E14" s="54">
        <v>99.516999999999996</v>
      </c>
      <c r="F14" s="54">
        <v>6.125</v>
      </c>
      <c r="G14" s="54">
        <v>2.9729999999999999</v>
      </c>
      <c r="H14" s="1222">
        <f t="shared" si="0"/>
        <v>186.61199999999999</v>
      </c>
      <c r="I14" s="1223">
        <f>IF(C14&gt;0,H14*1000000/M12,"")</f>
        <v>32.500173723679559</v>
      </c>
      <c r="J14" s="1223">
        <v>38.744</v>
      </c>
      <c r="K14" s="2389">
        <f t="shared" si="1"/>
        <v>-0.16115595385918957</v>
      </c>
      <c r="L14" s="2209"/>
      <c r="M14" s="2401"/>
      <c r="N14" s="2413"/>
      <c r="O14" s="2209"/>
      <c r="P14" s="2209"/>
      <c r="Q14" s="2209"/>
      <c r="R14" s="2209"/>
      <c r="S14" s="2209"/>
    </row>
    <row r="15" spans="1:19" s="287" customFormat="1">
      <c r="A15" s="1212">
        <v>5581</v>
      </c>
      <c r="B15" s="1811" t="s">
        <v>163</v>
      </c>
      <c r="C15" s="54">
        <v>3018.777</v>
      </c>
      <c r="D15" s="54">
        <v>1153.3140000000001</v>
      </c>
      <c r="E15" s="54">
        <v>737.18700000000001</v>
      </c>
      <c r="F15" s="54">
        <v>344.07299999999998</v>
      </c>
      <c r="G15" s="54">
        <v>12.260999999999999</v>
      </c>
      <c r="H15" s="1222">
        <f t="shared" si="0"/>
        <v>2662.4430000000002</v>
      </c>
      <c r="I15" s="1224">
        <f>IF(C15&gt;0,H15*1000000/M12,"")</f>
        <v>463.68861610933152</v>
      </c>
      <c r="J15" s="1224">
        <v>452.30200000000002</v>
      </c>
      <c r="K15" s="2389">
        <f t="shared" si="1"/>
        <v>2.5174808223999669E-2</v>
      </c>
      <c r="L15" s="2209"/>
      <c r="M15" s="2401"/>
      <c r="N15" s="2413"/>
      <c r="O15" s="2209"/>
      <c r="P15" s="2209"/>
      <c r="Q15" s="2209"/>
      <c r="R15" s="2209"/>
      <c r="S15" s="2209"/>
    </row>
    <row r="16" spans="1:19" s="287" customFormat="1">
      <c r="A16" s="1212">
        <v>5582</v>
      </c>
      <c r="B16" s="1811" t="s">
        <v>162</v>
      </c>
      <c r="C16" s="54">
        <v>1363.9929999999999</v>
      </c>
      <c r="D16" s="54">
        <v>856.07399999999996</v>
      </c>
      <c r="E16" s="54">
        <v>150.548</v>
      </c>
      <c r="F16" s="54">
        <v>45.98</v>
      </c>
      <c r="G16" s="54">
        <v>6.423</v>
      </c>
      <c r="H16" s="1222">
        <f t="shared" si="0"/>
        <v>1311.59</v>
      </c>
      <c r="I16" s="1223">
        <f>IF(C16&gt;0,H16*1000000/M12,"")</f>
        <v>228.42530412964263</v>
      </c>
      <c r="J16" s="1223">
        <v>208.26900000000001</v>
      </c>
      <c r="K16" s="2389">
        <f t="shared" si="1"/>
        <v>9.6780145531224618E-2</v>
      </c>
      <c r="L16" s="2209"/>
      <c r="M16" s="2401"/>
      <c r="N16" s="2413"/>
      <c r="O16" s="2209"/>
      <c r="P16" s="2209"/>
      <c r="Q16" s="2209"/>
      <c r="R16" s="2209"/>
      <c r="S16" s="2209"/>
    </row>
    <row r="17" spans="1:19" s="287" customFormat="1">
      <c r="A17" s="1212">
        <v>5583</v>
      </c>
      <c r="B17" s="1811" t="s">
        <v>164</v>
      </c>
      <c r="C17" s="54">
        <v>957.82500000000005</v>
      </c>
      <c r="D17" s="54">
        <v>578.91200000000003</v>
      </c>
      <c r="E17" s="54">
        <v>70.977999999999994</v>
      </c>
      <c r="F17" s="54">
        <v>39.798000000000002</v>
      </c>
      <c r="G17" s="54">
        <v>11.558</v>
      </c>
      <c r="H17" s="1222">
        <f t="shared" si="0"/>
        <v>906.46900000000005</v>
      </c>
      <c r="I17" s="1223">
        <f>IF(C17&gt;0,H17*1000000/M12,"")</f>
        <v>157.86980459525691</v>
      </c>
      <c r="J17" s="1224">
        <v>150.59200000000001</v>
      </c>
      <c r="K17" s="2389">
        <f t="shared" si="1"/>
        <v>4.8327962941304287E-2</v>
      </c>
      <c r="L17" s="2209"/>
      <c r="M17" s="2401"/>
      <c r="N17" s="2413"/>
      <c r="O17" s="2209"/>
      <c r="P17" s="2209"/>
      <c r="Q17" s="2209"/>
      <c r="R17" s="2209"/>
      <c r="S17" s="2209"/>
    </row>
    <row r="18" spans="1:19" s="287" customFormat="1">
      <c r="A18" s="1213">
        <v>558</v>
      </c>
      <c r="B18" s="1812" t="s">
        <v>204</v>
      </c>
      <c r="C18" s="327">
        <f>SUM(C15:C17)</f>
        <v>5340.5950000000003</v>
      </c>
      <c r="D18" s="327">
        <f>SUM(D15:D17)</f>
        <v>2588.3000000000002</v>
      </c>
      <c r="E18" s="327">
        <f>SUM(E15:E17)</f>
        <v>958.71299999999997</v>
      </c>
      <c r="F18" s="327">
        <f>SUM(F15:F17)</f>
        <v>429.851</v>
      </c>
      <c r="G18" s="327">
        <f>SUM(G15:G17)</f>
        <v>30.241999999999997</v>
      </c>
      <c r="H18" s="1222">
        <f t="shared" si="0"/>
        <v>4880.5020000000004</v>
      </c>
      <c r="I18" s="1223">
        <f>IF(C18&gt;0,H18*1000000/M12,"")</f>
        <v>849.983724834231</v>
      </c>
      <c r="J18" s="1223">
        <v>811.16300000000001</v>
      </c>
      <c r="K18" s="2389">
        <f t="shared" si="1"/>
        <v>4.7858105996243648E-2</v>
      </c>
      <c r="L18" s="2209"/>
      <c r="M18" s="2401"/>
      <c r="N18" s="2413"/>
      <c r="O18" s="2209"/>
      <c r="P18" s="2209"/>
      <c r="Q18" s="2209"/>
      <c r="R18" s="2209"/>
      <c r="S18" s="2209"/>
    </row>
    <row r="19" spans="1:19" s="174" customFormat="1">
      <c r="A19" s="1214">
        <v>55999</v>
      </c>
      <c r="B19" s="1812" t="s">
        <v>209</v>
      </c>
      <c r="C19" s="327">
        <f>C13+C14+C15+C16+C17</f>
        <v>9011.273000000001</v>
      </c>
      <c r="D19" s="327">
        <f>D13+D14+D15+D16+D17</f>
        <v>3518.0879999999997</v>
      </c>
      <c r="E19" s="327">
        <f>E13+E14+E15+E16+E17</f>
        <v>3142.924</v>
      </c>
      <c r="F19" s="327">
        <f>F13+F14+F15+F16+F17</f>
        <v>538.79399999999998</v>
      </c>
      <c r="G19" s="327">
        <f>G13+G14+G15+G16+G17</f>
        <v>71.798000000000002</v>
      </c>
      <c r="H19" s="1225"/>
      <c r="I19" s="1226"/>
      <c r="J19" s="1226"/>
      <c r="K19" s="2390"/>
      <c r="L19" s="2209"/>
      <c r="M19" s="2401"/>
      <c r="N19" s="2413"/>
      <c r="O19" s="2209"/>
      <c r="P19" s="2209"/>
      <c r="Q19" s="2209"/>
      <c r="R19" s="2209"/>
      <c r="S19" s="2209"/>
    </row>
    <row r="20" spans="1:19" s="174" customFormat="1" ht="13.5" thickBot="1">
      <c r="A20" s="2376"/>
      <c r="B20" s="2375"/>
      <c r="C20" s="2375"/>
      <c r="D20" s="2375"/>
      <c r="E20" s="2375"/>
      <c r="F20" s="2375"/>
      <c r="G20" s="2375"/>
      <c r="H20" s="2375"/>
      <c r="I20" s="2375"/>
      <c r="J20" s="2375"/>
      <c r="K20" s="2391"/>
      <c r="L20" s="2209"/>
      <c r="M20" s="2402"/>
      <c r="N20" s="2414"/>
      <c r="O20" s="2209"/>
      <c r="P20" s="2209"/>
      <c r="Q20" s="2209"/>
      <c r="R20" s="2209"/>
      <c r="S20" s="2209"/>
    </row>
    <row r="21" spans="1:19" s="287" customFormat="1">
      <c r="A21" s="2377">
        <v>569</v>
      </c>
      <c r="B21" s="1813" t="s">
        <v>498</v>
      </c>
      <c r="C21" s="1814">
        <f>Drift!P80</f>
        <v>24112.688999999998</v>
      </c>
      <c r="D21" s="2070">
        <f>SUM(Drift!C80:D80)</f>
        <v>11544.206999999999</v>
      </c>
      <c r="E21" s="1814">
        <f>Drift!F80</f>
        <v>8071.8059999999996</v>
      </c>
      <c r="F21" s="1814">
        <f>Drift!V80</f>
        <v>820.13499999999999</v>
      </c>
      <c r="G21" s="1815">
        <f>Motpart!Y33+Motpart!Z33</f>
        <v>176.03800000000001</v>
      </c>
      <c r="H21" s="1228">
        <f t="shared" ref="H21:H26" si="2">C21-F21-G21</f>
        <v>23116.516</v>
      </c>
      <c r="I21" s="1223">
        <f>IF(C21&gt;0,H21*1000000/M21,"")</f>
        <v>9171.9649492430599</v>
      </c>
      <c r="J21" s="1223">
        <v>8863.9390000000003</v>
      </c>
      <c r="K21" s="2392">
        <f t="shared" ref="K21:K26" si="3">IF(ISERROR((I21-J21)/J21),"",((I21-J21)/J21))</f>
        <v>3.4750459050210021E-2</v>
      </c>
      <c r="L21" s="2209"/>
      <c r="M21" s="2403">
        <v>2520345</v>
      </c>
      <c r="N21" s="2415" t="s">
        <v>525</v>
      </c>
      <c r="O21" s="2209"/>
      <c r="P21" s="2209"/>
      <c r="Q21" s="2209"/>
      <c r="R21" s="2209"/>
      <c r="S21" s="2209"/>
    </row>
    <row r="22" spans="1:19" s="287" customFormat="1">
      <c r="A22" s="2378">
        <v>554</v>
      </c>
      <c r="B22" s="1816" t="s">
        <v>205</v>
      </c>
      <c r="C22" s="54">
        <v>8284.2440000000006</v>
      </c>
      <c r="D22" s="54">
        <v>2112.0279999999998</v>
      </c>
      <c r="E22" s="54">
        <v>5123.0619999999999</v>
      </c>
      <c r="F22" s="54">
        <v>227.12799999999999</v>
      </c>
      <c r="G22" s="1800">
        <f>Motpart!Y34+Motpart!Z34</f>
        <v>47.912999999999997</v>
      </c>
      <c r="H22" s="1228">
        <f t="shared" si="2"/>
        <v>8009.2030000000013</v>
      </c>
      <c r="I22" s="1223">
        <f>IF(C22&gt;0,H22*1000000/M21,"")</f>
        <v>3177.8201000259887</v>
      </c>
      <c r="J22" s="1223">
        <v>3046.6030000000001</v>
      </c>
      <c r="K22" s="2389">
        <f t="shared" si="3"/>
        <v>4.3069970070267985E-2</v>
      </c>
      <c r="L22" s="2209"/>
      <c r="M22" s="2401"/>
      <c r="N22" s="2413"/>
      <c r="O22" s="2209"/>
      <c r="P22" s="2209"/>
      <c r="Q22" s="2209"/>
      <c r="R22" s="2209"/>
      <c r="S22" s="2209"/>
    </row>
    <row r="23" spans="1:19" s="287" customFormat="1">
      <c r="A23" s="2378">
        <v>557</v>
      </c>
      <c r="B23" s="1816" t="s">
        <v>170</v>
      </c>
      <c r="C23" s="54">
        <v>8597.1380000000008</v>
      </c>
      <c r="D23" s="54">
        <v>4759.0829999999996</v>
      </c>
      <c r="E23" s="54">
        <v>2214.2640000000001</v>
      </c>
      <c r="F23" s="54">
        <v>232.279</v>
      </c>
      <c r="G23" s="54">
        <v>36.866999999999997</v>
      </c>
      <c r="H23" s="1228">
        <f t="shared" si="2"/>
        <v>8327.9920000000002</v>
      </c>
      <c r="I23" s="1223">
        <f>IF(C23&gt;0,H23*1000000/M21,"")</f>
        <v>3304.3063548839546</v>
      </c>
      <c r="J23" s="1223">
        <v>3157.8330000000001</v>
      </c>
      <c r="K23" s="2389">
        <f t="shared" si="3"/>
        <v>4.6384135856441577E-2</v>
      </c>
      <c r="L23" s="2209"/>
      <c r="M23" s="2401"/>
      <c r="N23" s="2413"/>
      <c r="O23" s="2209"/>
      <c r="P23" s="2209"/>
      <c r="Q23" s="2209"/>
      <c r="R23" s="2209"/>
      <c r="S23" s="2209"/>
    </row>
    <row r="24" spans="1:19" s="287" customFormat="1">
      <c r="A24" s="2378">
        <v>5681</v>
      </c>
      <c r="B24" s="1816" t="s">
        <v>162</v>
      </c>
      <c r="C24" s="54">
        <v>4425.8140000000003</v>
      </c>
      <c r="D24" s="54">
        <v>2766.498</v>
      </c>
      <c r="E24" s="54">
        <v>608.36800000000005</v>
      </c>
      <c r="F24" s="54">
        <v>158.779</v>
      </c>
      <c r="G24" s="54">
        <v>27.152000000000001</v>
      </c>
      <c r="H24" s="1228">
        <f t="shared" si="2"/>
        <v>4239.8829999999998</v>
      </c>
      <c r="I24" s="1223">
        <f>IF(C24&gt;0,H24*1000000/M21,"")</f>
        <v>1682.2629441604224</v>
      </c>
      <c r="J24" s="1223">
        <v>1671.6759999999999</v>
      </c>
      <c r="K24" s="2389">
        <f t="shared" si="3"/>
        <v>6.3331316358089069E-3</v>
      </c>
      <c r="L24" s="2209"/>
      <c r="M24" s="2401"/>
      <c r="N24" s="2413"/>
      <c r="O24" s="2209"/>
      <c r="P24" s="2209"/>
      <c r="Q24" s="2209"/>
      <c r="R24" s="2209"/>
      <c r="S24" s="2209"/>
    </row>
    <row r="25" spans="1:19" s="287" customFormat="1">
      <c r="A25" s="2378">
        <v>5682</v>
      </c>
      <c r="B25" s="1816" t="s">
        <v>164</v>
      </c>
      <c r="C25" s="54">
        <v>2805.5120000000002</v>
      </c>
      <c r="D25" s="54">
        <v>1906.6030000000001</v>
      </c>
      <c r="E25" s="54">
        <v>126.107</v>
      </c>
      <c r="F25" s="54">
        <v>201.94800000000001</v>
      </c>
      <c r="G25" s="55">
        <v>64.102999999999994</v>
      </c>
      <c r="H25" s="1228">
        <f t="shared" si="2"/>
        <v>2539.4610000000002</v>
      </c>
      <c r="I25" s="1223">
        <f>IF(C25&gt;0,H25*1000000/M21,"")</f>
        <v>1007.5846759074652</v>
      </c>
      <c r="J25" s="1223">
        <v>988.22799999999995</v>
      </c>
      <c r="K25" s="2389">
        <f t="shared" si="3"/>
        <v>1.9587257098023204E-2</v>
      </c>
      <c r="L25" s="2209"/>
      <c r="M25" s="2401"/>
      <c r="N25" s="2413"/>
      <c r="O25" s="2209"/>
      <c r="P25" s="2209"/>
      <c r="Q25" s="2209"/>
      <c r="R25" s="2209"/>
      <c r="S25" s="2209"/>
    </row>
    <row r="26" spans="1:19" s="287" customFormat="1">
      <c r="A26" s="2379">
        <v>568</v>
      </c>
      <c r="B26" s="1817" t="s">
        <v>211</v>
      </c>
      <c r="C26" s="327">
        <f>SUM(C24:C25)</f>
        <v>7231.3260000000009</v>
      </c>
      <c r="D26" s="327">
        <f>SUM(D24:D25)</f>
        <v>4673.1010000000006</v>
      </c>
      <c r="E26" s="327">
        <f>SUM(E24:E25)</f>
        <v>734.47500000000002</v>
      </c>
      <c r="F26" s="327">
        <f>SUM(F24:F25)</f>
        <v>360.72699999999998</v>
      </c>
      <c r="G26" s="327">
        <f>SUM(G24:G25)</f>
        <v>91.254999999999995</v>
      </c>
      <c r="H26" s="1228">
        <f t="shared" si="2"/>
        <v>6779.344000000001</v>
      </c>
      <c r="I26" s="1223">
        <f>IF(C26&gt;0,H26*1000000/M21,"")</f>
        <v>2689.8476200678879</v>
      </c>
      <c r="J26" s="1223">
        <v>2659.904</v>
      </c>
      <c r="K26" s="2389">
        <f t="shared" si="3"/>
        <v>1.1257406307854673E-2</v>
      </c>
      <c r="L26" s="2209"/>
      <c r="M26" s="2401"/>
      <c r="N26" s="2413"/>
      <c r="O26" s="2209"/>
      <c r="P26" s="2209"/>
      <c r="Q26" s="2209"/>
      <c r="R26" s="2209"/>
      <c r="S26" s="2209"/>
    </row>
    <row r="27" spans="1:19" s="287" customFormat="1">
      <c r="A27" s="2379">
        <v>56999</v>
      </c>
      <c r="B27" s="1812" t="s">
        <v>171</v>
      </c>
      <c r="C27" s="327">
        <f>SUM(C22+C23+C24+C25)</f>
        <v>24112.708000000002</v>
      </c>
      <c r="D27" s="327">
        <f>SUM(D22+D23+D24+D25)</f>
        <v>11544.212</v>
      </c>
      <c r="E27" s="327">
        <f>SUM(E22+E23+E24+E25)</f>
        <v>8071.8010000000004</v>
      </c>
      <c r="F27" s="327">
        <f>SUM(F22+F23+F24+F25)</f>
        <v>820.1339999999999</v>
      </c>
      <c r="G27" s="327">
        <f>SUM(G22+G23+G24+G25)</f>
        <v>176.035</v>
      </c>
      <c r="H27" s="1225"/>
      <c r="I27" s="1226"/>
      <c r="J27" s="1226"/>
      <c r="K27" s="2390"/>
      <c r="L27" s="2209"/>
      <c r="M27" s="2401"/>
      <c r="N27" s="2413"/>
      <c r="O27" s="2209"/>
      <c r="P27" s="2209"/>
      <c r="Q27" s="2209"/>
      <c r="R27" s="2209"/>
      <c r="S27" s="2209"/>
    </row>
    <row r="28" spans="1:19" s="287" customFormat="1" ht="13.5" thickBot="1">
      <c r="A28" s="2380"/>
      <c r="B28" s="2375"/>
      <c r="C28" s="2375"/>
      <c r="D28" s="2375"/>
      <c r="E28" s="2375"/>
      <c r="F28" s="2375"/>
      <c r="G28" s="2375"/>
      <c r="H28" s="2375"/>
      <c r="I28" s="2375"/>
      <c r="J28" s="2375"/>
      <c r="K28" s="2391"/>
      <c r="L28" s="2209"/>
      <c r="M28" s="2401"/>
      <c r="N28" s="2413"/>
      <c r="O28" s="2209"/>
      <c r="P28" s="2209"/>
      <c r="Q28" s="2209"/>
      <c r="R28" s="2209"/>
      <c r="S28" s="2209"/>
    </row>
    <row r="29" spans="1:19" s="287" customFormat="1">
      <c r="A29" s="2381">
        <v>571</v>
      </c>
      <c r="B29" s="1816" t="s">
        <v>172</v>
      </c>
      <c r="C29" s="1814">
        <f>Drift!P81</f>
        <v>3375.35</v>
      </c>
      <c r="D29" s="2070">
        <f>SUM(Drift!C81:D81)</f>
        <v>1149.953</v>
      </c>
      <c r="E29" s="1814">
        <f>Drift!F81</f>
        <v>961.40300000000002</v>
      </c>
      <c r="F29" s="1814">
        <f>Drift!V81</f>
        <v>129.17599999999999</v>
      </c>
      <c r="G29" s="66">
        <v>43.04</v>
      </c>
      <c r="H29" s="1228">
        <f t="shared" ref="H29:H34" si="4">C29-F29-G29</f>
        <v>3203.134</v>
      </c>
      <c r="I29" s="1223">
        <f>IF(C29&gt;0,H29*1000000/M12,"")</f>
        <v>557.85486174642892</v>
      </c>
      <c r="J29" s="1223">
        <v>551.52700000000004</v>
      </c>
      <c r="K29" s="2392">
        <f t="shared" ref="K29:K34" si="5">IF(ISERROR((I29-J29)/J29),"",((I29-J29)/J29))</f>
        <v>1.1473348986412052E-2</v>
      </c>
      <c r="L29" s="2209"/>
      <c r="M29" s="2421"/>
      <c r="N29" s="2422"/>
      <c r="O29" s="2209"/>
      <c r="P29" s="2209"/>
      <c r="Q29" s="2209"/>
      <c r="R29" s="2209"/>
      <c r="S29" s="2209"/>
    </row>
    <row r="30" spans="1:19" s="287" customFormat="1">
      <c r="A30" s="2378">
        <v>575</v>
      </c>
      <c r="B30" s="1816" t="s">
        <v>108</v>
      </c>
      <c r="C30" s="1800">
        <f>Drift!P82</f>
        <v>14988.455999999998</v>
      </c>
      <c r="D30" s="2071">
        <f>SUM(Drift!C82:D82)</f>
        <v>2991.683</v>
      </c>
      <c r="E30" s="1800">
        <f>Drift!F82</f>
        <v>52.002000000000002</v>
      </c>
      <c r="F30" s="1800">
        <f>Drift!V82</f>
        <v>180.98099999999999</v>
      </c>
      <c r="G30" s="54">
        <v>13.436</v>
      </c>
      <c r="H30" s="1228">
        <f t="shared" si="4"/>
        <v>14794.038999999999</v>
      </c>
      <c r="I30" s="1223">
        <f>IF(C30&gt;0,H30*1000000/M30,"")</f>
        <v>1432.4775124184355</v>
      </c>
      <c r="J30" s="1223">
        <v>1387.6579999999999</v>
      </c>
      <c r="K30" s="2389">
        <f t="shared" si="5"/>
        <v>3.2298673317514535E-2</v>
      </c>
      <c r="L30" s="2209"/>
      <c r="M30" s="2404">
        <v>10327589</v>
      </c>
      <c r="N30" s="2420" t="s">
        <v>526</v>
      </c>
      <c r="O30" s="2209"/>
      <c r="P30" s="2209"/>
      <c r="Q30" s="2209"/>
      <c r="R30" s="2209"/>
      <c r="S30" s="2209"/>
    </row>
    <row r="31" spans="1:19" s="287" customFormat="1" ht="13.5" thickBot="1">
      <c r="A31" s="2382">
        <v>580</v>
      </c>
      <c r="B31" s="1818" t="s">
        <v>175</v>
      </c>
      <c r="C31" s="80">
        <f>C12+C21+C29+C30</f>
        <v>51487.781999999992</v>
      </c>
      <c r="D31" s="80">
        <f>D12+D21+D29+D30</f>
        <v>19203.927999999996</v>
      </c>
      <c r="E31" s="80">
        <f>E12+E21+E29+E30</f>
        <v>12228.138000000001</v>
      </c>
      <c r="F31" s="80">
        <f>F12+F21+F29+F30</f>
        <v>1669.088</v>
      </c>
      <c r="G31" s="80">
        <f>G12+G21+G29+G30</f>
        <v>304.30900000000003</v>
      </c>
      <c r="H31" s="1229">
        <f t="shared" si="4"/>
        <v>49514.384999999987</v>
      </c>
      <c r="I31" s="1230">
        <f>IF(C31&gt;0,H31*1000000/M30,"")</f>
        <v>4794.3798886652039</v>
      </c>
      <c r="J31" s="1230">
        <v>4655.4390000000003</v>
      </c>
      <c r="K31" s="2393">
        <f t="shared" si="5"/>
        <v>2.9844852153621516E-2</v>
      </c>
      <c r="L31" s="2209"/>
      <c r="M31" s="2402"/>
      <c r="N31" s="2416"/>
      <c r="O31" s="2209"/>
      <c r="P31" s="2209"/>
      <c r="Q31" s="2209"/>
      <c r="R31" s="2209"/>
      <c r="S31" s="2209"/>
    </row>
    <row r="32" spans="1:19" s="287" customFormat="1">
      <c r="A32" s="2379">
        <v>585</v>
      </c>
      <c r="B32" s="1817" t="s">
        <v>499</v>
      </c>
      <c r="C32" s="1800">
        <f>Drift!P84</f>
        <v>1087.8509999999999</v>
      </c>
      <c r="D32" s="2071">
        <f>SUM(Drift!C84:D84)</f>
        <v>717.92899999999997</v>
      </c>
      <c r="E32" s="1800">
        <f>Drift!F84</f>
        <v>138.732</v>
      </c>
      <c r="F32" s="1800">
        <f>Drift!V84</f>
        <v>31.553999999999998</v>
      </c>
      <c r="G32" s="327">
        <f>SUM(G33:G34)</f>
        <v>63.559000000000005</v>
      </c>
      <c r="H32" s="1228">
        <f t="shared" si="4"/>
        <v>992.73799999999983</v>
      </c>
      <c r="I32" s="1223">
        <f>IF(C32&gt;0,H32*1000000/M32,"")</f>
        <v>455.27831129259783</v>
      </c>
      <c r="J32" s="1223">
        <v>445.86099999999999</v>
      </c>
      <c r="K32" s="2394">
        <f t="shared" si="5"/>
        <v>2.1121630491560923E-2</v>
      </c>
      <c r="L32" s="2209"/>
      <c r="M32" s="2403">
        <v>2180508</v>
      </c>
      <c r="N32" s="2417" t="s">
        <v>527</v>
      </c>
      <c r="O32" s="2209"/>
      <c r="P32" s="2209"/>
      <c r="Q32" s="2209"/>
      <c r="R32" s="2209"/>
      <c r="S32" s="2209"/>
    </row>
    <row r="33" spans="1:19" s="287" customFormat="1">
      <c r="A33" s="2378">
        <v>5851</v>
      </c>
      <c r="B33" s="1816" t="s">
        <v>173</v>
      </c>
      <c r="C33" s="54">
        <v>763.29700000000003</v>
      </c>
      <c r="D33" s="54">
        <v>549.39400000000001</v>
      </c>
      <c r="E33" s="54">
        <v>51.259</v>
      </c>
      <c r="F33" s="54">
        <v>24.02</v>
      </c>
      <c r="G33" s="54">
        <v>31.103000000000002</v>
      </c>
      <c r="H33" s="1228">
        <f t="shared" si="4"/>
        <v>708.17400000000009</v>
      </c>
      <c r="I33" s="1223">
        <f>IF(C33&gt;0,H33*1000000/M33,"")</f>
        <v>324.77477725374092</v>
      </c>
      <c r="J33" s="1223">
        <v>311.31400000000002</v>
      </c>
      <c r="K33" s="2389">
        <f t="shared" si="5"/>
        <v>4.3238586294676432E-2</v>
      </c>
      <c r="L33" s="2209"/>
      <c r="M33" s="2403">
        <v>2180508</v>
      </c>
      <c r="N33" s="2417" t="s">
        <v>527</v>
      </c>
      <c r="O33" s="2209"/>
      <c r="P33" s="2209"/>
      <c r="Q33" s="2209"/>
      <c r="R33" s="2209"/>
      <c r="S33" s="2209"/>
    </row>
    <row r="34" spans="1:19" s="287" customFormat="1">
      <c r="A34" s="2378">
        <v>5855</v>
      </c>
      <c r="B34" s="1816" t="s">
        <v>174</v>
      </c>
      <c r="C34" s="54">
        <v>324.56799999999998</v>
      </c>
      <c r="D34" s="54">
        <v>168.51900000000001</v>
      </c>
      <c r="E34" s="54">
        <v>87.471999999999994</v>
      </c>
      <c r="F34" s="54">
        <v>7.5389999999999997</v>
      </c>
      <c r="G34" s="54">
        <v>32.456000000000003</v>
      </c>
      <c r="H34" s="1228">
        <f t="shared" si="4"/>
        <v>284.57299999999998</v>
      </c>
      <c r="I34" s="1223">
        <f>IF(C34&gt;0,H34*1000000/M34,"")</f>
        <v>42.975419533350788</v>
      </c>
      <c r="J34" s="1223">
        <v>43.713000000000001</v>
      </c>
      <c r="K34" s="2389">
        <f t="shared" si="5"/>
        <v>-1.6873252045140185E-2</v>
      </c>
      <c r="L34" s="2209"/>
      <c r="M34" s="2403">
        <v>6621762</v>
      </c>
      <c r="N34" s="2417" t="s">
        <v>528</v>
      </c>
      <c r="O34" s="2209"/>
      <c r="P34" s="2209"/>
      <c r="Q34" s="2209"/>
      <c r="R34" s="2209"/>
      <c r="S34" s="2209"/>
    </row>
    <row r="35" spans="1:19" s="287" customFormat="1" ht="15" customHeight="1">
      <c r="A35" s="2383">
        <v>58599</v>
      </c>
      <c r="B35" s="1819" t="s">
        <v>524</v>
      </c>
      <c r="C35" s="327">
        <f>SUM(C33:C34)</f>
        <v>1087.865</v>
      </c>
      <c r="D35" s="327">
        <f>SUM(D33:D34)</f>
        <v>717.91300000000001</v>
      </c>
      <c r="E35" s="327">
        <f>SUM(E33:E34)</f>
        <v>138.73099999999999</v>
      </c>
      <c r="F35" s="327">
        <f>SUM(F33:F34)</f>
        <v>31.558999999999997</v>
      </c>
      <c r="G35" s="327">
        <f>SUM(G33:G34)</f>
        <v>63.559000000000005</v>
      </c>
      <c r="H35" s="1231"/>
      <c r="I35" s="1232"/>
      <c r="J35" s="1232"/>
      <c r="K35" s="2389"/>
      <c r="L35" s="2209"/>
      <c r="M35" s="2405"/>
      <c r="N35" s="2418"/>
      <c r="O35" s="2209"/>
      <c r="P35" s="2209"/>
      <c r="Q35" s="2209"/>
      <c r="R35" s="2209"/>
      <c r="S35" s="2209"/>
    </row>
    <row r="36" spans="1:19" s="287" customFormat="1" ht="15" customHeight="1" thickBot="1">
      <c r="A36" s="2380"/>
      <c r="B36" s="2375"/>
      <c r="C36" s="2375"/>
      <c r="D36" s="2375"/>
      <c r="E36" s="2375"/>
      <c r="F36" s="2375"/>
      <c r="G36" s="2375"/>
      <c r="H36" s="2375"/>
      <c r="I36" s="2375"/>
      <c r="J36" s="2375"/>
      <c r="K36" s="2391"/>
      <c r="L36" s="2209"/>
      <c r="M36" s="2406"/>
      <c r="N36" s="2419"/>
      <c r="O36" s="2209"/>
      <c r="P36" s="2209"/>
      <c r="Q36" s="2209"/>
      <c r="R36" s="2209"/>
      <c r="S36" s="2209"/>
    </row>
    <row r="37" spans="1:19" s="287" customFormat="1" ht="16.5" customHeight="1">
      <c r="A37" s="1820"/>
      <c r="B37" s="1820"/>
      <c r="C37" s="72"/>
      <c r="D37" s="72"/>
      <c r="E37" s="72"/>
      <c r="F37" s="1272"/>
      <c r="G37" s="2018"/>
      <c r="H37" s="285"/>
      <c r="I37" s="1821"/>
      <c r="J37" s="1821"/>
      <c r="K37" s="1821"/>
      <c r="L37" s="285"/>
      <c r="M37" s="285"/>
      <c r="N37" s="285"/>
      <c r="O37" s="2209"/>
      <c r="P37" s="2209"/>
      <c r="Q37" s="2209"/>
      <c r="R37" s="2209"/>
      <c r="S37" s="2209"/>
    </row>
    <row r="38" spans="1:19" ht="20.25" customHeight="1">
      <c r="A38" s="1248"/>
      <c r="D38" s="72"/>
      <c r="E38" s="72"/>
      <c r="O38" s="2209"/>
      <c r="P38" s="2209"/>
      <c r="Q38" s="2209"/>
      <c r="R38" s="2209"/>
      <c r="S38" s="2209"/>
    </row>
    <row r="39" spans="1:19" hidden="1"/>
    <row r="40" spans="1:19" hidden="1"/>
    <row r="41" spans="1:19" hidden="1"/>
    <row r="42" spans="1:19" hidden="1"/>
    <row r="43" spans="1:19" hidden="1"/>
    <row r="44" spans="1:19" hidden="1"/>
    <row r="45" spans="1:19" hidden="1"/>
    <row r="46" spans="1:19" hidden="1"/>
    <row r="47" spans="1:19" hidden="1"/>
    <row r="48" spans="1:19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</sheetData>
  <sheetProtection algorithmName="SHA-512" hashValue="MpClq1uk8V9C2ad9FNm4rCkVm66Bny1rxp+1aHkictF1Af4fmz/QYE08RLasCe7x/HDfOY4681P3psXpp9Ca0w==" saltValue="DrT8HMwIcuiO0FF9rbpXkw==" spinCount="100000" sheet="1" objects="1" scenarios="1"/>
  <customSheetViews>
    <customSheetView guid="{27C9E95B-0E2B-454F-B637-1CECC9579A10}" showGridLines="0" hiddenRows="1" hiddenColumns="1" showRuler="0">
      <selection activeCell="E12" sqref="E12"/>
      <pageMargins left="0.31496062992125984" right="0.31496062992125984" top="0.74803149606299213" bottom="0.74803149606299213" header="0.31496062992125984" footer="0.31496062992125984"/>
      <pageSetup paperSize="9" scale="85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>
      <selection activeCell="H34" sqref="H34"/>
      <pageMargins left="0.31496062992125984" right="0.31496062992125984" top="0.74803149606299213" bottom="0.74803149606299213" header="0.31496062992125984" footer="0.31496062992125984"/>
      <pageSetup paperSize="9" scale="85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>
      <selection activeCell="H34" sqref="H34"/>
      <pageMargins left="0.31496062992125984" right="0.31496062992125984" top="0.74803149606299213" bottom="0.74803149606299213" header="0.31496062992125984" footer="0.31496062992125984"/>
      <pageSetup paperSize="9" scale="85" orientation="landscape" r:id="rId3"/>
      <headerFooter>
        <oddHeader>&amp;L&amp;8Statistiska Centralbyrån
Offentlig ekonomi&amp;R&amp;P</oddHeader>
      </headerFooter>
    </customSheetView>
  </customSheetViews>
  <mergeCells count="6">
    <mergeCell ref="K4:K6"/>
    <mergeCell ref="D9:D11"/>
    <mergeCell ref="D6:D8"/>
    <mergeCell ref="E6:E8"/>
    <mergeCell ref="F6:F8"/>
    <mergeCell ref="G6:G8"/>
  </mergeCells>
  <phoneticPr fontId="87" type="noConversion"/>
  <conditionalFormatting sqref="G14:G17 G23:G25 G29:G30 C13:F17 C22:F25 C33:G34">
    <cfRule type="cellIs" dxfId="1" priority="25" stopIfTrue="1" operator="lessThan">
      <formula>-500</formula>
    </cfRule>
    <cfRule type="cellIs" dxfId="0" priority="26" stopIfTrue="1" operator="lessThan">
      <formula>0</formula>
    </cfRule>
  </conditionalFormatting>
  <dataValidations count="1">
    <dataValidation type="decimal" operator="lessThan" allowBlank="1" showInputMessage="1" showErrorMessage="1" error="Beloppet ska vara i 1000 tal kronor" sqref="G14:G17 G23:G25 G29:G30 C13:F17 C22:F25 C33:G34">
      <formula1>99999999</formula1>
    </dataValidation>
  </dataValidations>
  <pageMargins left="0.31496062992125984" right="0.31496062992125984" top="0.74803149606299213" bottom="0.74803149606299213" header="0.31496062992125984" footer="0.31496062992125984"/>
  <pageSetup paperSize="9" scale="79" orientation="landscape" r:id="rId4"/>
  <headerFooter>
    <oddHeader>&amp;L&amp;8Statistiska Centralbyrån
Offentlig ekonomi&amp;R&amp;P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FFFF00"/>
  </sheetPr>
  <dimension ref="A1:L74"/>
  <sheetViews>
    <sheetView showGridLines="0" zoomScaleNormal="100" workbookViewId="0">
      <pane ySplit="1" topLeftCell="A2" activePane="bottomLeft" state="frozen"/>
      <selection activeCell="F36" sqref="F36"/>
      <selection pane="bottomLeft"/>
    </sheetView>
  </sheetViews>
  <sheetFormatPr defaultColWidth="0" defaultRowHeight="12.75" customHeight="1" zeroHeight="1"/>
  <cols>
    <col min="1" max="1" width="4" style="170" customWidth="1"/>
    <col min="2" max="2" width="42.28515625" style="170" customWidth="1"/>
    <col min="3" max="3" width="11.5703125" style="170" customWidth="1"/>
    <col min="4" max="4" width="11.7109375" style="170" customWidth="1"/>
    <col min="5" max="5" width="12.140625" style="170" customWidth="1"/>
    <col min="6" max="6" width="5.7109375" style="170" customWidth="1"/>
    <col min="7" max="7" width="24" style="170" customWidth="1"/>
    <col min="8" max="8" width="15" style="170" customWidth="1"/>
    <col min="9" max="9" width="8.7109375" style="170" customWidth="1"/>
    <col min="10" max="10" width="9.140625" style="170" customWidth="1"/>
    <col min="11" max="11" width="10.140625" style="170" customWidth="1"/>
    <col min="12" max="12" width="0" style="170" hidden="1" customWidth="1"/>
    <col min="13" max="16384" width="9.140625" style="170" hidden="1"/>
  </cols>
  <sheetData>
    <row r="1" spans="1:11" ht="21.75">
      <c r="A1" s="77" t="str">
        <f>"Resultaträkning "&amp;År&amp;", miljoner kr"</f>
        <v>Resultaträkning 2019, miljoner kr</v>
      </c>
      <c r="B1" s="78"/>
      <c r="C1" s="78"/>
      <c r="D1" s="78"/>
      <c r="E1" s="78"/>
      <c r="F1" s="514" t="s">
        <v>466</v>
      </c>
      <c r="G1" s="515" t="str">
        <f>'Kn Information'!A2</f>
        <v>RIKSTOTAL</v>
      </c>
      <c r="H1" s="169"/>
      <c r="I1" s="169"/>
      <c r="J1" s="169"/>
      <c r="K1" s="169"/>
    </row>
    <row r="2" spans="1:11" ht="12.75" customHeight="1">
      <c r="A2" s="2209"/>
      <c r="B2" s="2209"/>
      <c r="C2" s="2209"/>
      <c r="D2" s="2209"/>
      <c r="E2" s="2209"/>
      <c r="F2" s="2209"/>
      <c r="G2" s="2209"/>
      <c r="H2" s="2209"/>
      <c r="I2" s="2209"/>
      <c r="J2" s="2209"/>
      <c r="K2" s="2209"/>
    </row>
    <row r="3" spans="1:11" ht="12.75" customHeight="1" thickBot="1">
      <c r="A3" s="2209"/>
      <c r="B3" s="2209"/>
      <c r="C3" s="2209"/>
      <c r="D3" s="2209"/>
      <c r="E3" s="2209"/>
      <c r="F3" s="2209"/>
      <c r="G3" s="2209"/>
      <c r="H3" s="2209"/>
      <c r="I3" s="2209"/>
      <c r="J3" s="2209"/>
      <c r="K3" s="2209"/>
    </row>
    <row r="4" spans="1:11" ht="12.75" customHeight="1">
      <c r="A4" s="605" t="s">
        <v>634</v>
      </c>
      <c r="B4" s="606"/>
      <c r="C4" s="616" t="s">
        <v>636</v>
      </c>
      <c r="D4" s="617" t="s">
        <v>752</v>
      </c>
      <c r="G4" s="4"/>
      <c r="H4" s="4"/>
      <c r="I4" s="2425" t="s">
        <v>470</v>
      </c>
      <c r="J4" s="2431"/>
      <c r="K4" s="171"/>
    </row>
    <row r="5" spans="1:11" ht="12.75" customHeight="1">
      <c r="A5" s="607" t="s">
        <v>637</v>
      </c>
      <c r="B5" s="608"/>
      <c r="C5" s="618" t="s">
        <v>1219</v>
      </c>
      <c r="D5" s="619" t="s">
        <v>1219</v>
      </c>
      <c r="E5" s="2"/>
      <c r="F5" s="4"/>
      <c r="G5" s="4"/>
      <c r="H5" s="4"/>
      <c r="I5" s="622" t="s">
        <v>636</v>
      </c>
      <c r="J5" s="623" t="s">
        <v>752</v>
      </c>
      <c r="K5" s="171"/>
    </row>
    <row r="6" spans="1:11" ht="12.75" customHeight="1">
      <c r="A6" s="607"/>
      <c r="B6" s="609"/>
      <c r="C6" s="608"/>
      <c r="D6" s="620"/>
      <c r="E6" s="2"/>
      <c r="F6" s="4"/>
      <c r="G6" s="4"/>
      <c r="H6" s="4"/>
      <c r="I6" s="624"/>
      <c r="J6" s="625"/>
      <c r="K6" s="171"/>
    </row>
    <row r="7" spans="1:11">
      <c r="A7" s="590" t="s">
        <v>286</v>
      </c>
      <c r="B7" s="610" t="s">
        <v>765</v>
      </c>
      <c r="C7" s="175">
        <v>160557.48699999999</v>
      </c>
      <c r="D7" s="176">
        <v>314869.58199999999</v>
      </c>
      <c r="E7" s="179"/>
      <c r="F7" s="67"/>
      <c r="G7" s="67"/>
      <c r="H7" s="4"/>
      <c r="I7" s="626">
        <f>C7*1000/invanare</f>
        <v>15546.463651874605</v>
      </c>
      <c r="J7" s="627">
        <f t="shared" ref="I7:J12" si="0">D7*1000/invanare</f>
        <v>30488.198358784419</v>
      </c>
      <c r="K7" s="171"/>
    </row>
    <row r="8" spans="1:11">
      <c r="A8" s="588" t="s">
        <v>287</v>
      </c>
      <c r="B8" s="610" t="s">
        <v>766</v>
      </c>
      <c r="C8" s="175">
        <v>712859.95</v>
      </c>
      <c r="D8" s="176">
        <v>814119.37</v>
      </c>
      <c r="E8" s="179"/>
      <c r="F8" s="67"/>
      <c r="G8" s="67"/>
      <c r="H8" s="4"/>
      <c r="I8" s="628">
        <f>C8*1000/invanare*-1</f>
        <v>-69024.817893121042</v>
      </c>
      <c r="J8" s="627">
        <f>D8*1000/invanare*-1</f>
        <v>-78829.567094507729</v>
      </c>
      <c r="K8" s="171"/>
    </row>
    <row r="9" spans="1:11">
      <c r="A9" s="588" t="s">
        <v>288</v>
      </c>
      <c r="B9" s="610" t="s">
        <v>1005</v>
      </c>
      <c r="C9" s="66">
        <v>26221.275000000001</v>
      </c>
      <c r="D9" s="177">
        <v>58425.078000000001</v>
      </c>
      <c r="E9" s="179"/>
      <c r="F9" s="67"/>
      <c r="G9" s="67"/>
      <c r="H9" s="4"/>
      <c r="I9" s="626">
        <f>C9*1000/invanare*-1</f>
        <v>-2538.9541547402787</v>
      </c>
      <c r="J9" s="627">
        <f>D9*1000/invanare*-1</f>
        <v>-5657.1846536495596</v>
      </c>
      <c r="K9" s="171"/>
    </row>
    <row r="10" spans="1:11" ht="13.5" thickBot="1">
      <c r="A10" s="581" t="s">
        <v>289</v>
      </c>
      <c r="B10" s="611" t="s">
        <v>638</v>
      </c>
      <c r="C10" s="342">
        <f>C7-SUM(C8:C9)</f>
        <v>-578523.73800000001</v>
      </c>
      <c r="D10" s="343">
        <f>D7-SUM(D8:D9)</f>
        <v>-557674.86599999992</v>
      </c>
      <c r="E10" s="180"/>
      <c r="F10" s="67"/>
      <c r="G10" s="67"/>
      <c r="H10" s="4"/>
      <c r="I10" s="629">
        <f t="shared" si="0"/>
        <v>-56017.308395986714</v>
      </c>
      <c r="J10" s="627">
        <f t="shared" si="0"/>
        <v>-53998.553389372864</v>
      </c>
      <c r="K10" s="171"/>
    </row>
    <row r="11" spans="1:11">
      <c r="A11" s="612" t="s">
        <v>290</v>
      </c>
      <c r="B11" s="613" t="s">
        <v>639</v>
      </c>
      <c r="C11" s="97">
        <f>'Skatter, bidrag o fin poster'!D14</f>
        <v>483847.54800000001</v>
      </c>
      <c r="D11" s="1233">
        <f>C11</f>
        <v>483847.54800000001</v>
      </c>
      <c r="E11" s="180"/>
      <c r="F11" s="67"/>
      <c r="G11" s="67"/>
      <c r="H11" s="4"/>
      <c r="I11" s="630">
        <f t="shared" si="0"/>
        <v>46850.000324373868</v>
      </c>
      <c r="J11" s="631">
        <f t="shared" si="0"/>
        <v>46850.000324373868</v>
      </c>
      <c r="K11" s="171"/>
    </row>
    <row r="12" spans="1:11">
      <c r="A12" s="588" t="s">
        <v>291</v>
      </c>
      <c r="B12" s="2048" t="s">
        <v>1125</v>
      </c>
      <c r="C12" s="98">
        <f>'Skatter, bidrag o fin poster'!D28-'Skatter, bidrag o fin poster'!D39+'Skatter, bidrag o fin poster'!D41</f>
        <v>101775.75</v>
      </c>
      <c r="D12" s="1234">
        <f>C12</f>
        <v>101775.75</v>
      </c>
      <c r="E12" s="180"/>
      <c r="F12" s="67"/>
      <c r="G12" s="67"/>
      <c r="H12" s="4"/>
      <c r="I12" s="626">
        <f t="shared" si="0"/>
        <v>9854.7444132410765</v>
      </c>
      <c r="J12" s="632">
        <f t="shared" si="0"/>
        <v>9854.7444132410765</v>
      </c>
      <c r="K12" s="171"/>
    </row>
    <row r="13" spans="1:11" ht="13.5" thickBot="1">
      <c r="A13" s="592" t="s">
        <v>305</v>
      </c>
      <c r="B13" s="2049" t="s">
        <v>1199</v>
      </c>
      <c r="C13" s="342">
        <f>SUM(C10:C12)</f>
        <v>7099.5599999999977</v>
      </c>
      <c r="D13" s="343">
        <f>SUM(D10:D12)</f>
        <v>27948.432000000088</v>
      </c>
      <c r="E13" s="180"/>
      <c r="F13" s="67"/>
      <c r="G13" s="67"/>
      <c r="H13" s="4"/>
      <c r="I13" s="629">
        <f t="shared" ref="I13" si="1">C13*1000/invanare</f>
        <v>687.43634162823469</v>
      </c>
      <c r="J13" s="636">
        <f t="shared" ref="J13" si="2">D13*1000/invanare</f>
        <v>2706.1913482420814</v>
      </c>
      <c r="K13" s="171"/>
    </row>
    <row r="14" spans="1:11">
      <c r="A14" s="588" t="s">
        <v>292</v>
      </c>
      <c r="B14" s="610" t="s">
        <v>640</v>
      </c>
      <c r="C14" s="175">
        <v>15924.868</v>
      </c>
      <c r="D14" s="1869">
        <v>9157.9670000000006</v>
      </c>
      <c r="E14" s="179"/>
      <c r="F14" s="75"/>
      <c r="G14" s="67"/>
      <c r="H14" s="4"/>
      <c r="I14" s="2432">
        <f>(C14-C15)*1000/invanare</f>
        <v>948.16960667199282</v>
      </c>
      <c r="J14" s="2434">
        <f>(D14-D15)*1000/invanare</f>
        <v>-86.056193754418274</v>
      </c>
      <c r="K14" s="171"/>
    </row>
    <row r="15" spans="1:11">
      <c r="A15" s="590" t="s">
        <v>293</v>
      </c>
      <c r="B15" s="614" t="s">
        <v>641</v>
      </c>
      <c r="C15" s="175">
        <v>6132.5619999999999</v>
      </c>
      <c r="D15" s="1869">
        <v>10046.719999999999</v>
      </c>
      <c r="E15" s="179"/>
      <c r="F15" s="75"/>
      <c r="G15" s="67"/>
      <c r="H15" s="4"/>
      <c r="I15" s="2433"/>
      <c r="J15" s="2435"/>
      <c r="K15" s="171"/>
    </row>
    <row r="16" spans="1:11" ht="13.5" thickBot="1">
      <c r="A16" s="541" t="s">
        <v>294</v>
      </c>
      <c r="B16" s="615" t="s">
        <v>1126</v>
      </c>
      <c r="C16" s="342">
        <f>SUM(C13:C14)-C15</f>
        <v>16891.866000000002</v>
      </c>
      <c r="D16" s="354">
        <f>SUM(D13:D14)-D15</f>
        <v>27059.679000000091</v>
      </c>
      <c r="E16" s="180"/>
      <c r="G16" s="2209"/>
      <c r="H16" s="4"/>
      <c r="I16" s="629">
        <f>C16*1000/invanare</f>
        <v>1635.6059483002277</v>
      </c>
      <c r="J16" s="636">
        <f>D16*1000/invanare</f>
        <v>2620.1351544876629</v>
      </c>
      <c r="K16" s="171"/>
    </row>
    <row r="17" spans="1:11">
      <c r="A17" s="612" t="s">
        <v>331</v>
      </c>
      <c r="B17" s="613" t="s">
        <v>1127</v>
      </c>
      <c r="C17" s="175">
        <v>1759.665</v>
      </c>
      <c r="D17" s="1869">
        <v>-182.31800000000001</v>
      </c>
      <c r="E17" s="2209"/>
      <c r="F17" s="171"/>
      <c r="G17" s="2209"/>
      <c r="H17" s="4"/>
      <c r="I17" s="2174">
        <f>(C17)*1000/invanare</f>
        <v>170.38487879407285</v>
      </c>
      <c r="J17" s="2175">
        <f>(D17-D18)*1000/invanare</f>
        <v>-17.65349105197738</v>
      </c>
      <c r="K17" s="171"/>
    </row>
    <row r="18" spans="1:11">
      <c r="A18" s="588" t="s">
        <v>295</v>
      </c>
      <c r="B18" s="614" t="s">
        <v>631</v>
      </c>
      <c r="C18" s="341"/>
      <c r="D18" s="2182"/>
      <c r="E18" s="2209"/>
      <c r="F18" s="171"/>
      <c r="G18" s="2209"/>
      <c r="H18" s="172"/>
      <c r="I18" s="634"/>
      <c r="J18" s="635"/>
      <c r="K18" s="171"/>
    </row>
    <row r="19" spans="1:11" ht="13.5" thickBot="1">
      <c r="A19" s="581" t="s">
        <v>219</v>
      </c>
      <c r="B19" s="611" t="s">
        <v>642</v>
      </c>
      <c r="C19" s="342">
        <f>SUM(C16:C17)</f>
        <v>18651.531000000003</v>
      </c>
      <c r="D19" s="354">
        <f>SUM(D16:D17)-D18</f>
        <v>26877.361000000092</v>
      </c>
      <c r="E19" s="2209"/>
      <c r="F19" s="171"/>
      <c r="G19" s="2209"/>
      <c r="H19" s="4"/>
      <c r="I19" s="629">
        <f>C19*1000/invanare</f>
        <v>1805.9908270943008</v>
      </c>
      <c r="J19" s="636">
        <f>D19*1000/invanare</f>
        <v>2602.4816634356862</v>
      </c>
      <c r="K19" s="171"/>
    </row>
    <row r="20" spans="1:11" ht="15.75" customHeight="1">
      <c r="A20" s="16"/>
      <c r="B20" s="3"/>
      <c r="C20" s="3"/>
      <c r="D20" s="3"/>
      <c r="E20" s="2209"/>
      <c r="F20" s="173"/>
      <c r="G20" s="2209"/>
      <c r="H20" s="4"/>
      <c r="I20" s="4"/>
      <c r="J20" s="4"/>
      <c r="K20" s="171"/>
    </row>
    <row r="21" spans="1:11" ht="15.75" customHeight="1" thickBot="1">
      <c r="A21" s="74" t="s">
        <v>1107</v>
      </c>
      <c r="B21" s="3"/>
      <c r="C21" s="3"/>
      <c r="D21" s="3"/>
      <c r="E21" s="2209"/>
      <c r="F21" s="173"/>
      <c r="G21" s="2209"/>
      <c r="H21" s="4"/>
      <c r="I21" s="4"/>
      <c r="J21" s="4"/>
      <c r="K21" s="171"/>
    </row>
    <row r="22" spans="1:11" ht="15.75" customHeight="1">
      <c r="A22" s="612"/>
      <c r="B22" s="1979"/>
      <c r="C22" s="1981" t="s">
        <v>1220</v>
      </c>
      <c r="D22" s="3"/>
      <c r="E22" s="2209"/>
      <c r="F22" s="173"/>
      <c r="G22" s="2209"/>
      <c r="H22" s="4"/>
      <c r="I22" s="4"/>
      <c r="J22" s="4"/>
      <c r="K22" s="171"/>
    </row>
    <row r="23" spans="1:11" ht="15.75" customHeight="1">
      <c r="A23" s="590" t="s">
        <v>350</v>
      </c>
      <c r="B23" s="1980" t="s">
        <v>1118</v>
      </c>
      <c r="C23" s="1987">
        <v>5690.2349999999997</v>
      </c>
      <c r="D23" s="3"/>
      <c r="E23" s="2209"/>
      <c r="F23" s="173"/>
      <c r="G23" s="2209"/>
      <c r="H23" s="4"/>
      <c r="I23" s="4"/>
      <c r="J23" s="4"/>
      <c r="K23" s="171"/>
    </row>
    <row r="24" spans="1:11" ht="15.75" customHeight="1">
      <c r="A24" s="590" t="s">
        <v>659</v>
      </c>
      <c r="B24" s="1980" t="s">
        <v>1119</v>
      </c>
      <c r="C24" s="1987">
        <v>2492.069</v>
      </c>
      <c r="D24" s="3"/>
      <c r="E24" s="2209"/>
      <c r="F24" s="173"/>
      <c r="G24" s="2209"/>
      <c r="H24" s="4"/>
      <c r="I24" s="4"/>
      <c r="J24" s="4"/>
      <c r="K24" s="171"/>
    </row>
    <row r="25" spans="1:11" ht="15.75" customHeight="1">
      <c r="A25" s="590" t="s">
        <v>1108</v>
      </c>
      <c r="B25" s="1980" t="s">
        <v>1120</v>
      </c>
      <c r="C25" s="1987">
        <v>271.43700000000001</v>
      </c>
      <c r="D25" s="3"/>
      <c r="E25" s="2209"/>
      <c r="F25" s="173"/>
      <c r="G25" s="2209"/>
      <c r="H25" s="4"/>
      <c r="I25" s="4"/>
      <c r="J25" s="4"/>
      <c r="K25" s="171"/>
    </row>
    <row r="26" spans="1:11" ht="15.75" customHeight="1">
      <c r="A26" s="590" t="s">
        <v>1109</v>
      </c>
      <c r="B26" s="1980" t="s">
        <v>1121</v>
      </c>
      <c r="C26" s="1987">
        <v>2262.2399999999998</v>
      </c>
      <c r="D26" s="3"/>
      <c r="E26" s="2209"/>
      <c r="F26" s="173"/>
      <c r="G26" s="2209"/>
      <c r="H26" s="4"/>
      <c r="I26" s="4"/>
      <c r="J26" s="4"/>
      <c r="K26" s="171"/>
    </row>
    <row r="27" spans="1:11" ht="15.75" customHeight="1" thickBot="1">
      <c r="A27" s="592" t="s">
        <v>1110</v>
      </c>
      <c r="B27" s="1982" t="s">
        <v>1122</v>
      </c>
      <c r="C27" s="1988">
        <v>312.31400000000002</v>
      </c>
      <c r="D27" s="3"/>
      <c r="E27" s="2209"/>
      <c r="F27" s="173"/>
      <c r="G27" s="2209"/>
      <c r="H27" s="4"/>
      <c r="I27" s="4"/>
      <c r="J27" s="4"/>
      <c r="K27" s="171"/>
    </row>
    <row r="28" spans="1:11" ht="15.75" customHeight="1" thickBot="1">
      <c r="A28" s="16"/>
      <c r="B28" s="3"/>
      <c r="C28" s="3"/>
      <c r="D28" s="3"/>
      <c r="E28" s="2"/>
      <c r="F28" s="173"/>
      <c r="G28" s="2209"/>
      <c r="H28" s="4"/>
      <c r="I28" s="4"/>
      <c r="J28" s="4"/>
      <c r="K28" s="171"/>
    </row>
    <row r="29" spans="1:11" ht="18" customHeight="1" thickBot="1">
      <c r="A29" s="74" t="s">
        <v>149</v>
      </c>
      <c r="B29" s="4"/>
      <c r="C29" s="4"/>
      <c r="D29" s="4"/>
      <c r="E29" s="4"/>
      <c r="F29" s="4"/>
      <c r="G29" s="2209"/>
      <c r="H29" s="4"/>
      <c r="I29" s="637" t="s">
        <v>470</v>
      </c>
      <c r="J29" s="174"/>
      <c r="K29" s="171"/>
    </row>
    <row r="30" spans="1:11">
      <c r="A30" s="123">
        <v>130</v>
      </c>
      <c r="B30" s="1478" t="s">
        <v>150</v>
      </c>
      <c r="C30" s="344">
        <f>C19</f>
        <v>18651.531000000003</v>
      </c>
      <c r="D30" s="4"/>
      <c r="E30" s="4"/>
      <c r="F30" s="4"/>
      <c r="G30" s="2209"/>
      <c r="H30" s="4"/>
      <c r="I30" s="638">
        <f>C30*1000/invanare</f>
        <v>1805.9908270943008</v>
      </c>
      <c r="J30" s="172"/>
      <c r="K30" s="171"/>
    </row>
    <row r="31" spans="1:11">
      <c r="A31" s="124">
        <v>131</v>
      </c>
      <c r="B31" s="621" t="str">
        <f>"- reducering av samtliga realisationsvinster"</f>
        <v>- reducering av samtliga realisationsvinster</v>
      </c>
      <c r="C31" s="99">
        <v>5701.2640000000001</v>
      </c>
      <c r="D31" s="179"/>
      <c r="E31" s="4"/>
      <c r="F31" s="4"/>
      <c r="G31" s="2209"/>
      <c r="H31" s="4"/>
      <c r="I31" s="639"/>
      <c r="J31" s="172"/>
      <c r="K31" s="171"/>
    </row>
    <row r="32" spans="1:11">
      <c r="A32" s="124">
        <v>132</v>
      </c>
      <c r="B32" s="621" t="str">
        <f>"+ justering för realisationsvinster enl. undantagsmöjlighet"</f>
        <v>+ justering för realisationsvinster enl. undantagsmöjlighet</v>
      </c>
      <c r="C32" s="99">
        <v>185.19399999999999</v>
      </c>
      <c r="D32" s="179"/>
      <c r="E32" s="4"/>
      <c r="G32" s="2209"/>
      <c r="H32" s="4"/>
      <c r="I32" s="641"/>
      <c r="J32" s="172"/>
      <c r="K32" s="171"/>
    </row>
    <row r="33" spans="1:11">
      <c r="A33" s="124">
        <v>135</v>
      </c>
      <c r="B33" s="621" t="str">
        <f>"+ justering av realisationsförluster enl. undantagsmöjlighet"</f>
        <v>+ justering av realisationsförluster enl. undantagsmöjlighet</v>
      </c>
      <c r="C33" s="178">
        <v>332.33699999999999</v>
      </c>
      <c r="D33" s="179"/>
      <c r="E33" s="4"/>
      <c r="F33" s="4"/>
      <c r="G33" s="2209"/>
      <c r="H33" s="4"/>
      <c r="I33" s="1284"/>
      <c r="J33" s="172"/>
      <c r="K33" s="171"/>
    </row>
    <row r="34" spans="1:11" ht="13.5" customHeight="1">
      <c r="A34" s="2184">
        <v>136</v>
      </c>
      <c r="B34" s="621" t="str">
        <f>"+/- orealiserade vinster och förluster i värdepapper"</f>
        <v>+/- orealiserade vinster och förluster i värdepapper</v>
      </c>
      <c r="C34" s="178">
        <v>-2790.3020000000001</v>
      </c>
      <c r="D34" s="179"/>
      <c r="E34" s="4"/>
      <c r="F34" s="4"/>
      <c r="G34" s="2209"/>
      <c r="H34" s="4"/>
      <c r="I34" s="641"/>
      <c r="J34" s="172"/>
      <c r="K34" s="171"/>
    </row>
    <row r="35" spans="1:11" ht="12.75" customHeight="1">
      <c r="A35" s="565">
        <v>140</v>
      </c>
      <c r="B35" s="614" t="str">
        <f>"-/+ återföring av orealiserade vinster och förluster i värdepapper"</f>
        <v>-/+ återföring av orealiserade vinster och förluster i värdepapper</v>
      </c>
      <c r="C35" s="178">
        <v>103.258</v>
      </c>
      <c r="D35" s="179"/>
      <c r="E35" s="4"/>
      <c r="F35" s="4"/>
      <c r="H35" s="4"/>
      <c r="I35" s="641"/>
      <c r="J35" s="4"/>
      <c r="K35" s="171"/>
    </row>
    <row r="36" spans="1:11" ht="12.75" customHeight="1">
      <c r="A36" s="1419">
        <v>141</v>
      </c>
      <c r="B36" s="1277" t="str">
        <f xml:space="preserve"> " = Årets resultat efter balanskravsjusteringar"</f>
        <v xml:space="preserve"> = Årets resultat efter balanskravsjusteringar</v>
      </c>
      <c r="C36" s="345">
        <f>C30-C31+C32+C33+C34+C35</f>
        <v>10780.754000000003</v>
      </c>
      <c r="D36" s="179"/>
      <c r="E36" s="4"/>
      <c r="F36" s="4"/>
      <c r="G36" s="1249"/>
      <c r="H36" s="4"/>
      <c r="I36" s="641"/>
      <c r="J36" s="4"/>
      <c r="K36" s="171"/>
    </row>
    <row r="37" spans="1:11" ht="13.5" customHeight="1">
      <c r="A37" s="577">
        <v>142</v>
      </c>
      <c r="B37" s="610" t="str">
        <f>"- reservering av medel till resultatutjämningsreserv"</f>
        <v>- reservering av medel till resultatutjämningsreserv</v>
      </c>
      <c r="C37" s="178">
        <v>1537.9929999999999</v>
      </c>
      <c r="D37" s="179"/>
      <c r="E37" s="4"/>
      <c r="F37" s="4"/>
      <c r="G37" s="1249"/>
      <c r="H37" s="4"/>
      <c r="I37" s="641"/>
      <c r="J37" s="4"/>
      <c r="K37" s="171"/>
    </row>
    <row r="38" spans="1:11" ht="12.75" customHeight="1">
      <c r="A38" s="565">
        <v>143</v>
      </c>
      <c r="B38" s="614" t="str">
        <f>"+ användning av medel från resultatutjämninsreserv"</f>
        <v>+ användning av medel från resultatutjämninsreserv</v>
      </c>
      <c r="C38" s="178">
        <v>257.45400000000001</v>
      </c>
      <c r="D38" s="179"/>
      <c r="E38" s="4"/>
      <c r="F38" s="4"/>
      <c r="G38" s="1249"/>
      <c r="H38" s="4"/>
      <c r="I38" s="641"/>
      <c r="J38" s="4"/>
      <c r="K38" s="171"/>
    </row>
    <row r="39" spans="1:11" ht="12.75" customHeight="1">
      <c r="A39" s="125">
        <v>133</v>
      </c>
      <c r="B39" s="1277" t="str">
        <f>"= Balanskravsresultat"</f>
        <v>= Balanskravsresultat</v>
      </c>
      <c r="C39" s="345">
        <f>C36-C37+C38</f>
        <v>9500.215000000002</v>
      </c>
      <c r="D39" s="179"/>
      <c r="E39" s="4"/>
      <c r="F39" s="4"/>
      <c r="G39" s="1250"/>
      <c r="H39" s="4"/>
      <c r="I39" s="1704">
        <f>C39*1000/invanare</f>
        <v>919.88701331937216</v>
      </c>
      <c r="J39" s="4"/>
      <c r="K39" s="171"/>
    </row>
    <row r="40" spans="1:11" ht="33" customHeight="1">
      <c r="A40" s="1639"/>
      <c r="B40" s="1640" t="s">
        <v>990</v>
      </c>
      <c r="C40" s="736"/>
      <c r="D40" s="4"/>
      <c r="E40" s="4"/>
      <c r="F40" s="4"/>
      <c r="G40" s="1250"/>
      <c r="H40" s="4"/>
      <c r="I40" s="641"/>
      <c r="J40" s="4"/>
      <c r="K40" s="171"/>
    </row>
    <row r="41" spans="1:11" ht="12.75" customHeight="1">
      <c r="A41" s="1505">
        <v>144</v>
      </c>
      <c r="B41" s="1479" t="s">
        <v>991</v>
      </c>
      <c r="C41" s="1480">
        <v>193.35400000000001</v>
      </c>
      <c r="D41" s="4"/>
      <c r="E41" s="4"/>
      <c r="F41" s="4"/>
      <c r="G41" s="1250"/>
      <c r="H41" s="4"/>
      <c r="I41" s="641"/>
      <c r="J41" s="4"/>
      <c r="K41" s="171"/>
    </row>
    <row r="42" spans="1:11" ht="12.75" customHeight="1">
      <c r="A42" s="565">
        <v>145</v>
      </c>
      <c r="B42" s="1481" t="s">
        <v>992</v>
      </c>
      <c r="C42" s="178">
        <v>615.17999999999995</v>
      </c>
      <c r="D42" s="179"/>
      <c r="E42" s="4"/>
      <c r="F42" s="4"/>
      <c r="G42" s="1250"/>
      <c r="H42" s="4"/>
      <c r="I42" s="640"/>
      <c r="J42" s="4"/>
      <c r="K42" s="171"/>
    </row>
    <row r="43" spans="1:11" ht="13.5" customHeight="1" thickBot="1">
      <c r="A43" s="574">
        <v>146</v>
      </c>
      <c r="B43" s="1482" t="str">
        <f>"= Resultat efter synnerliga skäl m.m."</f>
        <v>= Resultat efter synnerliga skäl m.m.</v>
      </c>
      <c r="C43" s="343">
        <f>C39-C41+C42</f>
        <v>9922.0410000000029</v>
      </c>
      <c r="D43" s="1258"/>
      <c r="E43" s="4"/>
      <c r="F43" s="4"/>
      <c r="G43" s="1250"/>
      <c r="H43" s="4"/>
      <c r="I43" s="642">
        <f>C43*1000/invanare</f>
        <v>960.73158991900277</v>
      </c>
      <c r="J43" s="4"/>
      <c r="K43" s="171"/>
    </row>
    <row r="44" spans="1:11" ht="21.75" customHeight="1" thickBot="1">
      <c r="A44" s="1525">
        <v>137</v>
      </c>
      <c r="B44" s="1484" t="s">
        <v>993</v>
      </c>
      <c r="C44" s="1483">
        <v>229.28200000000001</v>
      </c>
      <c r="D44" s="1390"/>
      <c r="E44" s="4"/>
      <c r="F44" s="4"/>
      <c r="G44" s="4"/>
      <c r="H44" s="4"/>
      <c r="I44" s="4"/>
      <c r="J44" s="4"/>
      <c r="K44" s="171"/>
    </row>
    <row r="45" spans="1:11" ht="12.75" customHeight="1">
      <c r="A45" s="171"/>
      <c r="B45" s="171"/>
      <c r="C45" s="171"/>
      <c r="D45" s="4"/>
      <c r="E45" s="4"/>
      <c r="F45" s="4"/>
      <c r="G45" s="643" t="s">
        <v>529</v>
      </c>
      <c r="H45" s="644"/>
      <c r="I45" s="2425" t="s">
        <v>145</v>
      </c>
      <c r="J45" s="2426"/>
      <c r="K45" s="171"/>
    </row>
    <row r="46" spans="1:11" ht="21.75" customHeight="1">
      <c r="A46" s="171"/>
      <c r="B46" s="171"/>
      <c r="C46" s="171"/>
      <c r="D46" s="4"/>
      <c r="E46" s="4"/>
      <c r="F46" s="171"/>
      <c r="G46" s="645"/>
      <c r="H46" s="646"/>
      <c r="I46" s="647" t="s">
        <v>636</v>
      </c>
      <c r="J46" s="648" t="s">
        <v>752</v>
      </c>
      <c r="K46" s="171"/>
    </row>
    <row r="47" spans="1:11" ht="19.5" customHeight="1">
      <c r="A47" s="171"/>
      <c r="B47" s="171"/>
      <c r="C47" s="171"/>
      <c r="D47" s="171"/>
      <c r="E47" s="171"/>
      <c r="F47" s="171"/>
      <c r="G47" s="2427" t="s">
        <v>539</v>
      </c>
      <c r="H47" s="2428"/>
      <c r="I47" s="626">
        <f>IF(ISERROR(C10*100/SUM(C11:C12)*-1),0,C10*100/SUM(C11:C12)*-1)</f>
        <v>98.787691674110974</v>
      </c>
      <c r="J47" s="649">
        <f>IF(ISERROR(D10*100/SUM(D11:D12)*-1),0,D10*100/SUM(D11:D12)*-1)</f>
        <v>95.227575116043283</v>
      </c>
      <c r="K47" s="171"/>
    </row>
    <row r="48" spans="1:11" ht="15" customHeight="1">
      <c r="A48" s="4"/>
      <c r="B48" s="4"/>
      <c r="C48" s="4"/>
      <c r="D48" s="171"/>
      <c r="E48" s="171"/>
      <c r="F48" s="171"/>
      <c r="G48" s="650" t="s">
        <v>540</v>
      </c>
      <c r="H48" s="651"/>
      <c r="I48" s="628">
        <f>IF(ISERROR((C14-C15)*100/SUM(C11:C12)),0,(C14-C15)*100/SUM(C11:C12))</f>
        <v>1.6721168767435208</v>
      </c>
      <c r="J48" s="649">
        <f>IF(ISERROR((D14-D15)*100/SUM(D11:D12)),0,(D14-D15)*100/SUM(D11:D12))</f>
        <v>-0.15176189250585431</v>
      </c>
      <c r="K48" s="171"/>
    </row>
    <row r="49" spans="1:11" ht="19.5" customHeight="1">
      <c r="A49" s="4"/>
      <c r="B49" s="4"/>
      <c r="C49" s="4"/>
      <c r="D49" s="171"/>
      <c r="E49" s="171"/>
      <c r="F49" s="171"/>
      <c r="G49" s="2429" t="s">
        <v>1187</v>
      </c>
      <c r="H49" s="2430"/>
      <c r="I49" s="628">
        <f>IF(ISERROR(C16*100/SUM(C11:C12)),0,C16*100/SUM(C11:C12))</f>
        <v>2.8844252026325639</v>
      </c>
      <c r="J49" s="649">
        <f>IF(ISERROR(D16*100/SUM(D11:D12)),0,D16*100/SUM(D11:D12))</f>
        <v>4.620662991450879</v>
      </c>
      <c r="K49" s="171"/>
    </row>
    <row r="50" spans="1:11" ht="19.5" customHeight="1">
      <c r="A50" s="171"/>
      <c r="B50" s="171"/>
      <c r="C50" s="171"/>
      <c r="D50" s="171"/>
      <c r="E50" s="171"/>
      <c r="F50" s="171"/>
      <c r="G50" s="650" t="s">
        <v>758</v>
      </c>
      <c r="H50" s="651"/>
      <c r="I50" s="628">
        <f>IF(ISERROR(C19*100/SUM(C11:C12)),0,C19*100/SUM(C11:C12))</f>
        <v>3.1849024899962237</v>
      </c>
      <c r="J50" s="649">
        <f>IF(ISERROR(D19*100/SUM(D11:D12)),0,D19*100/SUM(D11:D12))</f>
        <v>4.5895306917929508</v>
      </c>
      <c r="K50" s="171"/>
    </row>
    <row r="51" spans="1:11" ht="13.5" customHeight="1">
      <c r="A51" s="171"/>
      <c r="B51" s="171"/>
      <c r="C51" s="171"/>
      <c r="D51" s="171"/>
      <c r="E51" s="171"/>
      <c r="F51" s="171"/>
      <c r="G51" s="652" t="s">
        <v>542</v>
      </c>
      <c r="H51" s="2157"/>
      <c r="I51" s="628">
        <f>IF(C8&gt;0,C7*100/(C8+C9),0)</f>
        <v>21.723929869819113</v>
      </c>
      <c r="J51" s="649">
        <f>IF(D8&gt;0,D7*100/(D8+D9),0)</f>
        <v>36.086365883334345</v>
      </c>
      <c r="K51" s="171"/>
    </row>
    <row r="52" spans="1:11" ht="14.25" customHeight="1">
      <c r="A52" s="171"/>
      <c r="B52" s="171"/>
      <c r="C52" s="171"/>
      <c r="D52" s="171"/>
      <c r="E52" s="171"/>
      <c r="F52" s="171"/>
      <c r="G52" s="652" t="s">
        <v>759</v>
      </c>
      <c r="H52" s="653"/>
      <c r="I52" s="628">
        <f>IF(ISERROR((Investeringar!C7+Investeringar!D7+Investeringar!E7-Investeringar!C78)*100/SUM(C11:C12)),0,(Investeringar!C7+Investeringar!D7+Investeringar!E7-Investeringar!C78)*100/SUM(C11:C12))</f>
        <v>13.230492240423127</v>
      </c>
      <c r="J52" s="654"/>
      <c r="K52" s="171"/>
    </row>
    <row r="53" spans="1:11" ht="12.75" customHeight="1">
      <c r="A53" s="171"/>
      <c r="B53" s="171"/>
      <c r="C53" s="171"/>
      <c r="D53" s="171"/>
      <c r="E53" s="171"/>
      <c r="F53" s="171"/>
      <c r="G53" s="652" t="s">
        <v>530</v>
      </c>
      <c r="H53" s="653"/>
      <c r="I53" s="628">
        <f>IF(ISERROR((Investeringar!C8+Investeringar!D8+Investeringar!E8)*100/SUM(C11:C12)*-1),0,(Investeringar!C8+Investeringar!D8+Investeringar!E8)*100/SUM(C11:C12)*-1)</f>
        <v>1.8142830103046894</v>
      </c>
      <c r="J53" s="655"/>
      <c r="K53" s="171"/>
    </row>
    <row r="54" spans="1:11" ht="12.75" customHeight="1">
      <c r="A54" s="171"/>
      <c r="B54" s="171"/>
      <c r="C54" s="171"/>
      <c r="D54" s="171"/>
      <c r="E54" s="171"/>
      <c r="F54" s="171"/>
      <c r="G54" s="652" t="s">
        <v>531</v>
      </c>
      <c r="H54" s="653"/>
      <c r="I54" s="628">
        <f>IF(ISERROR(SUM(Investeringar!C8:E8)/(Investeringar!C66)*-1),0,(SUM(Investeringar!C8:E8)/(Investeringar!C66)*-1)*100)</f>
        <v>13.818071683637253</v>
      </c>
      <c r="J54" s="655"/>
      <c r="K54" s="171"/>
    </row>
    <row r="55" spans="1:11" ht="12.75" customHeight="1" thickBot="1">
      <c r="A55" s="171"/>
      <c r="B55" s="171"/>
      <c r="C55" s="171"/>
      <c r="D55" s="171"/>
      <c r="E55" s="171"/>
      <c r="F55" s="171"/>
      <c r="G55" s="656" t="s">
        <v>1188</v>
      </c>
      <c r="H55" s="2158"/>
      <c r="I55" s="657">
        <f>IF(ISERROR(BR!D31*100/RR!C8),0,BR!D31*100/RR!C8)</f>
        <v>4.3701575604015908</v>
      </c>
      <c r="J55" s="658"/>
      <c r="K55" s="171"/>
    </row>
    <row r="56" spans="1:11" ht="12.75" customHeight="1">
      <c r="A56" s="171"/>
      <c r="B56" s="171"/>
      <c r="C56" s="171"/>
      <c r="D56" s="171"/>
      <c r="E56" s="171"/>
      <c r="F56" s="171"/>
      <c r="G56" s="147"/>
      <c r="H56" s="1281"/>
      <c r="I56" s="1282"/>
      <c r="J56" s="1283"/>
      <c r="K56" s="202"/>
    </row>
    <row r="57" spans="1:11" ht="12.75" customHeight="1">
      <c r="A57" s="171"/>
      <c r="B57" s="171"/>
      <c r="C57" s="171"/>
      <c r="D57" s="171"/>
      <c r="E57" s="171"/>
      <c r="F57" s="171"/>
      <c r="G57" s="147"/>
      <c r="H57" s="1281"/>
      <c r="I57" s="1282"/>
      <c r="J57" s="1283"/>
      <c r="K57" s="202"/>
    </row>
    <row r="58" spans="1:11" ht="19.5" customHeight="1">
      <c r="A58" s="171"/>
      <c r="B58" s="171"/>
      <c r="C58" s="171"/>
      <c r="D58" s="171"/>
      <c r="E58" s="171"/>
      <c r="F58" s="171"/>
      <c r="G58" s="147"/>
      <c r="H58" s="1281"/>
      <c r="I58" s="1282"/>
      <c r="J58" s="1283"/>
      <c r="K58" s="202"/>
    </row>
    <row r="59" spans="1:11">
      <c r="A59" s="171"/>
      <c r="B59" s="171"/>
      <c r="C59" s="171"/>
      <c r="D59" s="171"/>
      <c r="E59" s="171"/>
      <c r="F59" s="171"/>
      <c r="G59" s="147"/>
      <c r="H59" s="1281"/>
      <c r="I59" s="1282"/>
      <c r="J59" s="1283"/>
      <c r="K59" s="171"/>
    </row>
    <row r="60" spans="1:11" hidden="1">
      <c r="A60" s="171"/>
      <c r="B60" s="171"/>
      <c r="C60" s="171"/>
      <c r="G60" s="845"/>
      <c r="H60" s="1278"/>
      <c r="I60" s="1279"/>
      <c r="J60" s="1280"/>
      <c r="K60" s="171"/>
    </row>
    <row r="61" spans="1:11" hidden="1">
      <c r="A61" s="171"/>
      <c r="B61" s="171"/>
      <c r="C61" s="171"/>
      <c r="G61" s="171"/>
      <c r="H61" s="171"/>
      <c r="I61" s="171"/>
      <c r="J61" s="171"/>
      <c r="K61" s="171"/>
    </row>
    <row r="62" spans="1:11" hidden="1">
      <c r="A62" s="171"/>
      <c r="B62" s="171"/>
      <c r="C62" s="171"/>
    </row>
    <row r="63" spans="1:11" hidden="1"/>
    <row r="64" spans="1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t="12.75" customHeight="1"/>
  </sheetData>
  <sheetProtection algorithmName="SHA-512" hashValue="VZFj+QpYNjlLDCAEWcl7wqV+H5Ob6XxiuerfrKSbf5C211XZ+jVQ452nPSByo+lxFx84hql8cskB+PwITAx2Jw==" saltValue="7zXpxwHmAEmXtTncZEBljQ==" spinCount="100000" sheet="1" objects="1" scenarios="1"/>
  <mergeCells count="6">
    <mergeCell ref="I45:J45"/>
    <mergeCell ref="G47:H47"/>
    <mergeCell ref="G49:H49"/>
    <mergeCell ref="I4:J4"/>
    <mergeCell ref="I14:I15"/>
    <mergeCell ref="J14:J15"/>
  </mergeCells>
  <conditionalFormatting sqref="C38">
    <cfRule type="cellIs" dxfId="157" priority="2" stopIfTrue="1" operator="lessThan">
      <formula>-5</formula>
    </cfRule>
  </conditionalFormatting>
  <dataValidations count="10">
    <dataValidation type="decimal" operator="greaterThanOrEqual" allowBlank="1" showInputMessage="1" showErrorMessage="1" error="Belopp anges utan minustecken" sqref="C23:C27">
      <formula1>0</formula1>
    </dataValidation>
    <dataValidation type="decimal" operator="lessThan" allowBlank="1" showInputMessage="1" showErrorMessage="1" error="Beloppet ska vara i tusental kronor" sqref="C14:D15">
      <formula1>99999999</formula1>
    </dataValidation>
    <dataValidation type="decimal" operator="lessThan" allowBlank="1" showInputMessage="1" showErrorMessage="1" error="Beloppet ska vara i 1000 tal kronoer" sqref="C7:D9">
      <formula1>99999999</formula1>
    </dataValidation>
    <dataValidation type="decimal" operator="lessThan" allowBlank="1" showInputMessage="1" showErrorMessage="1" error="Beloppet ska vara i 1000 tal kronor" sqref="C34 C17:D17 D18 C43:C44">
      <formula1>99999999</formula1>
    </dataValidation>
    <dataValidation type="decimal" allowBlank="1" showInputMessage="1" showErrorMessage="1" error="Beloppet ska vara i 1000 tal kronor. Inget minusbelopp anges." sqref="C31">
      <formula1>0</formula1>
      <formula2>99999999</formula2>
    </dataValidation>
    <dataValidation type="decimal" allowBlank="1" showInputMessage="1" showErrorMessage="1" error="Beloppet ska vara i 1000 tal kronor_x000a_Inget minusbelopp anges." sqref="C32">
      <formula1>0</formula1>
      <formula2>99999999</formula2>
    </dataValidation>
    <dataValidation type="decimal" operator="lessThan" allowBlank="1" showInputMessage="1" showErrorMessage="1" error="Beloppet ska vara i 1000 tal kronor._x000a_Inget minustecken anges." sqref="C33">
      <formula1>99999999</formula1>
    </dataValidation>
    <dataValidation type="decimal" allowBlank="1" showInputMessage="1" showErrorMessage="1" error="Beloppet ska vara i 1000 tal kronor_x000a_Inget minustecken ska anges_x000a_" sqref="C37">
      <formula1>0</formula1>
      <formula2>99999999</formula2>
    </dataValidation>
    <dataValidation type="decimal" allowBlank="1" showInputMessage="1" showErrorMessage="1" error="Beloppet ska vara i 1000 tal kronor_x000a_Inget minustecken ska anges." sqref="C38">
      <formula1>0</formula1>
      <formula2>99999999</formula2>
    </dataValidation>
    <dataValidation type="decimal" allowBlank="1" showInputMessage="1" showErrorMessage="1" error="Beloppet ska vara i 1000 tal kronor_x000a_Inget minustecken anges." sqref="C42 C41">
      <formula1>0</formula1>
      <formula2>99999999</formula2>
    </dataValidation>
  </dataValidations>
  <pageMargins left="0.70866141732283472" right="0.70866141732283472" top="0.74803149606299213" bottom="0.52" header="0.31496062992125984" footer="0.31496062992125984"/>
  <pageSetup paperSize="9" scale="85" orientation="landscape" r:id="rId1"/>
  <headerFooter>
    <oddHeader>&amp;L&amp;8Statistiska Centralbyrån
Offentlig ekonomi&amp;R&amp;P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FFFF00"/>
  </sheetPr>
  <dimension ref="A1:U115"/>
  <sheetViews>
    <sheetView showGridLines="0" zoomScaleNormal="100" workbookViewId="0">
      <pane ySplit="1" topLeftCell="A2" activePane="bottomLeft" state="frozen"/>
      <selection activeCell="F36" sqref="F36"/>
      <selection pane="bottomLeft"/>
    </sheetView>
  </sheetViews>
  <sheetFormatPr defaultColWidth="0" defaultRowHeight="12.75" zeroHeight="1"/>
  <cols>
    <col min="1" max="1" width="4" style="144" customWidth="1"/>
    <col min="2" max="2" width="10.85546875" style="144" customWidth="1"/>
    <col min="3" max="3" width="35.85546875" style="144" customWidth="1"/>
    <col min="4" max="4" width="10.5703125" style="144" customWidth="1"/>
    <col min="5" max="5" width="10.140625" style="144" customWidth="1"/>
    <col min="6" max="6" width="23" style="170" customWidth="1"/>
    <col min="7" max="7" width="4" style="170" customWidth="1"/>
    <col min="8" max="8" width="7.28515625" style="170" customWidth="1"/>
    <col min="9" max="9" width="30.28515625" style="170" customWidth="1"/>
    <col min="10" max="10" width="11.28515625" style="170" customWidth="1"/>
    <col min="11" max="11" width="12.28515625" style="170" customWidth="1"/>
    <col min="12" max="12" width="32" style="170" customWidth="1"/>
    <col min="13" max="14" width="9.85546875" style="170" customWidth="1"/>
    <col min="15" max="15" width="2.140625" style="170" customWidth="1"/>
    <col min="16" max="16" width="6" style="170" customWidth="1"/>
    <col min="17" max="17" width="10.7109375" style="144" customWidth="1"/>
    <col min="18" max="18" width="3.85546875" style="144" customWidth="1"/>
    <col min="19" max="20" width="6" style="170" customWidth="1"/>
    <col min="21" max="21" width="0" hidden="1" customWidth="1"/>
    <col min="22" max="16384" width="0" style="170" hidden="1"/>
  </cols>
  <sheetData>
    <row r="1" spans="1:20" ht="20.25">
      <c r="A1" s="90" t="str">
        <f>"Balansräkning "&amp;År&amp;", miljoner kr"</f>
        <v>Balansräkning 2019, miljoner kr</v>
      </c>
      <c r="B1" s="91"/>
      <c r="C1" s="91"/>
      <c r="D1" s="92"/>
      <c r="E1" s="516" t="s">
        <v>466</v>
      </c>
      <c r="F1" s="517" t="str">
        <f>'Kn Information'!A2</f>
        <v>RIKSTOTAL</v>
      </c>
      <c r="G1" s="517"/>
      <c r="H1" s="517"/>
      <c r="I1" s="517"/>
      <c r="J1" s="169"/>
      <c r="K1" s="169"/>
      <c r="L1" s="169"/>
      <c r="M1" s="169"/>
      <c r="N1" s="169"/>
      <c r="O1" s="197"/>
      <c r="P1" s="197"/>
      <c r="Q1" s="1533"/>
      <c r="R1" s="1533"/>
      <c r="S1" s="197"/>
      <c r="T1" s="169"/>
    </row>
    <row r="2" spans="1:20" ht="12.75" customHeight="1">
      <c r="A2" s="2209"/>
      <c r="B2" s="2209"/>
      <c r="C2" s="2209"/>
      <c r="D2" s="2209"/>
      <c r="E2" s="2209"/>
      <c r="F2" s="2209"/>
      <c r="G2" s="2209"/>
      <c r="H2" s="2209"/>
      <c r="I2" s="2209"/>
      <c r="J2" s="2209"/>
      <c r="K2" s="2209"/>
      <c r="L2" s="2209"/>
      <c r="M2" s="2209"/>
      <c r="N2" s="2209"/>
      <c r="O2" s="2209"/>
      <c r="P2" s="2209"/>
      <c r="Q2" s="2209"/>
      <c r="R2" s="2209"/>
      <c r="S2" s="2209"/>
      <c r="T2" s="2209"/>
    </row>
    <row r="3" spans="1:20" ht="12.75" customHeight="1" thickBot="1">
      <c r="A3" s="2209"/>
      <c r="B3" s="2209"/>
      <c r="C3" s="2209"/>
      <c r="D3" s="2209"/>
      <c r="E3" s="2209"/>
      <c r="F3" s="2209"/>
      <c r="G3" s="2209"/>
      <c r="H3" s="2209"/>
      <c r="I3" s="2209"/>
      <c r="J3" s="2209"/>
      <c r="K3" s="2209"/>
      <c r="L3" s="2209"/>
      <c r="M3" s="2209"/>
      <c r="N3" s="2209"/>
      <c r="O3" s="2209"/>
      <c r="P3" s="2209"/>
      <c r="Q3" s="2209"/>
      <c r="R3" s="2209"/>
      <c r="S3" s="2209"/>
      <c r="T3" s="2209"/>
    </row>
    <row r="4" spans="1:20" s="182" customFormat="1">
      <c r="A4" s="659" t="s">
        <v>643</v>
      </c>
      <c r="B4" s="2090" t="s">
        <v>1168</v>
      </c>
      <c r="C4" s="660" t="s">
        <v>754</v>
      </c>
      <c r="D4" s="679" t="s">
        <v>636</v>
      </c>
      <c r="E4" s="680" t="s">
        <v>752</v>
      </c>
      <c r="H4" s="181"/>
      <c r="I4" s="181"/>
      <c r="J4" s="181"/>
      <c r="K4" s="181"/>
      <c r="L4" s="181"/>
      <c r="M4" s="2425" t="s">
        <v>470</v>
      </c>
      <c r="N4" s="2438"/>
      <c r="O4" s="1340"/>
      <c r="P4" s="1273"/>
      <c r="Q4" s="1534"/>
      <c r="R4" s="1339"/>
      <c r="S4" s="1274"/>
      <c r="T4" s="1274"/>
    </row>
    <row r="5" spans="1:20" s="182" customFormat="1" ht="32.25" customHeight="1">
      <c r="A5" s="1531" t="s">
        <v>637</v>
      </c>
      <c r="B5" s="2436"/>
      <c r="C5" s="662"/>
      <c r="D5" s="681"/>
      <c r="E5" s="682"/>
      <c r="F5" s="181"/>
      <c r="G5" s="181"/>
      <c r="H5" s="181"/>
      <c r="I5" s="181"/>
      <c r="J5" s="181"/>
      <c r="K5" s="181"/>
      <c r="L5" s="181"/>
      <c r="M5" s="690" t="s">
        <v>636</v>
      </c>
      <c r="N5" s="691" t="s">
        <v>752</v>
      </c>
      <c r="O5" s="1340"/>
      <c r="P5" s="1273"/>
      <c r="Q5" s="1274"/>
      <c r="R5" s="1274"/>
      <c r="S5" s="2446"/>
      <c r="T5" s="2444"/>
    </row>
    <row r="6" spans="1:20" ht="15">
      <c r="A6" s="663"/>
      <c r="B6" s="2437"/>
      <c r="C6" s="664"/>
      <c r="D6" s="683"/>
      <c r="E6" s="684"/>
      <c r="F6" s="4"/>
      <c r="G6" s="4"/>
      <c r="H6" s="4"/>
      <c r="I6" s="4"/>
      <c r="J6" s="4"/>
      <c r="K6" s="4"/>
      <c r="L6" s="4"/>
      <c r="M6" s="692"/>
      <c r="N6" s="693"/>
      <c r="O6" s="1341"/>
      <c r="P6" s="1273"/>
      <c r="Q6" s="1348"/>
      <c r="R6" s="1348"/>
      <c r="S6" s="2446"/>
      <c r="T6" s="2445"/>
    </row>
    <row r="7" spans="1:20" ht="15">
      <c r="A7" s="665"/>
      <c r="B7" s="666"/>
      <c r="C7" s="667" t="s">
        <v>644</v>
      </c>
      <c r="D7" s="685"/>
      <c r="E7" s="686"/>
      <c r="F7" s="69"/>
      <c r="G7" s="4"/>
      <c r="H7" s="4"/>
      <c r="I7" s="4"/>
      <c r="J7" s="4"/>
      <c r="K7" s="4"/>
      <c r="L7" s="4"/>
      <c r="M7" s="694"/>
      <c r="N7" s="695"/>
      <c r="O7" s="72"/>
      <c r="P7" s="242"/>
      <c r="Q7" s="1535"/>
      <c r="R7" s="242"/>
    </row>
    <row r="8" spans="1:20" ht="7.5" customHeight="1">
      <c r="A8" s="665"/>
      <c r="B8" s="666"/>
      <c r="C8" s="668"/>
      <c r="D8" s="687"/>
      <c r="E8" s="688"/>
      <c r="F8" s="69"/>
      <c r="G8" s="4"/>
      <c r="H8" s="4"/>
      <c r="I8" s="4"/>
      <c r="J8" s="4"/>
      <c r="K8" s="4"/>
      <c r="L8" s="4"/>
      <c r="M8" s="694"/>
      <c r="N8" s="695"/>
      <c r="O8" s="72"/>
      <c r="P8" s="242"/>
      <c r="Q8" s="1535"/>
      <c r="R8" s="242"/>
    </row>
    <row r="9" spans="1:20" ht="14.45" customHeight="1">
      <c r="A9" s="2131" t="s">
        <v>296</v>
      </c>
      <c r="B9" s="669">
        <v>10</v>
      </c>
      <c r="C9" s="670" t="s">
        <v>645</v>
      </c>
      <c r="D9" s="186">
        <v>831.13699999999994</v>
      </c>
      <c r="E9" s="444">
        <v>2151.5540000000001</v>
      </c>
      <c r="F9" s="179" t="str">
        <f>IF(OR(D9="",E9=""),"Skriv belopp eller 0","")</f>
        <v/>
      </c>
      <c r="G9" s="4"/>
      <c r="H9" s="4"/>
      <c r="I9" s="4"/>
      <c r="J9" s="4"/>
      <c r="K9" s="4"/>
      <c r="L9" s="4"/>
      <c r="M9" s="696"/>
      <c r="N9" s="697"/>
      <c r="O9" s="1319"/>
      <c r="P9" s="1349"/>
      <c r="Q9" s="1536"/>
      <c r="R9" s="1537"/>
    </row>
    <row r="10" spans="1:20" ht="14.45" customHeight="1">
      <c r="A10" s="2131" t="s">
        <v>297</v>
      </c>
      <c r="B10" s="2132">
        <v>11</v>
      </c>
      <c r="C10" s="559" t="s">
        <v>646</v>
      </c>
      <c r="D10" s="186">
        <v>544311.08100000001</v>
      </c>
      <c r="E10" s="689"/>
      <c r="F10" s="69"/>
      <c r="G10" s="4"/>
      <c r="H10" s="4"/>
      <c r="I10" s="4"/>
      <c r="J10" s="4"/>
      <c r="K10" s="4"/>
      <c r="L10" s="4"/>
      <c r="M10" s="698"/>
      <c r="N10" s="699"/>
      <c r="O10" s="1319"/>
      <c r="P10" s="1349"/>
      <c r="Q10" s="1349"/>
      <c r="R10" s="1349"/>
    </row>
    <row r="11" spans="1:20" ht="14.45" customHeight="1">
      <c r="A11" s="2131" t="s">
        <v>298</v>
      </c>
      <c r="B11" s="2132">
        <v>12</v>
      </c>
      <c r="C11" s="559" t="s">
        <v>647</v>
      </c>
      <c r="D11" s="186">
        <v>29508.677</v>
      </c>
      <c r="E11" s="689"/>
      <c r="F11" s="69"/>
      <c r="G11" s="76" t="s">
        <v>471</v>
      </c>
      <c r="H11" s="4"/>
      <c r="I11" s="4"/>
      <c r="J11" s="4"/>
      <c r="K11" s="4"/>
      <c r="L11" s="4"/>
      <c r="M11" s="698"/>
      <c r="N11" s="699"/>
      <c r="O11" s="1319"/>
      <c r="P11" s="1349"/>
      <c r="Q11" s="1349"/>
      <c r="R11" s="1349"/>
    </row>
    <row r="12" spans="1:20" ht="14.45" customHeight="1">
      <c r="A12" s="2131" t="s">
        <v>288</v>
      </c>
      <c r="B12" s="2133">
        <v>11.12</v>
      </c>
      <c r="C12" s="672" t="s">
        <v>648</v>
      </c>
      <c r="D12" s="346">
        <f>SUM(D10:D11)</f>
        <v>573819.75800000003</v>
      </c>
      <c r="E12" s="187">
        <v>1370214.301</v>
      </c>
      <c r="F12" s="179" t="str">
        <f>IF(D12&gt;E12,"konc. &lt; kom.",IF(OR(D12=0,E12=0),"Belopp saknas",""))</f>
        <v/>
      </c>
      <c r="G12" s="1502" t="s">
        <v>562</v>
      </c>
      <c r="H12" s="2104" t="s">
        <v>1168</v>
      </c>
      <c r="I12" s="1500"/>
      <c r="J12" s="1501"/>
      <c r="K12" s="172"/>
      <c r="L12" s="4"/>
      <c r="M12" s="626">
        <f>(D9+D12)*1000/invanare</f>
        <v>55642.308674367268</v>
      </c>
      <c r="N12" s="627">
        <f>(E9+E12)*1000/invanare</f>
        <v>132883.46922016359</v>
      </c>
      <c r="O12" s="1283"/>
      <c r="P12" s="1349"/>
      <c r="Q12" s="1537"/>
      <c r="R12" s="1537"/>
      <c r="S12" s="147"/>
      <c r="T12" s="147"/>
    </row>
    <row r="13" spans="1:20" ht="14.45" customHeight="1">
      <c r="A13" s="2131" t="s">
        <v>299</v>
      </c>
      <c r="B13" s="2134" t="s">
        <v>864</v>
      </c>
      <c r="C13" s="614" t="s">
        <v>649</v>
      </c>
      <c r="D13" s="188">
        <v>76816.539999999994</v>
      </c>
      <c r="E13" s="689"/>
      <c r="F13" s="69"/>
      <c r="G13" s="706" t="s">
        <v>303</v>
      </c>
      <c r="H13" s="707" t="s">
        <v>561</v>
      </c>
      <c r="I13" s="708" t="s">
        <v>0</v>
      </c>
      <c r="J13" s="288">
        <v>64498.250999999997</v>
      </c>
      <c r="K13" s="2156"/>
      <c r="L13" s="4"/>
      <c r="M13" s="700"/>
      <c r="N13" s="701"/>
      <c r="O13" s="1283"/>
      <c r="P13" s="1349"/>
      <c r="Q13" s="1338"/>
      <c r="R13" s="1349"/>
      <c r="S13" s="301"/>
      <c r="T13" s="301"/>
    </row>
    <row r="14" spans="1:20" ht="14.45" customHeight="1">
      <c r="A14" s="2131" t="s">
        <v>300</v>
      </c>
      <c r="B14" s="2134" t="s">
        <v>863</v>
      </c>
      <c r="C14" s="564" t="s">
        <v>12</v>
      </c>
      <c r="D14" s="188">
        <v>6316.799</v>
      </c>
      <c r="E14" s="689"/>
      <c r="F14" s="69"/>
      <c r="G14" s="183"/>
      <c r="H14" s="4"/>
      <c r="I14" s="4"/>
      <c r="J14" s="142"/>
      <c r="K14" s="142"/>
      <c r="L14" s="4"/>
      <c r="M14" s="700"/>
      <c r="N14" s="701"/>
      <c r="O14" s="1283"/>
      <c r="P14" s="1349"/>
      <c r="Q14" s="1338"/>
      <c r="R14" s="1349"/>
    </row>
    <row r="15" spans="1:20" ht="14.45" customHeight="1">
      <c r="A15" s="2131" t="s">
        <v>301</v>
      </c>
      <c r="B15" s="2135" t="s">
        <v>5</v>
      </c>
      <c r="C15" s="571" t="s">
        <v>650</v>
      </c>
      <c r="D15" s="186">
        <v>208336.40400000001</v>
      </c>
      <c r="E15" s="689"/>
      <c r="F15" s="69"/>
      <c r="G15" s="706" t="s">
        <v>304</v>
      </c>
      <c r="H15" s="707" t="s">
        <v>756</v>
      </c>
      <c r="I15" s="1294" t="s">
        <v>1</v>
      </c>
      <c r="J15" s="288">
        <v>185724.58300000001</v>
      </c>
      <c r="K15" s="2156"/>
      <c r="L15" s="4"/>
      <c r="M15" s="702"/>
      <c r="N15" s="703"/>
      <c r="O15" s="2043"/>
      <c r="P15" s="1349"/>
      <c r="Q15" s="1349"/>
      <c r="R15" s="1349"/>
      <c r="S15" s="301"/>
      <c r="T15" s="301"/>
    </row>
    <row r="16" spans="1:20" ht="14.45" customHeight="1">
      <c r="A16" s="2131" t="s">
        <v>302</v>
      </c>
      <c r="B16" s="2132" t="s">
        <v>861</v>
      </c>
      <c r="C16" s="559" t="s">
        <v>862</v>
      </c>
      <c r="D16" s="186">
        <v>181.721</v>
      </c>
      <c r="E16" s="689"/>
      <c r="F16" s="69"/>
      <c r="G16" s="183"/>
      <c r="H16" s="4"/>
      <c r="I16" s="4"/>
      <c r="J16" s="142"/>
      <c r="K16" s="142"/>
      <c r="L16" s="4"/>
      <c r="M16" s="702"/>
      <c r="N16" s="703"/>
      <c r="O16" s="1283"/>
      <c r="P16" s="1349"/>
      <c r="Q16" s="1349"/>
      <c r="R16" s="1538"/>
    </row>
    <row r="17" spans="1:20" ht="14.45" customHeight="1">
      <c r="A17" s="2131" t="s">
        <v>305</v>
      </c>
      <c r="B17" s="2136" t="s">
        <v>8</v>
      </c>
      <c r="C17" s="670" t="s">
        <v>651</v>
      </c>
      <c r="D17" s="346">
        <f>SUM(D13:D16)</f>
        <v>291651.46400000004</v>
      </c>
      <c r="E17" s="189">
        <v>46657.972000000002</v>
      </c>
      <c r="F17" s="179" t="str">
        <f>IF(OR(D17=0,E17=""),"Belopp saknas","")</f>
        <v/>
      </c>
      <c r="G17" s="183"/>
      <c r="H17" s="4"/>
      <c r="I17" s="4"/>
      <c r="J17" s="4"/>
      <c r="K17" s="4"/>
      <c r="L17" s="4"/>
      <c r="M17" s="626">
        <f>D17*1000/invanare</f>
        <v>28240.033951777135</v>
      </c>
      <c r="N17" s="627">
        <f>E17*1000/invanare</f>
        <v>4517.7990719808849</v>
      </c>
      <c r="O17" s="1283"/>
      <c r="P17" s="1349"/>
      <c r="Q17" s="1538"/>
      <c r="R17" s="1538"/>
    </row>
    <row r="18" spans="1:20" ht="14.45" customHeight="1" thickBot="1">
      <c r="A18" s="2137" t="s">
        <v>306</v>
      </c>
      <c r="B18" s="2138" t="s">
        <v>9</v>
      </c>
      <c r="C18" s="573" t="s">
        <v>654</v>
      </c>
      <c r="D18" s="347">
        <f>SUM(D9,D12,D17)</f>
        <v>866302.35900000005</v>
      </c>
      <c r="E18" s="348">
        <f>SUM(E9,E12,E17)</f>
        <v>1419023.827</v>
      </c>
      <c r="F18" s="69"/>
      <c r="G18" s="183"/>
      <c r="H18" s="4"/>
      <c r="I18" s="4"/>
      <c r="J18" s="4"/>
      <c r="K18" s="4"/>
      <c r="L18" s="4"/>
      <c r="M18" s="700"/>
      <c r="N18" s="701"/>
      <c r="O18" s="1283"/>
      <c r="P18" s="1349"/>
      <c r="Q18" s="1538"/>
      <c r="R18" s="1538"/>
    </row>
    <row r="19" spans="1:20" ht="14.45" customHeight="1" thickBot="1">
      <c r="A19" s="2139" t="s">
        <v>316</v>
      </c>
      <c r="B19" s="2140" t="s">
        <v>7</v>
      </c>
      <c r="C19" s="542" t="s">
        <v>965</v>
      </c>
      <c r="D19" s="1354">
        <v>4233.3990000000003</v>
      </c>
      <c r="E19" s="293">
        <v>4233.3990000000003</v>
      </c>
      <c r="F19" s="179" t="str">
        <f>IF(D19&lt;0,"inga minusbelopp",IF(D19&lt;&gt;E19,"koncernen och kommunens belopp borde vara lika",""))</f>
        <v/>
      </c>
      <c r="G19" s="4"/>
      <c r="H19" s="4"/>
      <c r="I19" s="4"/>
      <c r="J19" s="4"/>
      <c r="K19" s="4"/>
      <c r="L19" s="4"/>
      <c r="M19" s="626">
        <f>D19*1000/invanare</f>
        <v>409.9116453995216</v>
      </c>
      <c r="N19" s="633">
        <f>E19*1000/invanare</f>
        <v>409.9116453995216</v>
      </c>
      <c r="O19" s="1283"/>
      <c r="P19" s="1349"/>
      <c r="Q19" s="1349"/>
      <c r="R19" s="1349"/>
    </row>
    <row r="20" spans="1:20" ht="14.45" customHeight="1">
      <c r="A20" s="2141"/>
      <c r="B20" s="2142"/>
      <c r="C20" s="675" t="s">
        <v>633</v>
      </c>
      <c r="D20" s="716"/>
      <c r="E20" s="717"/>
      <c r="F20" s="69"/>
      <c r="G20" s="1421" t="s">
        <v>943</v>
      </c>
      <c r="H20" s="1422" t="s">
        <v>933</v>
      </c>
      <c r="I20" s="1294" t="s">
        <v>936</v>
      </c>
      <c r="J20" s="2169">
        <v>12141.281000000001</v>
      </c>
      <c r="K20" s="2167"/>
      <c r="L20" s="4"/>
      <c r="M20" s="704"/>
      <c r="N20" s="705"/>
      <c r="O20" s="1342"/>
      <c r="P20" s="301"/>
      <c r="Q20" s="301"/>
      <c r="R20" s="301"/>
      <c r="S20" s="301"/>
    </row>
    <row r="21" spans="1:20" ht="14.45" customHeight="1">
      <c r="A21" s="2131" t="s">
        <v>290</v>
      </c>
      <c r="B21" s="669">
        <v>14</v>
      </c>
      <c r="C21" s="559" t="s">
        <v>755</v>
      </c>
      <c r="D21" s="66">
        <v>12820.121999999999</v>
      </c>
      <c r="E21" s="190">
        <v>17070.377</v>
      </c>
      <c r="F21" s="232" t="str">
        <f>IF(D21&gt;E21,"konc. &lt; kom.",IF(OR(D21="",E21=""),"Belopp saknas",IF(OR(D21&lt;-100,E21&lt;-100),"Kommentera varför minuspost","")))</f>
        <v/>
      </c>
      <c r="G21" s="1485"/>
      <c r="H21" s="1486"/>
      <c r="I21" s="1487"/>
      <c r="J21" s="142"/>
      <c r="K21" s="142"/>
      <c r="L21" s="185"/>
      <c r="M21" s="704"/>
      <c r="N21" s="705"/>
      <c r="O21" s="1342"/>
      <c r="P21" s="1349"/>
      <c r="Q21" s="1537"/>
      <c r="R21" s="1537"/>
    </row>
    <row r="22" spans="1:20" ht="14.45" customHeight="1">
      <c r="A22" s="2131" t="s">
        <v>307</v>
      </c>
      <c r="B22" s="2132" t="s">
        <v>655</v>
      </c>
      <c r="C22" s="559" t="s">
        <v>656</v>
      </c>
      <c r="D22" s="54">
        <v>10223.764999999999</v>
      </c>
      <c r="E22" s="689"/>
      <c r="F22" s="1256"/>
      <c r="G22" s="2161" t="s">
        <v>308</v>
      </c>
      <c r="H22" s="2162" t="s">
        <v>777</v>
      </c>
      <c r="I22" s="2163" t="s">
        <v>1</v>
      </c>
      <c r="J22" s="2168">
        <v>2094.7179999999998</v>
      </c>
      <c r="K22" s="142"/>
      <c r="L22" s="4"/>
      <c r="M22" s="704"/>
      <c r="N22" s="705"/>
      <c r="O22" s="1342"/>
      <c r="P22" s="1349"/>
      <c r="Q22" s="1349"/>
      <c r="R22" s="1349"/>
      <c r="S22" s="301"/>
      <c r="T22" s="301"/>
    </row>
    <row r="23" spans="1:20" ht="14.45" customHeight="1">
      <c r="A23" s="2131" t="s">
        <v>291</v>
      </c>
      <c r="B23" s="2132" t="s">
        <v>657</v>
      </c>
      <c r="C23" s="559" t="s">
        <v>658</v>
      </c>
      <c r="D23" s="54">
        <v>126693.31</v>
      </c>
      <c r="E23" s="689"/>
      <c r="F23" s="1257"/>
      <c r="G23" s="1485"/>
      <c r="H23" s="1485"/>
      <c r="I23" s="2166"/>
      <c r="J23" s="142"/>
      <c r="K23" s="142"/>
      <c r="L23" s="4"/>
      <c r="M23" s="704"/>
      <c r="N23" s="705"/>
      <c r="O23" s="1342"/>
      <c r="P23" s="1349"/>
      <c r="Q23" s="1349"/>
      <c r="R23" s="1349"/>
    </row>
    <row r="24" spans="1:20" ht="14.45" customHeight="1">
      <c r="A24" s="2131" t="s">
        <v>310</v>
      </c>
      <c r="B24" s="2132" t="s">
        <v>180</v>
      </c>
      <c r="C24" s="559" t="s">
        <v>541</v>
      </c>
      <c r="D24" s="186">
        <v>21351.855</v>
      </c>
      <c r="E24" s="689"/>
      <c r="F24" s="1257"/>
      <c r="G24" s="2164" t="s">
        <v>309</v>
      </c>
      <c r="H24" s="674" t="s">
        <v>659</v>
      </c>
      <c r="I24" s="2165" t="s">
        <v>2</v>
      </c>
      <c r="J24" s="1556">
        <v>11183.675999999999</v>
      </c>
      <c r="K24" s="142"/>
      <c r="M24" s="2170"/>
      <c r="N24" s="2171"/>
      <c r="O24" s="4"/>
      <c r="P24" s="1349"/>
      <c r="Q24" s="1349"/>
      <c r="R24" s="1349"/>
      <c r="S24" s="301"/>
      <c r="T24" s="301"/>
    </row>
    <row r="25" spans="1:20" ht="14.45" customHeight="1">
      <c r="A25" s="2131" t="s">
        <v>318</v>
      </c>
      <c r="B25" s="2132" t="s">
        <v>212</v>
      </c>
      <c r="C25" s="559" t="s">
        <v>495</v>
      </c>
      <c r="D25" s="186">
        <v>3371.4</v>
      </c>
      <c r="E25" s="689"/>
      <c r="F25" s="1257"/>
      <c r="G25" s="714" t="s">
        <v>317</v>
      </c>
      <c r="H25" s="2022" t="s">
        <v>1112</v>
      </c>
      <c r="I25" s="715" t="s">
        <v>1</v>
      </c>
      <c r="J25" s="2183">
        <v>100897.591</v>
      </c>
      <c r="L25" s="4"/>
      <c r="M25" s="704"/>
      <c r="N25" s="705"/>
      <c r="O25" s="1342"/>
      <c r="P25" s="1349"/>
      <c r="Q25" s="1349"/>
      <c r="R25" s="1349"/>
      <c r="S25" s="301"/>
      <c r="T25" s="301"/>
    </row>
    <row r="26" spans="1:20" ht="14.45" customHeight="1">
      <c r="A26" s="2143" t="s">
        <v>1015</v>
      </c>
      <c r="B26" s="669" t="s">
        <v>1016</v>
      </c>
      <c r="C26" s="580" t="s">
        <v>1017</v>
      </c>
      <c r="D26" s="346">
        <f>SUM(D22:D25)</f>
        <v>161640.33000000002</v>
      </c>
      <c r="E26" s="1987">
        <v>78392.338000000003</v>
      </c>
      <c r="F26" s="232" t="str">
        <f>IF(OR(D26=0,E26=""),"Belopp saknas","")</f>
        <v/>
      </c>
      <c r="G26" s="1349"/>
      <c r="H26" s="1349"/>
      <c r="I26" s="1273"/>
      <c r="J26" s="1891"/>
      <c r="K26" s="142"/>
      <c r="L26" s="4"/>
      <c r="M26" s="704"/>
      <c r="N26" s="705"/>
      <c r="O26" s="1342"/>
      <c r="P26" s="1349"/>
      <c r="Q26" s="1349"/>
      <c r="R26" s="1349"/>
      <c r="S26" s="301"/>
      <c r="T26" s="301"/>
    </row>
    <row r="27" spans="1:20" ht="14.45" customHeight="1">
      <c r="A27" s="2131" t="s">
        <v>311</v>
      </c>
      <c r="B27" s="2134" t="s">
        <v>660</v>
      </c>
      <c r="C27" s="564" t="s">
        <v>661</v>
      </c>
      <c r="D27" s="186">
        <v>29676.708999999999</v>
      </c>
      <c r="E27" s="689"/>
      <c r="F27" s="1257"/>
      <c r="G27" s="2076"/>
      <c r="H27" s="1554"/>
      <c r="I27" s="147"/>
      <c r="J27" s="142"/>
      <c r="K27" s="1477"/>
      <c r="L27" s="4"/>
      <c r="M27" s="704"/>
      <c r="N27" s="705"/>
      <c r="O27" s="1342"/>
      <c r="P27" s="1349"/>
      <c r="Q27" s="1338"/>
      <c r="R27" s="1349"/>
      <c r="S27" s="301"/>
      <c r="T27" s="301"/>
    </row>
    <row r="28" spans="1:20" ht="14.45" customHeight="1">
      <c r="A28" s="2131" t="s">
        <v>312</v>
      </c>
      <c r="B28" s="2134" t="s">
        <v>662</v>
      </c>
      <c r="C28" s="564" t="s">
        <v>663</v>
      </c>
      <c r="D28" s="186">
        <v>16913.425999999999</v>
      </c>
      <c r="E28" s="689"/>
      <c r="F28" s="1257"/>
      <c r="G28" s="1554"/>
      <c r="H28" s="1554"/>
      <c r="I28" s="147"/>
      <c r="K28" s="142"/>
      <c r="L28" s="4"/>
      <c r="M28" s="704"/>
      <c r="N28" s="705"/>
      <c r="O28" s="1342"/>
      <c r="P28" s="1349"/>
      <c r="Q28" s="1338"/>
      <c r="R28" s="1349"/>
    </row>
    <row r="29" spans="1:20" ht="14.45" customHeight="1">
      <c r="A29" s="2131" t="s">
        <v>313</v>
      </c>
      <c r="B29" s="2134" t="s">
        <v>664</v>
      </c>
      <c r="C29" s="564" t="s">
        <v>665</v>
      </c>
      <c r="D29" s="186">
        <v>596.14200000000005</v>
      </c>
      <c r="E29" s="689"/>
      <c r="F29" s="1257"/>
      <c r="G29" s="2076"/>
      <c r="H29" s="1554"/>
      <c r="I29" s="147"/>
      <c r="J29" s="142"/>
      <c r="K29" s="4"/>
      <c r="L29" s="4"/>
      <c r="M29" s="704"/>
      <c r="N29" s="705"/>
      <c r="O29" s="1342"/>
      <c r="P29" s="1349"/>
      <c r="Q29" s="1338"/>
      <c r="R29" s="1349"/>
    </row>
    <row r="30" spans="1:20" ht="14.45" customHeight="1">
      <c r="A30" s="2143" t="s">
        <v>292</v>
      </c>
      <c r="B30" s="669" t="s">
        <v>1018</v>
      </c>
      <c r="C30" s="580" t="s">
        <v>1142</v>
      </c>
      <c r="D30" s="346">
        <f>SUM(D27:D29)</f>
        <v>47186.276999999995</v>
      </c>
      <c r="E30" s="190">
        <v>48208.491000000002</v>
      </c>
      <c r="F30" s="232" t="str">
        <f>IF(OR(D27="",D28="",D29=""),"Skriv belopp eller 0 på raderna 053-056 för kommunen",IF(E30="","Skriv belopp eller 0 för koncernen",""))</f>
        <v/>
      </c>
      <c r="G30" s="1554"/>
      <c r="H30" s="1554"/>
      <c r="I30" s="147"/>
      <c r="J30" s="1349"/>
      <c r="K30" s="4"/>
      <c r="L30" s="4"/>
      <c r="M30" s="704"/>
      <c r="N30" s="705"/>
      <c r="O30" s="1342"/>
      <c r="P30" s="1349"/>
      <c r="Q30" s="1537"/>
      <c r="R30" s="1537"/>
    </row>
    <row r="31" spans="1:20" ht="14.45" customHeight="1">
      <c r="A31" s="2131" t="s">
        <v>314</v>
      </c>
      <c r="B31" s="669">
        <v>19</v>
      </c>
      <c r="C31" s="580" t="s">
        <v>1143</v>
      </c>
      <c r="D31" s="186">
        <v>31153.102999999999</v>
      </c>
      <c r="E31" s="190">
        <v>43950.055</v>
      </c>
      <c r="F31" s="232" t="str">
        <f>IF(D31&gt;E31,"konc. &lt; kom.",IF(OR(D31&lt;0,E31&lt;0),"Varför minusbelopp?",IF(OR(D31=0,E31=0),"Belopp saknas","")))</f>
        <v/>
      </c>
      <c r="G31" s="1554"/>
      <c r="H31" s="1554"/>
      <c r="I31" s="147"/>
      <c r="K31" s="4"/>
      <c r="L31" s="4"/>
      <c r="M31" s="704"/>
      <c r="N31" s="705"/>
      <c r="O31" s="1342"/>
      <c r="P31" s="1349"/>
      <c r="Q31" s="1537"/>
      <c r="R31" s="1537"/>
    </row>
    <row r="32" spans="1:20" ht="14.45" customHeight="1" thickBot="1">
      <c r="A32" s="2144" t="s">
        <v>315</v>
      </c>
      <c r="B32" s="676" t="s">
        <v>666</v>
      </c>
      <c r="C32" s="573" t="s">
        <v>667</v>
      </c>
      <c r="D32" s="349">
        <f>SUM(D21,D26,D30,D31)</f>
        <v>252799.83200000002</v>
      </c>
      <c r="E32" s="350">
        <f>SUM(E21,E26,E30,E31)</f>
        <v>187621.261</v>
      </c>
      <c r="F32" s="1257"/>
      <c r="G32" s="172"/>
      <c r="H32" s="172"/>
      <c r="I32" s="172"/>
      <c r="J32" s="172"/>
      <c r="K32" s="4"/>
      <c r="L32" s="4"/>
      <c r="M32" s="629">
        <f>D32*1000/invanare</f>
        <v>24478.107329794013</v>
      </c>
      <c r="N32" s="636">
        <f>E32*1000/invanare</f>
        <v>18166.995317106441</v>
      </c>
      <c r="O32" s="1283"/>
      <c r="P32" s="1349"/>
      <c r="Q32" s="1537"/>
      <c r="R32" s="1537"/>
    </row>
    <row r="33" spans="1:19" ht="14.45" customHeight="1" thickBot="1">
      <c r="A33" s="2145" t="s">
        <v>293</v>
      </c>
      <c r="B33" s="677" t="s">
        <v>668</v>
      </c>
      <c r="C33" s="678" t="s">
        <v>669</v>
      </c>
      <c r="D33" s="352">
        <f>SUM(D18,D19,D32)</f>
        <v>1123335.5900000001</v>
      </c>
      <c r="E33" s="351">
        <f>SUM(E18,E19,E32)</f>
        <v>1610878.487</v>
      </c>
      <c r="F33" s="1257"/>
      <c r="G33" s="172"/>
      <c r="H33" s="172"/>
      <c r="I33" s="172"/>
      <c r="J33" s="172"/>
      <c r="K33" s="4"/>
      <c r="L33" s="4"/>
      <c r="M33" s="4"/>
      <c r="N33" s="4"/>
      <c r="P33" s="1349"/>
      <c r="Q33" s="1537"/>
      <c r="R33" s="1537"/>
    </row>
    <row r="34" spans="1:19" ht="14.45" customHeight="1">
      <c r="A34" s="1349"/>
      <c r="B34" s="1537"/>
      <c r="C34" s="18"/>
      <c r="D34" s="1319"/>
      <c r="E34" s="1319"/>
      <c r="F34" s="1257"/>
      <c r="G34" s="172"/>
      <c r="H34" s="172"/>
      <c r="I34" s="172"/>
      <c r="J34" s="172"/>
      <c r="K34" s="4"/>
      <c r="L34" s="4"/>
      <c r="M34" s="4"/>
      <c r="N34" s="4"/>
      <c r="P34" s="1349"/>
      <c r="Q34" s="1537"/>
      <c r="R34" s="1537"/>
    </row>
    <row r="35" spans="1:19" ht="14.45" customHeight="1">
      <c r="A35" s="6"/>
      <c r="B35" s="7"/>
      <c r="C35" s="8"/>
      <c r="D35" s="9"/>
      <c r="E35" s="9"/>
      <c r="F35" s="1257"/>
      <c r="G35" s="172"/>
      <c r="H35" s="172"/>
      <c r="I35" s="172"/>
      <c r="J35" s="172"/>
      <c r="K35" s="4"/>
      <c r="L35" s="4"/>
      <c r="M35" s="4"/>
      <c r="N35" s="4"/>
      <c r="Q35" s="1348"/>
      <c r="R35" s="1273"/>
    </row>
    <row r="36" spans="1:19" ht="14.45" customHeight="1" thickBot="1">
      <c r="A36" s="1"/>
      <c r="B36" s="7"/>
      <c r="C36" s="8"/>
      <c r="D36" s="9"/>
      <c r="E36" s="9"/>
      <c r="F36" s="1257"/>
      <c r="G36" s="172"/>
      <c r="H36" s="172"/>
      <c r="I36" s="172"/>
      <c r="J36" s="172"/>
      <c r="K36" s="4"/>
      <c r="L36" s="4"/>
      <c r="M36" s="4"/>
      <c r="N36" s="4"/>
      <c r="Q36" s="1348"/>
      <c r="R36" s="1273"/>
    </row>
    <row r="37" spans="1:19" ht="14.45" customHeight="1">
      <c r="A37" s="659" t="s">
        <v>643</v>
      </c>
      <c r="B37" s="2090" t="s">
        <v>1168</v>
      </c>
      <c r="C37" s="718" t="s">
        <v>368</v>
      </c>
      <c r="D37" s="679" t="s">
        <v>636</v>
      </c>
      <c r="E37" s="680" t="s">
        <v>752</v>
      </c>
      <c r="F37" s="1257"/>
      <c r="G37" s="172"/>
      <c r="H37" s="172"/>
      <c r="I37" s="172"/>
      <c r="J37" s="172"/>
      <c r="K37" s="4"/>
      <c r="L37" s="4"/>
      <c r="M37" s="2439" t="s">
        <v>470</v>
      </c>
      <c r="N37" s="2440"/>
      <c r="O37" s="1343"/>
      <c r="P37" s="1273"/>
      <c r="Q37" s="1339"/>
      <c r="R37" s="1537"/>
      <c r="S37" s="1339"/>
    </row>
    <row r="38" spans="1:19" ht="14.45" customHeight="1">
      <c r="A38" s="1532" t="s">
        <v>637</v>
      </c>
      <c r="B38" s="719"/>
      <c r="C38" s="720"/>
      <c r="D38" s="721"/>
      <c r="E38" s="722"/>
      <c r="F38" s="1257"/>
      <c r="G38" s="172"/>
      <c r="H38" s="172"/>
      <c r="I38" s="172"/>
      <c r="J38" s="172"/>
      <c r="K38" s="4"/>
      <c r="L38" s="4"/>
      <c r="M38" s="738" t="s">
        <v>636</v>
      </c>
      <c r="N38" s="739" t="s">
        <v>752</v>
      </c>
      <c r="O38" s="1344"/>
      <c r="P38" s="1273"/>
      <c r="Q38" s="1339"/>
      <c r="R38" s="1537"/>
      <c r="S38" s="1539"/>
    </row>
    <row r="39" spans="1:19" ht="14.45" customHeight="1">
      <c r="A39" s="588" t="s">
        <v>319</v>
      </c>
      <c r="B39" s="671">
        <v>201</v>
      </c>
      <c r="C39" s="559" t="s">
        <v>670</v>
      </c>
      <c r="D39" s="353">
        <v>460850.87400000001</v>
      </c>
      <c r="E39" s="350">
        <v>606047.56299999997</v>
      </c>
      <c r="F39" s="1707"/>
      <c r="G39" s="172"/>
      <c r="H39" s="172"/>
      <c r="I39" s="172"/>
      <c r="J39" s="172"/>
      <c r="K39" s="4"/>
      <c r="L39" s="4"/>
      <c r="M39" s="740"/>
      <c r="N39" s="741"/>
      <c r="O39" s="1319"/>
      <c r="P39" s="1349"/>
      <c r="Q39" s="1349"/>
      <c r="R39" s="1349"/>
      <c r="S39" s="1520"/>
    </row>
    <row r="40" spans="1:19" ht="14.45" customHeight="1">
      <c r="A40" s="588" t="s">
        <v>1180</v>
      </c>
      <c r="B40" s="671" t="s">
        <v>1123</v>
      </c>
      <c r="C40" s="559" t="s">
        <v>1124</v>
      </c>
      <c r="D40" s="2045">
        <v>2342.5450000000001</v>
      </c>
      <c r="E40" s="2046">
        <v>-812.67399999999998</v>
      </c>
      <c r="F40" s="1258"/>
      <c r="G40" s="172"/>
      <c r="H40" s="172"/>
      <c r="I40" s="172"/>
      <c r="J40" s="172"/>
      <c r="K40" s="4"/>
      <c r="L40" s="4"/>
      <c r="M40" s="740"/>
      <c r="N40" s="741"/>
      <c r="O40" s="1319"/>
      <c r="P40" s="1349"/>
      <c r="Q40" s="1349"/>
      <c r="R40" s="1349"/>
      <c r="S40" s="2044"/>
    </row>
    <row r="41" spans="1:19" ht="14.45" customHeight="1">
      <c r="A41" s="588" t="s">
        <v>320</v>
      </c>
      <c r="B41" s="671">
        <v>202</v>
      </c>
      <c r="C41" s="559" t="s">
        <v>642</v>
      </c>
      <c r="D41" s="98">
        <f>RR!C19</f>
        <v>18651.531000000003</v>
      </c>
      <c r="E41" s="1234">
        <f>RR!D19</f>
        <v>26877.361000000092</v>
      </c>
      <c r="F41" s="232"/>
      <c r="G41" s="4"/>
      <c r="H41" s="4"/>
      <c r="I41" s="4"/>
      <c r="J41" s="4"/>
      <c r="K41" s="4"/>
      <c r="L41" s="4"/>
      <c r="M41" s="740"/>
      <c r="N41" s="741"/>
      <c r="O41" s="1319"/>
      <c r="P41" s="1349"/>
      <c r="Q41" s="1349"/>
      <c r="R41" s="1349"/>
    </row>
    <row r="42" spans="1:19" ht="14.45" customHeight="1">
      <c r="A42" s="590" t="s">
        <v>846</v>
      </c>
      <c r="B42" s="2055"/>
      <c r="C42" s="564" t="s">
        <v>1144</v>
      </c>
      <c r="D42" s="54">
        <v>729.00400000000002</v>
      </c>
      <c r="E42" s="178">
        <v>1231.3720000000001</v>
      </c>
      <c r="F42" s="232"/>
      <c r="G42" s="4"/>
      <c r="H42" s="4"/>
      <c r="I42" s="4"/>
      <c r="J42" s="4"/>
      <c r="K42" s="4"/>
      <c r="L42" s="4"/>
      <c r="M42" s="740"/>
      <c r="N42" s="741"/>
      <c r="O42" s="1319"/>
      <c r="P42" s="1349"/>
      <c r="Q42" s="1349"/>
      <c r="R42" s="1349"/>
    </row>
    <row r="43" spans="1:19" ht="17.25" customHeight="1">
      <c r="A43" s="590" t="s">
        <v>321</v>
      </c>
      <c r="B43" s="730" t="s">
        <v>876</v>
      </c>
      <c r="C43" s="731" t="s">
        <v>877</v>
      </c>
      <c r="D43" s="353">
        <f>SUM(D39:D42)</f>
        <v>482573.95400000003</v>
      </c>
      <c r="E43" s="350">
        <f>SUM(E39:E42)</f>
        <v>633343.62199999997</v>
      </c>
      <c r="F43" s="232"/>
      <c r="G43" s="4"/>
      <c r="H43" s="4"/>
      <c r="I43" s="4"/>
      <c r="J43" s="4"/>
      <c r="K43" s="4"/>
      <c r="L43" s="4"/>
      <c r="M43" s="742">
        <f>D43*1000/invanare</f>
        <v>46726.680738360134</v>
      </c>
      <c r="N43" s="627">
        <f>E43*1000/invanare</f>
        <v>61325.409250890989</v>
      </c>
      <c r="O43" s="1319"/>
      <c r="P43" s="1349"/>
      <c r="Q43" s="1537"/>
      <c r="R43" s="1349"/>
    </row>
    <row r="44" spans="1:19" ht="15" customHeight="1">
      <c r="A44" s="591" t="s">
        <v>845</v>
      </c>
      <c r="B44" s="726"/>
      <c r="C44" s="564" t="s">
        <v>878</v>
      </c>
      <c r="D44" s="54">
        <v>17656.850999999999</v>
      </c>
      <c r="E44" s="178">
        <v>21123.183000000001</v>
      </c>
      <c r="F44" s="232"/>
      <c r="G44" s="2209"/>
      <c r="H44" s="2209"/>
      <c r="I44" s="2209"/>
      <c r="J44" s="2209"/>
      <c r="K44" s="2209"/>
      <c r="L44" s="4"/>
      <c r="M44" s="740"/>
      <c r="N44" s="741"/>
      <c r="O44" s="2043"/>
      <c r="P44" s="1349"/>
      <c r="Q44" s="1349"/>
      <c r="R44" s="1349"/>
    </row>
    <row r="45" spans="1:19" ht="18.75" customHeight="1" thickBot="1">
      <c r="A45" s="592"/>
      <c r="B45" s="728"/>
      <c r="C45" s="579"/>
      <c r="D45" s="1542"/>
      <c r="E45" s="1543"/>
      <c r="F45" s="232"/>
      <c r="G45" s="2209"/>
      <c r="H45" s="2209"/>
      <c r="I45" s="2209"/>
      <c r="J45" s="2209"/>
      <c r="K45" s="2209"/>
      <c r="L45" s="4"/>
      <c r="M45" s="1400"/>
      <c r="N45" s="632"/>
      <c r="O45" s="1283"/>
      <c r="P45" s="1349"/>
      <c r="Q45" s="1537"/>
      <c r="R45" s="1537"/>
    </row>
    <row r="46" spans="1:19" ht="14.45" customHeight="1">
      <c r="A46" s="588" t="s">
        <v>322</v>
      </c>
      <c r="B46" s="724" t="s">
        <v>671</v>
      </c>
      <c r="C46" s="725" t="s">
        <v>858</v>
      </c>
      <c r="D46" s="186">
        <v>35888.957999999999</v>
      </c>
      <c r="E46" s="723"/>
      <c r="F46" s="232" t="str">
        <f>IF(D46=0,"Varför saknas avsättningar för pensioner?","")</f>
        <v/>
      </c>
      <c r="G46" s="181" t="s">
        <v>1065</v>
      </c>
      <c r="H46" s="4"/>
      <c r="I46" s="4"/>
      <c r="J46" s="4"/>
      <c r="K46" s="4"/>
      <c r="L46" s="4"/>
      <c r="M46" s="743"/>
      <c r="N46" s="744"/>
      <c r="O46" s="1283"/>
      <c r="P46" s="1349"/>
      <c r="Q46" s="1349"/>
      <c r="R46" s="1349"/>
    </row>
    <row r="47" spans="1:19" ht="14.45" customHeight="1">
      <c r="A47" s="588" t="s">
        <v>323</v>
      </c>
      <c r="B47" s="671" t="s">
        <v>672</v>
      </c>
      <c r="C47" s="559" t="s">
        <v>859</v>
      </c>
      <c r="D47" s="186">
        <v>819.524</v>
      </c>
      <c r="E47" s="723"/>
      <c r="F47" s="1257"/>
      <c r="G47" s="76"/>
      <c r="H47" s="4"/>
      <c r="I47" s="4"/>
      <c r="J47" s="208"/>
      <c r="L47" s="4"/>
      <c r="M47" s="626">
        <f>SUM(D46:D48)*1000/invanare</f>
        <v>4414.1379948408094</v>
      </c>
      <c r="N47" s="745"/>
      <c r="O47" s="1283"/>
      <c r="P47" s="1349"/>
      <c r="Q47" s="1349"/>
      <c r="R47" s="1349"/>
    </row>
    <row r="48" spans="1:19" ht="14.45" customHeight="1">
      <c r="A48" s="588" t="s">
        <v>324</v>
      </c>
      <c r="B48" s="726" t="s">
        <v>673</v>
      </c>
      <c r="C48" s="727" t="s">
        <v>793</v>
      </c>
      <c r="D48" s="186">
        <v>8878.9210000000003</v>
      </c>
      <c r="E48" s="723"/>
      <c r="F48" s="232" t="str">
        <f>IF(D48=0,"Varför saknas avsättningar för särskild löneskatt pens.?","")</f>
        <v/>
      </c>
      <c r="G48" s="4"/>
      <c r="H48" s="4"/>
      <c r="I48" s="15"/>
      <c r="J48" s="1722" t="s">
        <v>636</v>
      </c>
      <c r="L48" s="1717"/>
      <c r="M48" s="746"/>
      <c r="N48" s="744"/>
      <c r="O48" s="1283"/>
      <c r="P48" s="1349"/>
      <c r="Q48" s="1349"/>
      <c r="R48" s="1349"/>
    </row>
    <row r="49" spans="1:20" ht="14.45" customHeight="1">
      <c r="A49" s="588" t="s">
        <v>325</v>
      </c>
      <c r="B49" s="671" t="s">
        <v>674</v>
      </c>
      <c r="C49" s="727" t="s">
        <v>675</v>
      </c>
      <c r="D49" s="186">
        <v>24515.934000000001</v>
      </c>
      <c r="E49" s="723"/>
      <c r="F49" s="1257"/>
      <c r="G49" s="706" t="s">
        <v>294</v>
      </c>
      <c r="H49" s="707" t="s">
        <v>676</v>
      </c>
      <c r="I49" s="1713" t="s">
        <v>1145</v>
      </c>
      <c r="J49" s="1716">
        <v>2570.9690000000001</v>
      </c>
      <c r="K49" s="1712"/>
      <c r="L49" s="1867"/>
      <c r="M49" s="626">
        <f>D49*1000/invanare</f>
        <v>2373.8293613349642</v>
      </c>
      <c r="N49" s="744"/>
      <c r="O49" s="1283"/>
      <c r="P49" s="1349"/>
      <c r="Q49" s="1349"/>
      <c r="R49" s="1349"/>
      <c r="S49" s="301"/>
      <c r="T49" s="301"/>
    </row>
    <row r="50" spans="1:20" ht="14.45" customHeight="1" thickBot="1">
      <c r="A50" s="592" t="s">
        <v>326</v>
      </c>
      <c r="B50" s="676">
        <v>22</v>
      </c>
      <c r="C50" s="542" t="s">
        <v>677</v>
      </c>
      <c r="D50" s="349">
        <f>SUM(D46:D49)</f>
        <v>70103.337</v>
      </c>
      <c r="E50" s="191">
        <v>106686.48699999999</v>
      </c>
      <c r="F50" s="232" t="str">
        <f>IF(D50&gt;E50,"konc. &lt; komm.",IF(OR(D50=0,E50=0),"Belopp saknas",""))</f>
        <v/>
      </c>
      <c r="G50" s="1421" t="s">
        <v>1019</v>
      </c>
      <c r="H50" s="1422" t="s">
        <v>1074</v>
      </c>
      <c r="I50" s="1713" t="s">
        <v>1020</v>
      </c>
      <c r="J50" s="1716">
        <v>17135.501</v>
      </c>
      <c r="K50" s="1712"/>
      <c r="L50" s="1867"/>
      <c r="M50" s="742">
        <f>D50*1000/invanare</f>
        <v>6787.9673561757736</v>
      </c>
      <c r="N50" s="627">
        <f>E50*1000/invanare</f>
        <v>10330.241356428882</v>
      </c>
      <c r="O50" s="1283"/>
      <c r="P50" s="1349"/>
      <c r="Q50" s="1537"/>
      <c r="R50" s="1537"/>
    </row>
    <row r="51" spans="1:20" ht="14.45" customHeight="1">
      <c r="A51" s="588" t="s">
        <v>327</v>
      </c>
      <c r="B51" s="671">
        <v>234</v>
      </c>
      <c r="C51" s="559" t="s">
        <v>678</v>
      </c>
      <c r="D51" s="186">
        <v>309003.18699999998</v>
      </c>
      <c r="E51" s="1710">
        <v>532750.33200000005</v>
      </c>
      <c r="F51" s="232" t="str">
        <f>IF(D51&gt;E51,"konc. &lt; komm.",IF(OR(D51="",E51=""),"Skriv belopp eller 0",""))</f>
        <v/>
      </c>
      <c r="G51" s="183"/>
      <c r="H51" s="4"/>
      <c r="I51" s="172"/>
      <c r="J51" s="142"/>
      <c r="K51" s="172"/>
      <c r="L51" s="1867"/>
      <c r="M51" s="743"/>
      <c r="N51" s="744"/>
      <c r="O51" s="1283"/>
      <c r="P51" s="1349"/>
      <c r="Q51" s="1349"/>
      <c r="R51" s="1349"/>
    </row>
    <row r="52" spans="1:20" ht="14.45" customHeight="1">
      <c r="A52" s="588" t="s">
        <v>328</v>
      </c>
      <c r="B52" s="671">
        <v>235</v>
      </c>
      <c r="C52" s="559" t="s">
        <v>679</v>
      </c>
      <c r="D52" s="186">
        <v>11073.361999999999</v>
      </c>
      <c r="E52" s="1710">
        <v>13268.511</v>
      </c>
      <c r="F52" s="232" t="str">
        <f>IF(OR(D52="",E52=""),"Skriv belopp eller 0","")</f>
        <v/>
      </c>
      <c r="G52" s="183"/>
      <c r="H52" s="4"/>
      <c r="I52" s="172"/>
      <c r="J52" s="218"/>
      <c r="K52" s="1719"/>
      <c r="L52" s="1867"/>
      <c r="M52" s="743"/>
      <c r="N52" s="744"/>
      <c r="O52" s="1283"/>
      <c r="P52" s="1349"/>
      <c r="Q52" s="1349"/>
      <c r="R52" s="1349"/>
    </row>
    <row r="53" spans="1:20" ht="14.45" customHeight="1">
      <c r="A53" s="588" t="s">
        <v>329</v>
      </c>
      <c r="B53" s="671">
        <v>236</v>
      </c>
      <c r="C53" s="559" t="s">
        <v>680</v>
      </c>
      <c r="D53" s="186">
        <v>1315.279</v>
      </c>
      <c r="E53" s="723"/>
      <c r="F53" s="1257"/>
      <c r="G53" s="183"/>
      <c r="H53" s="4"/>
      <c r="I53" s="1720"/>
      <c r="J53" s="1714" t="s">
        <v>636</v>
      </c>
      <c r="K53" s="1715" t="s">
        <v>752</v>
      </c>
      <c r="L53" s="202"/>
      <c r="M53" s="743"/>
      <c r="N53" s="744"/>
      <c r="O53" s="1283"/>
      <c r="P53" s="1349"/>
      <c r="Q53" s="1349"/>
      <c r="R53" s="1349"/>
    </row>
    <row r="54" spans="1:20" ht="14.45" customHeight="1">
      <c r="A54" s="588" t="s">
        <v>330</v>
      </c>
      <c r="B54" s="671" t="s">
        <v>817</v>
      </c>
      <c r="C54" s="559" t="s">
        <v>1082</v>
      </c>
      <c r="D54" s="192">
        <v>13767.039000000001</v>
      </c>
      <c r="E54" s="1710">
        <v>29139.995999999999</v>
      </c>
      <c r="F54" s="232" t="str">
        <f>IF(OR(D54="",E54=""),"Skriv belopp eller 0","")</f>
        <v/>
      </c>
      <c r="G54" s="1421" t="s">
        <v>1021</v>
      </c>
      <c r="H54" s="1614" t="s">
        <v>1072</v>
      </c>
      <c r="I54" s="1713" t="s">
        <v>1192</v>
      </c>
      <c r="J54" s="1716">
        <v>8741.7270000000008</v>
      </c>
      <c r="K54" s="1716">
        <v>9227.6550000000007</v>
      </c>
      <c r="L54" s="1867"/>
      <c r="M54" s="702"/>
      <c r="N54" s="744"/>
      <c r="O54" s="1283"/>
      <c r="P54" s="1349"/>
      <c r="Q54" s="1349"/>
      <c r="R54" s="1349"/>
      <c r="S54" s="1273"/>
      <c r="T54" s="1273"/>
    </row>
    <row r="55" spans="1:20" ht="19.5" customHeight="1">
      <c r="A55" s="588" t="s">
        <v>844</v>
      </c>
      <c r="B55" s="671" t="s">
        <v>816</v>
      </c>
      <c r="C55" s="596" t="s">
        <v>1191</v>
      </c>
      <c r="D55" s="192">
        <v>30248.923999999999</v>
      </c>
      <c r="E55" s="1710">
        <v>34638.947999999997</v>
      </c>
      <c r="F55" s="232" t="str">
        <f>IF(D55&gt;E55,"konc. &lt; komm.",IF(OR(D55="",E55=""),"Skriv belopp eller 0",""))</f>
        <v/>
      </c>
      <c r="G55" s="1721"/>
      <c r="H55" s="1721"/>
      <c r="I55" s="1487"/>
      <c r="J55" s="142" t="str">
        <f>IF(AND(D55=0,J54=0),"",IF(SUM(J54)&gt;D55,"Däravrad 132 &gt; rad 087",IF(AND(D55&gt;10,J54=""),"Rad 132: skriv belopp eller 0","")))</f>
        <v/>
      </c>
      <c r="K55" s="142" t="str">
        <f>IF(AND(E55=0,K54=0),"",IF(SUM(K54)&gt;E55,"Däravrad 132 &gt; rad 087",IF(AND(E55&gt;10,K54=""),"Rad 132: skriv belopp eller 0",IF(J54&gt;K54,"konc.&lt;kommun",""))))</f>
        <v/>
      </c>
      <c r="L55" s="4"/>
      <c r="M55" s="702"/>
      <c r="N55" s="744"/>
      <c r="O55" s="1283"/>
      <c r="P55" s="1349"/>
      <c r="Q55" s="1349"/>
      <c r="R55" s="1349"/>
      <c r="S55" s="1273"/>
      <c r="T55" s="1273"/>
    </row>
    <row r="56" spans="1:20" ht="14.45" customHeight="1">
      <c r="A56" s="588" t="s">
        <v>331</v>
      </c>
      <c r="B56" s="673" t="s">
        <v>681</v>
      </c>
      <c r="C56" s="614" t="s">
        <v>682</v>
      </c>
      <c r="D56" s="193">
        <v>4476.4589999999998</v>
      </c>
      <c r="E56" s="1710">
        <v>4497.8019999999997</v>
      </c>
      <c r="F56" s="232"/>
      <c r="G56" s="1425" t="s">
        <v>1022</v>
      </c>
      <c r="H56" s="1426" t="s">
        <v>1073</v>
      </c>
      <c r="I56" s="1899" t="s">
        <v>1025</v>
      </c>
      <c r="J56" s="1916">
        <v>69759.269</v>
      </c>
      <c r="K56" s="1917">
        <v>82255.58</v>
      </c>
      <c r="L56" s="1258" t="str">
        <f>IF(AND(D57=0,J56=0,E57=0,K56=0),"",IF(SUM(J56)&gt;D57,"Däravrad 133 &gt; rad 089",IF(AND(D57&gt;10,J56=""),"Rad 133,kommun: skriv belopp eller 0",IF(AND(E57=0,K56=0),"",IF(SUM(K56)&gt;E57,"Koncern:Däravrad 133&gt;rad 089",IF(AND(E57&gt;10,K56=""),"Rad 133,koncern:skriv belopp eller 0",""))))))</f>
        <v/>
      </c>
      <c r="M56" s="702"/>
      <c r="N56" s="744"/>
      <c r="O56" s="1283"/>
      <c r="P56" s="1349"/>
      <c r="Q56" s="1338"/>
      <c r="R56" s="1349"/>
      <c r="S56" s="1273"/>
      <c r="T56" s="1273"/>
    </row>
    <row r="57" spans="1:20" ht="14.45" customHeight="1" thickBot="1">
      <c r="A57" s="592" t="s">
        <v>332</v>
      </c>
      <c r="B57" s="728">
        <v>23</v>
      </c>
      <c r="C57" s="576" t="s">
        <v>683</v>
      </c>
      <c r="D57" s="349">
        <f>SUM(D51:D56)</f>
        <v>369884.24999999994</v>
      </c>
      <c r="E57" s="349">
        <f>SUM(E51:E52,E54:E56)</f>
        <v>614295.58900000015</v>
      </c>
      <c r="F57" s="232"/>
      <c r="G57" s="1900" t="s">
        <v>351</v>
      </c>
      <c r="H57" s="1906" t="s">
        <v>1073</v>
      </c>
      <c r="I57" s="1901" t="s">
        <v>1076</v>
      </c>
      <c r="J57" s="1852">
        <v>170440.106</v>
      </c>
      <c r="K57" s="1923"/>
      <c r="L57" s="1258" t="str">
        <f>IF(AND(D57=0,J57=0),"",IF(SUM(J57)&gt;D57,"Däravrad 088 &gt; rad 089",IF(AND(D57&gt;10,J57=""),"Rad 088,kommun: skriv belopp eller 0","")))</f>
        <v/>
      </c>
      <c r="M57" s="626">
        <f>D57*1000/invanare</f>
        <v>35815.159762844931</v>
      </c>
      <c r="N57" s="627">
        <f>E57*1000/invanare</f>
        <v>59481.025919989661</v>
      </c>
      <c r="O57" s="1283"/>
      <c r="P57" s="1349"/>
      <c r="Q57" s="1537"/>
      <c r="R57" s="1537"/>
    </row>
    <row r="58" spans="1:20" ht="18" customHeight="1">
      <c r="A58" s="588" t="s">
        <v>333</v>
      </c>
      <c r="B58" s="729" t="s">
        <v>684</v>
      </c>
      <c r="C58" s="559" t="s">
        <v>685</v>
      </c>
      <c r="D58" s="186">
        <v>75892.801999999996</v>
      </c>
      <c r="E58" s="723"/>
      <c r="F58" s="232"/>
      <c r="G58" s="1287" t="s">
        <v>335</v>
      </c>
      <c r="H58" s="2107" t="s">
        <v>757</v>
      </c>
      <c r="I58" s="2108" t="s">
        <v>3</v>
      </c>
      <c r="J58" s="2109">
        <v>19831.986000000001</v>
      </c>
      <c r="K58" s="1907" t="s">
        <v>1078</v>
      </c>
      <c r="L58" s="142" t="str">
        <f>IF(AND(D58=0,J58=0),"",IF(SUM(J58)&gt;D58,"Däravrad 091 &gt; rad 090",IF(AND(D58&gt;10,J58=""),"Rad 091: skriv belopp eller 0","")))</f>
        <v/>
      </c>
      <c r="M58" s="743"/>
      <c r="N58" s="744"/>
      <c r="O58" s="1283"/>
      <c r="P58" s="1349"/>
      <c r="Q58" s="1338"/>
      <c r="R58" s="1349"/>
      <c r="S58" s="301"/>
      <c r="T58" s="301"/>
    </row>
    <row r="59" spans="1:20" ht="14.45" customHeight="1">
      <c r="A59" s="588" t="s">
        <v>334</v>
      </c>
      <c r="B59" s="673" t="s">
        <v>686</v>
      </c>
      <c r="C59" s="564" t="s">
        <v>687</v>
      </c>
      <c r="D59" s="186">
        <v>32936.292000000001</v>
      </c>
      <c r="E59" s="723"/>
      <c r="F59" s="1257"/>
      <c r="G59" s="2105" t="s">
        <v>1023</v>
      </c>
      <c r="H59" s="546" t="s">
        <v>1024</v>
      </c>
      <c r="I59" s="887" t="s">
        <v>1081</v>
      </c>
      <c r="J59" s="2106">
        <v>34811.468000000001</v>
      </c>
      <c r="K59" s="2054" t="s">
        <v>1077</v>
      </c>
      <c r="L59" s="1697" t="str">
        <f>IF(AND(D58=0,J59=0),"",IF(SUM(J59)&gt;D58,"Däravrad 091 &gt; rad 090",IF(J59="","skriv belopp eller 0","")))</f>
        <v/>
      </c>
      <c r="M59" s="743"/>
      <c r="N59" s="744"/>
      <c r="O59" s="1283"/>
      <c r="P59" s="1349"/>
      <c r="Q59" s="1338"/>
      <c r="R59" s="1349"/>
      <c r="S59" s="301"/>
      <c r="T59" s="301"/>
    </row>
    <row r="60" spans="1:20" ht="14.45" customHeight="1">
      <c r="A60" s="588" t="s">
        <v>352</v>
      </c>
      <c r="B60" s="673">
        <v>271</v>
      </c>
      <c r="C60" s="564" t="s">
        <v>13</v>
      </c>
      <c r="D60" s="186">
        <v>5968.96</v>
      </c>
      <c r="E60" s="723"/>
      <c r="F60" s="1257"/>
      <c r="G60" s="1427" t="s">
        <v>5</v>
      </c>
      <c r="H60" s="1897" t="s">
        <v>1141</v>
      </c>
      <c r="I60" s="1904" t="s">
        <v>1200</v>
      </c>
      <c r="J60" s="1902">
        <v>21541.38</v>
      </c>
      <c r="K60" s="2054"/>
      <c r="L60" s="1697" t="str">
        <f>IF(J59=0,"",IF(J60&gt;J59,"Varav-rad 135 &gt; rad 134",IF(J60="","skriv belopp eller 0","")))</f>
        <v/>
      </c>
      <c r="M60" s="743"/>
      <c r="N60" s="744"/>
      <c r="O60" s="1283"/>
      <c r="P60" s="1349"/>
      <c r="Q60" s="1338"/>
      <c r="R60" s="1349"/>
    </row>
    <row r="61" spans="1:20" ht="14.45" customHeight="1">
      <c r="A61" s="588" t="s">
        <v>337</v>
      </c>
      <c r="B61" s="673">
        <v>281</v>
      </c>
      <c r="C61" s="564" t="s">
        <v>688</v>
      </c>
      <c r="D61" s="194">
        <v>3142.105</v>
      </c>
      <c r="E61" s="736"/>
      <c r="F61" s="1257"/>
      <c r="G61" s="1896" t="s">
        <v>336</v>
      </c>
      <c r="H61" s="1897" t="s">
        <v>778</v>
      </c>
      <c r="I61" s="1898" t="s">
        <v>4</v>
      </c>
      <c r="J61" s="2110">
        <v>3875.174</v>
      </c>
      <c r="K61" s="2111"/>
      <c r="L61" s="1258" t="str">
        <f>IF(AND(D59=0,J61=0),"",IF(SUM(J61)&gt;D59,"Däravrad 092 &gt; rad 086",IF(J61="","skriv belopp eller 0","")))</f>
        <v/>
      </c>
      <c r="M61" s="743"/>
      <c r="N61" s="703"/>
      <c r="O61" s="1283"/>
      <c r="P61" s="1349"/>
      <c r="Q61" s="1338"/>
      <c r="R61" s="1349"/>
    </row>
    <row r="62" spans="1:20" ht="14.45" customHeight="1">
      <c r="A62" s="588" t="s">
        <v>338</v>
      </c>
      <c r="B62" s="673" t="s">
        <v>689</v>
      </c>
      <c r="C62" s="564" t="s">
        <v>690</v>
      </c>
      <c r="D62" s="193">
        <v>18383.72</v>
      </c>
      <c r="E62" s="737"/>
      <c r="F62" s="232" t="str">
        <f>IF(D62&lt;&gt;0,"","Belopp saknas för kommunen")</f>
        <v/>
      </c>
      <c r="G62" s="4"/>
      <c r="H62" s="11"/>
      <c r="I62" s="172"/>
      <c r="J62" s="1699"/>
      <c r="K62" s="1905"/>
      <c r="L62" s="202"/>
      <c r="M62" s="743"/>
      <c r="N62" s="703"/>
      <c r="O62" s="1283"/>
      <c r="P62" s="1349"/>
      <c r="Q62" s="1338"/>
      <c r="R62" s="1349"/>
    </row>
    <row r="63" spans="1:20" ht="14.45" customHeight="1">
      <c r="A63" s="588" t="s">
        <v>865</v>
      </c>
      <c r="B63" s="673">
        <v>293</v>
      </c>
      <c r="C63" s="564" t="s">
        <v>819</v>
      </c>
      <c r="D63" s="192">
        <v>13258.522999999999</v>
      </c>
      <c r="E63" s="735"/>
      <c r="F63" s="232" t="str">
        <f>IF(D63&lt;&gt;0,"","Belopp saknas för kommunen")</f>
        <v/>
      </c>
      <c r="G63" s="4"/>
      <c r="H63" s="4"/>
      <c r="I63" s="172"/>
      <c r="J63" s="1722" t="s">
        <v>636</v>
      </c>
      <c r="K63" s="172"/>
      <c r="L63" s="202"/>
      <c r="M63" s="743"/>
      <c r="N63" s="703"/>
      <c r="O63" s="1283"/>
      <c r="P63" s="1349"/>
      <c r="Q63" s="1338"/>
      <c r="R63" s="1349"/>
      <c r="S63" s="301"/>
    </row>
    <row r="64" spans="1:20" ht="14.45" customHeight="1">
      <c r="A64" s="588" t="s">
        <v>340</v>
      </c>
      <c r="B64" s="673" t="s">
        <v>692</v>
      </c>
      <c r="C64" s="564" t="s">
        <v>794</v>
      </c>
      <c r="D64" s="192">
        <v>12499.526</v>
      </c>
      <c r="E64" s="735"/>
      <c r="F64" s="232" t="str">
        <f>IF(D64&lt;&gt;0,"","Belopp saknas för kommunen")</f>
        <v/>
      </c>
      <c r="G64" s="1421" t="s">
        <v>339</v>
      </c>
      <c r="H64" s="1422" t="s">
        <v>691</v>
      </c>
      <c r="I64" s="1713" t="s">
        <v>818</v>
      </c>
      <c r="J64" s="1716">
        <v>3730.3649999999998</v>
      </c>
      <c r="K64" s="1477"/>
      <c r="L64" s="1697"/>
      <c r="M64" s="743"/>
      <c r="N64" s="703"/>
      <c r="O64" s="1283"/>
      <c r="P64" s="1349"/>
      <c r="Q64" s="1338"/>
      <c r="R64" s="1349"/>
    </row>
    <row r="65" spans="1:19" ht="14.45" customHeight="1">
      <c r="A65" s="588" t="s">
        <v>457</v>
      </c>
      <c r="B65" s="673" t="s">
        <v>14</v>
      </c>
      <c r="C65" s="564" t="s">
        <v>15</v>
      </c>
      <c r="D65" s="192">
        <v>4522.152</v>
      </c>
      <c r="E65" s="735"/>
      <c r="F65" s="1257"/>
      <c r="G65" s="4"/>
      <c r="H65" s="4"/>
      <c r="I65" s="4"/>
      <c r="J65" s="142" t="str">
        <f>IF(AND(D63=0,J64=0),"",IF(SUM(J64)&gt;D63,"Däravrad 095 &gt; rad 104",IF(J64="","skriv belopp eller 0","")))</f>
        <v/>
      </c>
      <c r="K65" s="142"/>
      <c r="L65" s="202"/>
      <c r="M65" s="743"/>
      <c r="N65" s="703"/>
      <c r="O65" s="1283"/>
      <c r="P65" s="1349"/>
      <c r="Q65" s="1338"/>
      <c r="R65" s="1349"/>
    </row>
    <row r="66" spans="1:19" ht="14.45" customHeight="1" thickBot="1">
      <c r="A66" s="588" t="s">
        <v>341</v>
      </c>
      <c r="B66" s="671" t="s">
        <v>693</v>
      </c>
      <c r="C66" s="559" t="s">
        <v>695</v>
      </c>
      <c r="D66" s="192">
        <v>34169.413999999997</v>
      </c>
      <c r="E66" s="735"/>
      <c r="F66" s="1257"/>
      <c r="G66" s="4"/>
      <c r="H66" s="184"/>
      <c r="I66" s="4"/>
      <c r="J66" s="182"/>
      <c r="K66" s="1722" t="s">
        <v>752</v>
      </c>
      <c r="L66" s="202"/>
      <c r="M66" s="743"/>
      <c r="N66" s="703"/>
      <c r="O66" s="1283"/>
      <c r="P66" s="1349"/>
      <c r="Q66" s="1349"/>
      <c r="R66" s="1349"/>
    </row>
    <row r="67" spans="1:19" ht="14.45" customHeight="1" thickBot="1">
      <c r="A67" s="590" t="s">
        <v>342</v>
      </c>
      <c r="B67" s="730" t="s">
        <v>696</v>
      </c>
      <c r="C67" s="731" t="s">
        <v>697</v>
      </c>
      <c r="D67" s="353">
        <f>SUM(D58:D66)</f>
        <v>200773.49400000001</v>
      </c>
      <c r="E67" s="189">
        <v>256552.253</v>
      </c>
      <c r="F67" s="232" t="str">
        <f>IF(E67="","Skriv belopp eller 0 för koncernen","")</f>
        <v/>
      </c>
      <c r="G67" s="1432" t="s">
        <v>333</v>
      </c>
      <c r="H67" s="1433">
        <v>24</v>
      </c>
      <c r="I67" s="2061" t="s">
        <v>1079</v>
      </c>
      <c r="J67" s="2062"/>
      <c r="K67" s="1914">
        <v>69542.032999999996</v>
      </c>
      <c r="L67" s="1697" t="str">
        <f>IF(AND(E67=0,K67=0),"",IF(SUM(K67)&gt;E67,"Därav-rad 090&gt;rad 098 (Excel K67&gt;E67)",IF(AND(E67&gt;100,K67=""),"Rad 090: skriv belopp eller 0","")))</f>
        <v/>
      </c>
      <c r="M67" s="747">
        <f>D67*1000/invanare</f>
        <v>19440.500004405676</v>
      </c>
      <c r="N67" s="748">
        <f>E67*1000/invanare</f>
        <v>24841.446827521893</v>
      </c>
      <c r="O67" s="1283"/>
      <c r="P67" s="1349"/>
      <c r="Q67" s="1537"/>
      <c r="R67" s="1537"/>
    </row>
    <row r="68" spans="1:19" ht="14.25" customHeight="1" thickBot="1">
      <c r="A68" s="581" t="s">
        <v>343</v>
      </c>
      <c r="B68" s="676" t="s">
        <v>698</v>
      </c>
      <c r="C68" s="542" t="s">
        <v>699</v>
      </c>
      <c r="D68" s="342">
        <f>SUM(D57,D67)</f>
        <v>570657.74399999995</v>
      </c>
      <c r="E68" s="354">
        <f>SUM(E57,E67)</f>
        <v>870847.84200000018</v>
      </c>
      <c r="F68" s="1257"/>
      <c r="G68" s="1427" t="s">
        <v>1023</v>
      </c>
      <c r="H68" s="1943" t="s">
        <v>1024</v>
      </c>
      <c r="I68" s="1904" t="s">
        <v>1080</v>
      </c>
      <c r="J68" s="1903"/>
      <c r="K68" s="1915">
        <v>42434.762999999999</v>
      </c>
      <c r="L68" s="1697" t="str">
        <f>IF(AND(K67=0,K68=0),"",IF(SUM(K68)&gt;K67,"Varav-rad 134&gt;rad 090",IF(AND(K67&gt;100,K68=""),"Rad 134, skriv belopp eller 0","")))</f>
        <v/>
      </c>
      <c r="M68" s="1283"/>
      <c r="N68" s="1283"/>
      <c r="O68" s="1283"/>
      <c r="P68" s="1349"/>
      <c r="Q68" s="1537"/>
      <c r="R68" s="1537"/>
    </row>
    <row r="69" spans="1:19" ht="14.45" customHeight="1" thickBot="1">
      <c r="A69" s="732">
        <v>100</v>
      </c>
      <c r="B69" s="733" t="s">
        <v>700</v>
      </c>
      <c r="C69" s="734" t="s">
        <v>701</v>
      </c>
      <c r="D69" s="355">
        <f>SUM(D43,D50,D57,D67)</f>
        <v>1123335.0349999999</v>
      </c>
      <c r="E69" s="351">
        <f>SUM(E43,E50,E57,E67)</f>
        <v>1610877.9510000001</v>
      </c>
      <c r="F69" s="1257"/>
      <c r="G69" s="4"/>
      <c r="H69" s="185"/>
      <c r="I69" s="4"/>
      <c r="J69" s="1697"/>
      <c r="K69" s="1697"/>
      <c r="L69" s="1697"/>
      <c r="M69" s="67"/>
      <c r="N69" s="67"/>
      <c r="O69" s="220"/>
      <c r="P69" s="1349"/>
      <c r="Q69" s="1537"/>
      <c r="R69" s="1537"/>
    </row>
    <row r="70" spans="1:19">
      <c r="A70" s="1355" t="s">
        <v>847</v>
      </c>
      <c r="B70" s="145"/>
      <c r="C70" s="147"/>
      <c r="D70" s="12"/>
      <c r="E70" s="12"/>
      <c r="F70" s="1257"/>
      <c r="G70" s="750" t="s">
        <v>545</v>
      </c>
      <c r="H70" s="751"/>
      <c r="I70" s="751"/>
      <c r="J70" s="752"/>
      <c r="L70" s="202"/>
      <c r="M70" s="630">
        <f>J57*1000/invanare</f>
        <v>16503.378087567195</v>
      </c>
      <c r="N70" s="749"/>
      <c r="O70" s="1319"/>
      <c r="P70" s="1540"/>
      <c r="Q70" s="1541"/>
      <c r="R70" s="1541"/>
    </row>
    <row r="71" spans="1:19">
      <c r="A71" s="1355"/>
      <c r="B71" s="145"/>
      <c r="C71" s="147"/>
      <c r="D71" s="12"/>
      <c r="E71" s="12"/>
      <c r="F71" s="1257"/>
      <c r="G71" s="753" t="s">
        <v>538</v>
      </c>
      <c r="H71" s="754"/>
      <c r="I71" s="754"/>
      <c r="J71" s="755"/>
      <c r="L71" s="202"/>
      <c r="M71" s="1866">
        <f>SUM(D57-J57)*1000/invanare</f>
        <v>19311.78167527774</v>
      </c>
      <c r="N71" s="699"/>
      <c r="O71" s="1319"/>
      <c r="Q71" s="2447"/>
      <c r="R71" s="2447"/>
      <c r="S71" s="2447"/>
    </row>
    <row r="72" spans="1:19" ht="15" customHeight="1">
      <c r="A72" s="171"/>
      <c r="B72" s="10"/>
      <c r="C72" s="8"/>
      <c r="D72" s="12"/>
      <c r="E72" s="12"/>
      <c r="F72" s="1257"/>
      <c r="G72" s="756" t="s">
        <v>536</v>
      </c>
      <c r="H72" s="757"/>
      <c r="I72" s="757"/>
      <c r="J72" s="755"/>
      <c r="M72" s="626">
        <f>IF(D33=0,"",D43*100/D33)</f>
        <v>42.959019396866083</v>
      </c>
      <c r="N72" s="627">
        <f>IF(E33=0,"",E43*100/E33)</f>
        <v>39.316660264021515</v>
      </c>
      <c r="O72" s="1283"/>
      <c r="Q72" s="2447"/>
      <c r="R72" s="2447"/>
      <c r="S72" s="2447"/>
    </row>
    <row r="73" spans="1:19" ht="18" customHeight="1" thickBot="1">
      <c r="A73" s="2084" t="s">
        <v>770</v>
      </c>
      <c r="D73" s="12"/>
      <c r="E73" s="12"/>
      <c r="F73" s="1257"/>
      <c r="G73" s="2441" t="s">
        <v>537</v>
      </c>
      <c r="H73" s="2442"/>
      <c r="I73" s="2442"/>
      <c r="J73" s="2443"/>
      <c r="K73" s="286"/>
      <c r="L73" s="171"/>
      <c r="M73" s="629">
        <f>IF(D33=0,"",(D43-E80)*100/D33)</f>
        <v>26.702427811443236</v>
      </c>
      <c r="N73" s="748">
        <f>IF(E33=0,"",(E43-E80)*100/E33)</f>
        <v>27.980232316554613</v>
      </c>
      <c r="O73" s="1283"/>
      <c r="Q73" s="145"/>
      <c r="R73" s="145"/>
    </row>
    <row r="74" spans="1:19" ht="18">
      <c r="A74" s="2056" t="s">
        <v>643</v>
      </c>
      <c r="B74" s="2078" t="s">
        <v>635</v>
      </c>
      <c r="C74" s="2079"/>
      <c r="D74" s="679" t="s">
        <v>636</v>
      </c>
      <c r="E74" s="680" t="s">
        <v>636</v>
      </c>
      <c r="F74" s="1257"/>
      <c r="G74" s="4"/>
      <c r="H74" s="4"/>
      <c r="I74" s="4"/>
      <c r="J74" s="4"/>
      <c r="K74" s="4"/>
      <c r="L74" s="171"/>
      <c r="M74" s="758" t="str">
        <f>"Föränd. %  "&amp;År-1&amp;" - "&amp;År&amp;" "</f>
        <v xml:space="preserve">Föränd. %  2018 - 2019 </v>
      </c>
      <c r="N74" s="758" t="s">
        <v>470</v>
      </c>
    </row>
    <row r="75" spans="1:19">
      <c r="A75" s="2057" t="s">
        <v>637</v>
      </c>
      <c r="B75" s="2080"/>
      <c r="C75" s="720"/>
      <c r="D75" s="1523">
        <f>År-1</f>
        <v>2018</v>
      </c>
      <c r="E75" s="1524">
        <f>År</f>
        <v>2019</v>
      </c>
      <c r="F75" s="1257"/>
      <c r="G75" s="4"/>
      <c r="H75" s="4"/>
      <c r="I75" s="4"/>
      <c r="J75" s="4"/>
      <c r="K75" s="4"/>
      <c r="L75" s="4"/>
      <c r="M75" s="759"/>
      <c r="N75" s="760" t="s">
        <v>636</v>
      </c>
      <c r="O75" s="1345"/>
      <c r="Q75" s="1273"/>
      <c r="R75" s="1273"/>
    </row>
    <row r="76" spans="1:19" ht="17.25" customHeight="1">
      <c r="A76" s="588" t="s">
        <v>346</v>
      </c>
      <c r="B76" s="765" t="s">
        <v>702</v>
      </c>
      <c r="C76" s="2081"/>
      <c r="D76" s="766">
        <v>132903</v>
      </c>
      <c r="E76" s="99">
        <v>140872.32999999999</v>
      </c>
      <c r="F76" s="1910"/>
      <c r="G76" s="4"/>
      <c r="H76" s="4"/>
      <c r="I76" s="4"/>
      <c r="J76" s="4"/>
      <c r="K76" s="4"/>
      <c r="L76" s="4"/>
      <c r="M76" s="761">
        <f t="shared" ref="M76:M81" si="0">IF(AND(D76=0,E76=0),"",IF(E76=0,1,IF(D76=0,-1,E76/D76-1)))</f>
        <v>5.9963507219551015E-2</v>
      </c>
      <c r="N76" s="762">
        <f t="shared" ref="N76:N81" si="1">E76*1000/invanare</f>
        <v>13640.388865203679</v>
      </c>
      <c r="O76" s="1345"/>
      <c r="Q76" s="1273"/>
      <c r="R76" s="1273"/>
    </row>
    <row r="77" spans="1:19" ht="15.75" customHeight="1">
      <c r="A77" s="588" t="s">
        <v>347</v>
      </c>
      <c r="B77" s="767" t="s">
        <v>703</v>
      </c>
      <c r="C77" s="571"/>
      <c r="D77" s="768">
        <v>5564</v>
      </c>
      <c r="E77" s="99">
        <v>6219.4380000000001</v>
      </c>
      <c r="F77" s="1910"/>
      <c r="G77" s="4"/>
      <c r="H77" s="4"/>
      <c r="I77" s="4"/>
      <c r="J77" s="4"/>
      <c r="K77" s="4"/>
      <c r="L77" s="4"/>
      <c r="M77" s="763">
        <f t="shared" si="0"/>
        <v>0.11779978432782179</v>
      </c>
      <c r="N77" s="762">
        <f t="shared" si="1"/>
        <v>602.21587051924701</v>
      </c>
      <c r="O77" s="1283"/>
      <c r="Q77" s="1273"/>
      <c r="R77" s="1273"/>
    </row>
    <row r="78" spans="1:19" ht="18.75" customHeight="1">
      <c r="A78" s="588" t="s">
        <v>220</v>
      </c>
      <c r="B78" s="767" t="s">
        <v>704</v>
      </c>
      <c r="C78" s="571"/>
      <c r="D78" s="768">
        <v>112387</v>
      </c>
      <c r="E78" s="99">
        <v>121730.636</v>
      </c>
      <c r="F78" s="1910"/>
      <c r="G78" s="4"/>
      <c r="H78" s="4"/>
      <c r="I78" s="4"/>
      <c r="J78" s="4"/>
      <c r="K78" s="4"/>
      <c r="L78" s="4"/>
      <c r="M78" s="763">
        <f t="shared" si="0"/>
        <v>8.3138049774440059E-2</v>
      </c>
      <c r="N78" s="762">
        <f t="shared" si="1"/>
        <v>11786.936525068921</v>
      </c>
      <c r="O78" s="1283"/>
      <c r="Q78" s="1273"/>
      <c r="R78" s="1273"/>
    </row>
    <row r="79" spans="1:19" ht="18">
      <c r="A79" s="588" t="s">
        <v>348</v>
      </c>
      <c r="B79" s="2082" t="s">
        <v>1009</v>
      </c>
      <c r="C79" s="2083" t="s">
        <v>1006</v>
      </c>
      <c r="D79" s="768">
        <v>18222</v>
      </c>
      <c r="E79" s="99">
        <v>20248.359</v>
      </c>
      <c r="F79" s="1910"/>
      <c r="G79" s="4"/>
      <c r="H79" s="4"/>
      <c r="I79" s="4"/>
      <c r="J79" s="4"/>
      <c r="K79" s="4"/>
      <c r="L79" s="4"/>
      <c r="M79" s="763">
        <f t="shared" si="0"/>
        <v>0.11120398419492927</v>
      </c>
      <c r="N79" s="762">
        <f t="shared" si="1"/>
        <v>1960.608521504874</v>
      </c>
      <c r="O79" s="1283"/>
      <c r="Q79" s="1273"/>
      <c r="R79" s="1273"/>
    </row>
    <row r="80" spans="1:19" ht="18.75" customHeight="1">
      <c r="A80" s="588" t="s">
        <v>349</v>
      </c>
      <c r="B80" s="2058" t="s">
        <v>1007</v>
      </c>
      <c r="C80" s="2059" t="s">
        <v>1008</v>
      </c>
      <c r="D80" s="768">
        <v>188771</v>
      </c>
      <c r="E80" s="187">
        <v>182616.079</v>
      </c>
      <c r="F80" s="232"/>
      <c r="G80" s="4"/>
      <c r="H80" s="4"/>
      <c r="I80" s="4"/>
      <c r="J80" s="4"/>
      <c r="K80" s="202"/>
      <c r="L80" s="4"/>
      <c r="M80" s="763">
        <f t="shared" si="0"/>
        <v>-3.2605225378898206E-2</v>
      </c>
      <c r="N80" s="762">
        <f t="shared" si="1"/>
        <v>17682.353451517098</v>
      </c>
      <c r="O80" s="1283"/>
      <c r="Q80" s="1273"/>
      <c r="R80" s="1273"/>
    </row>
    <row r="81" spans="1:18" ht="15" customHeight="1" thickBot="1">
      <c r="A81" s="592" t="s">
        <v>350</v>
      </c>
      <c r="B81" s="769" t="s">
        <v>705</v>
      </c>
      <c r="C81" s="770"/>
      <c r="D81" s="771">
        <f>SUM(D76:D80)</f>
        <v>457847</v>
      </c>
      <c r="E81" s="356">
        <f>SUM(E76:E80)</f>
        <v>471686.84199999995</v>
      </c>
      <c r="F81" s="232"/>
      <c r="G81" s="1425" t="s">
        <v>946</v>
      </c>
      <c r="H81" s="1426"/>
      <c r="I81" s="765" t="s">
        <v>941</v>
      </c>
      <c r="J81" s="290">
        <v>273218.08</v>
      </c>
      <c r="K81" s="142"/>
      <c r="L81" s="4"/>
      <c r="M81" s="764">
        <f t="shared" si="0"/>
        <v>3.0228093664477207E-2</v>
      </c>
      <c r="N81" s="642">
        <f t="shared" si="1"/>
        <v>45672.503233813812</v>
      </c>
      <c r="O81" s="1283"/>
      <c r="Q81" s="1273"/>
      <c r="R81" s="1273"/>
    </row>
    <row r="82" spans="1:18">
      <c r="A82" s="13"/>
      <c r="B82" s="1"/>
      <c r="C82" s="1"/>
      <c r="D82" s="1"/>
      <c r="E82" s="1"/>
      <c r="F82" s="1257"/>
      <c r="G82" s="1526" t="s">
        <v>947</v>
      </c>
      <c r="H82" s="1420"/>
      <c r="I82" s="1492" t="s">
        <v>944</v>
      </c>
      <c r="J82" s="289">
        <v>198814.70600000001</v>
      </c>
      <c r="K82" s="142"/>
      <c r="L82" s="4"/>
      <c r="M82" s="4"/>
      <c r="N82" s="4"/>
      <c r="O82" s="1283"/>
      <c r="Q82" s="143"/>
      <c r="R82" s="143"/>
    </row>
    <row r="83" spans="1:18" ht="16.5" thickBot="1">
      <c r="A83" s="74" t="s">
        <v>197</v>
      </c>
      <c r="B83" s="4"/>
      <c r="C83" s="4"/>
      <c r="D83" s="4"/>
      <c r="E83" s="4"/>
      <c r="F83" s="1257"/>
      <c r="G83" s="4"/>
      <c r="H83" s="4"/>
      <c r="I83" s="4"/>
      <c r="J83" s="142"/>
      <c r="K83" s="1712"/>
      <c r="L83" s="328"/>
      <c r="M83" s="4"/>
      <c r="N83" s="4"/>
    </row>
    <row r="84" spans="1:18">
      <c r="A84" s="612" t="s">
        <v>344</v>
      </c>
      <c r="B84" s="772" t="s">
        <v>1085</v>
      </c>
      <c r="C84" s="772"/>
      <c r="D84" s="773"/>
      <c r="E84" s="195">
        <v>14819</v>
      </c>
      <c r="F84" s="232" t="str">
        <f>IF(E84="","Skriv belopp eller 0 på rad 107",IF(E84&lt;0,"Inga minusbelopp ska anges på rad 107",""))</f>
        <v/>
      </c>
      <c r="G84" s="4"/>
      <c r="H84" s="4"/>
      <c r="I84" s="4"/>
      <c r="J84" s="142"/>
      <c r="K84" s="142"/>
      <c r="L84" s="4"/>
      <c r="M84" s="4"/>
      <c r="N84" s="4"/>
      <c r="Q84" s="170"/>
      <c r="R84" s="170"/>
    </row>
    <row r="85" spans="1:18" ht="13.5" thickBot="1">
      <c r="A85" s="1963" t="s">
        <v>345</v>
      </c>
      <c r="B85" s="2060" t="str">
        <f>"Ackumulerat  ej återställt negativt resultat inkl. "&amp;År&amp;" års resultat"</f>
        <v>Ackumulerat  ej återställt negativt resultat inkl. 2019 års resultat</v>
      </c>
      <c r="C85" s="1964"/>
      <c r="D85" s="1965"/>
      <c r="E85" s="196">
        <v>1283.5</v>
      </c>
      <c r="F85" s="232" t="str">
        <f>IF(E85="","Skriv belopp eller 0 på rad 108",IF(E85&lt;0,"Inga minustecken ska anges på rad 108",""))</f>
        <v/>
      </c>
      <c r="G85" s="4"/>
      <c r="H85" s="4"/>
      <c r="I85" s="4"/>
      <c r="J85" s="4"/>
      <c r="K85" s="142"/>
      <c r="L85" s="4"/>
      <c r="M85" s="4"/>
      <c r="N85" s="4"/>
      <c r="Q85" s="1273"/>
      <c r="R85" s="1273"/>
    </row>
    <row r="86" spans="1:18">
      <c r="A86" s="1967"/>
      <c r="B86" s="1968"/>
      <c r="C86" s="1968"/>
      <c r="D86" s="1969"/>
      <c r="E86" s="1966"/>
      <c r="F86" s="232"/>
      <c r="G86" s="4"/>
      <c r="H86" s="4"/>
      <c r="I86" s="4"/>
      <c r="J86" s="4"/>
      <c r="K86" s="4"/>
      <c r="L86" s="4"/>
      <c r="M86" s="4"/>
      <c r="N86" s="4"/>
      <c r="Q86" s="1273"/>
      <c r="R86" s="1273"/>
    </row>
    <row r="87" spans="1:18">
      <c r="A87" s="2209"/>
      <c r="B87" s="2209"/>
      <c r="C87" s="2209"/>
      <c r="D87" s="2209"/>
      <c r="E87" s="2209"/>
      <c r="F87" s="202"/>
      <c r="G87" s="4"/>
      <c r="H87" s="4"/>
      <c r="I87" s="4"/>
      <c r="J87" s="4"/>
      <c r="K87" s="4"/>
      <c r="L87" s="4"/>
      <c r="M87" s="4"/>
      <c r="N87" s="4"/>
      <c r="Q87" s="170"/>
      <c r="R87" s="170"/>
    </row>
    <row r="88" spans="1:18">
      <c r="A88" s="2209"/>
      <c r="B88" s="2209"/>
      <c r="C88" s="2209"/>
      <c r="D88" s="2209"/>
      <c r="E88" s="2209"/>
      <c r="F88" s="202"/>
      <c r="G88" s="4"/>
      <c r="H88" s="4"/>
      <c r="I88" s="4"/>
      <c r="J88" s="4"/>
      <c r="K88" s="4"/>
      <c r="L88" s="4"/>
      <c r="M88" s="4"/>
      <c r="N88" s="4"/>
    </row>
    <row r="89" spans="1:18">
      <c r="A89" s="2209"/>
      <c r="B89" s="2209"/>
      <c r="C89" s="2209"/>
      <c r="D89" s="2209"/>
      <c r="E89" s="2209"/>
      <c r="F89" s="202"/>
      <c r="G89" s="4"/>
      <c r="H89" s="4"/>
      <c r="I89" s="4"/>
      <c r="J89" s="4"/>
      <c r="K89" s="4"/>
      <c r="L89" s="4"/>
      <c r="M89" s="4"/>
      <c r="N89" s="4"/>
      <c r="P89" s="172"/>
      <c r="Q89" s="170"/>
      <c r="R89" s="170"/>
    </row>
    <row r="90" spans="1:18">
      <c r="A90" s="2209"/>
      <c r="B90" s="2209"/>
      <c r="C90" s="2209"/>
      <c r="D90" s="2209"/>
      <c r="E90" s="2209"/>
      <c r="F90" s="202"/>
      <c r="G90" s="4"/>
      <c r="H90" s="4"/>
      <c r="I90" s="4"/>
      <c r="J90" s="4"/>
      <c r="K90" s="4"/>
      <c r="L90" s="4"/>
      <c r="M90" s="4"/>
      <c r="N90" s="4"/>
      <c r="P90" s="172"/>
      <c r="Q90" s="170"/>
      <c r="R90" s="170"/>
    </row>
    <row r="91" spans="1:18">
      <c r="A91" s="2209"/>
      <c r="B91" s="2209"/>
      <c r="C91" s="2209"/>
      <c r="D91" s="2209"/>
      <c r="E91" s="2209"/>
      <c r="K91" s="4"/>
      <c r="L91" s="4"/>
      <c r="P91" s="172"/>
      <c r="Q91" s="170"/>
      <c r="R91" s="170"/>
    </row>
    <row r="92" spans="1:18">
      <c r="A92" s="2209"/>
      <c r="B92" s="2209"/>
      <c r="C92" s="2209"/>
      <c r="D92" s="2209"/>
      <c r="E92" s="2209"/>
      <c r="L92" s="4"/>
      <c r="Q92" s="170"/>
      <c r="R92" s="170"/>
    </row>
    <row r="93" spans="1:18"/>
    <row r="94" spans="1:18" hidden="1"/>
    <row r="95" spans="1:18" hidden="1"/>
    <row r="96" spans="1:1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/>
    <row r="115"/>
  </sheetData>
  <sheetProtection algorithmName="SHA-512" hashValue="qYCi89JXbaq6HPyjS3H29m/7CZA0KKmRD9+SUdHMjvAt3jTWumuafiDKj5f65ZOddFvy6PiLnPAwlBPBx6lUiA==" saltValue="NMxOOXUwJpodbfgmugZayA==" spinCount="100000" sheet="1" objects="1" scenarios="1"/>
  <customSheetViews>
    <customSheetView guid="{27C9E95B-0E2B-454F-B637-1CECC9579A10}" showGridLines="0" hiddenRows="1" showRuler="0">
      <selection activeCell="I75" sqref="I75"/>
      <pageMargins left="0.11811023622047245" right="0.11811023622047245" top="0.74803149606299213" bottom="0.74803149606299213" header="0.31496062992125984" footer="0.31496062992125984"/>
      <pageSetup paperSize="9" scale="80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 topLeftCell="A37">
      <selection activeCell="F38" sqref="F38"/>
      <pageMargins left="0.11811023622047245" right="0.11811023622047245" top="0.74803149606299213" bottom="0.74803149606299213" header="0.31496062992125984" footer="0.31496062992125984"/>
      <pageSetup paperSize="9" scale="80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 topLeftCell="A37">
      <selection activeCell="F38" sqref="F38"/>
      <pageMargins left="0.11811023622047245" right="0.11811023622047245" top="0.74803149606299213" bottom="0.74803149606299213" header="0.31496062992125984" footer="0.31496062992125984"/>
      <pageSetup paperSize="9" scale="80" orientation="landscape" r:id="rId3"/>
      <headerFooter>
        <oddHeader>&amp;L&amp;8Statistiska Centralbyrån
Offentlig ekonomi&amp;R&amp;P</oddHeader>
      </headerFooter>
    </customSheetView>
  </customSheetViews>
  <mergeCells count="7">
    <mergeCell ref="B5:B6"/>
    <mergeCell ref="M4:N4"/>
    <mergeCell ref="M37:N37"/>
    <mergeCell ref="G73:J73"/>
    <mergeCell ref="T5:T6"/>
    <mergeCell ref="S5:S6"/>
    <mergeCell ref="Q71:S72"/>
  </mergeCells>
  <phoneticPr fontId="87" type="noConversion"/>
  <conditionalFormatting sqref="D19:E19 D9:D11 D13:D15 E9 E12 E17 E84 E30:E31 D31 E86 D46:D49 E50 J13:K13 J15:K15 J22 M24:N24 J27:K27 J49:K49 D51:D56 E67 E76:E80 J56:K56 J64:K64 D58:D66 D21:E21 D23:D25 D27:D29 J58:K60">
    <cfRule type="cellIs" dxfId="156" priority="21" stopIfTrue="1" operator="lessThan">
      <formula>-500</formula>
    </cfRule>
  </conditionalFormatting>
  <conditionalFormatting sqref="D22">
    <cfRule type="cellIs" dxfId="155" priority="19" stopIfTrue="1" operator="lessThan">
      <formula>-500</formula>
    </cfRule>
  </conditionalFormatting>
  <conditionalFormatting sqref="K83 J81:J82">
    <cfRule type="cellIs" dxfId="154" priority="14" stopIfTrue="1" operator="lessThan">
      <formula>0</formula>
    </cfRule>
    <cfRule type="cellIs" dxfId="153" priority="18" stopIfTrue="1" operator="lessThan">
      <formula>-500</formula>
    </cfRule>
  </conditionalFormatting>
  <conditionalFormatting sqref="J20:K20">
    <cfRule type="cellIs" dxfId="152" priority="17" stopIfTrue="1" operator="lessThan">
      <formula>-500</formula>
    </cfRule>
  </conditionalFormatting>
  <conditionalFormatting sqref="D19:E19">
    <cfRule type="cellIs" dxfId="151" priority="16" stopIfTrue="1" operator="lessThan">
      <formula>0</formula>
    </cfRule>
  </conditionalFormatting>
  <conditionalFormatting sqref="E84 E86">
    <cfRule type="cellIs" dxfId="150" priority="15" stopIfTrue="1" operator="lessThan">
      <formula>0</formula>
    </cfRule>
  </conditionalFormatting>
  <conditionalFormatting sqref="J50:K50">
    <cfRule type="cellIs" dxfId="149" priority="13" stopIfTrue="1" operator="lessThan">
      <formula>-500</formula>
    </cfRule>
  </conditionalFormatting>
  <conditionalFormatting sqref="J25">
    <cfRule type="cellIs" dxfId="148" priority="12" stopIfTrue="1" operator="lessThan">
      <formula>-500</formula>
    </cfRule>
  </conditionalFormatting>
  <conditionalFormatting sqref="J57:K57">
    <cfRule type="cellIs" dxfId="147" priority="11" stopIfTrue="1" operator="lessThan">
      <formula>-500</formula>
    </cfRule>
  </conditionalFormatting>
  <conditionalFormatting sqref="J54:K54">
    <cfRule type="cellIs" dxfId="146" priority="10" stopIfTrue="1" operator="lessThan">
      <formula>-500</formula>
    </cfRule>
  </conditionalFormatting>
  <conditionalFormatting sqref="J61:K61">
    <cfRule type="cellIs" dxfId="145" priority="8" stopIfTrue="1" operator="lessThan">
      <formula>-500</formula>
    </cfRule>
  </conditionalFormatting>
  <conditionalFormatting sqref="J26">
    <cfRule type="cellIs" dxfId="144" priority="6" stopIfTrue="1" operator="lessThan">
      <formula>-500</formula>
    </cfRule>
  </conditionalFormatting>
  <conditionalFormatting sqref="M24">
    <cfRule type="cellIs" dxfId="143" priority="4" stopIfTrue="1" operator="lessThan">
      <formula>-500</formula>
    </cfRule>
  </conditionalFormatting>
  <conditionalFormatting sqref="J26">
    <cfRule type="cellIs" dxfId="142" priority="3" stopIfTrue="1" operator="lessThan">
      <formula>-500</formula>
    </cfRule>
  </conditionalFormatting>
  <conditionalFormatting sqref="J25">
    <cfRule type="cellIs" dxfId="141" priority="2" stopIfTrue="1" operator="lessThan">
      <formula>-500</formula>
    </cfRule>
  </conditionalFormatting>
  <conditionalFormatting sqref="J24">
    <cfRule type="cellIs" dxfId="140" priority="1" stopIfTrue="1" operator="lessThan">
      <formula>-500</formula>
    </cfRule>
  </conditionalFormatting>
  <dataValidations count="5">
    <dataValidation type="decimal" operator="lessThan" allowBlank="1" showInputMessage="1" showErrorMessage="1" error="Beloppet ska vara i 1000 tal kronor" sqref="D9:E9 J64:K64 E84:E86 E76:E80 J49:K50 E45 J13 J20 E67 J15 D51:D56 E50:E52 D45:D49 D58:D66 D31 E30:E31 D44:E44 D21:E21 D19:E19 E17 D13:D16 E12 D10:D11 D39:E42 D22:D29 K56:K57 K61 K67:K68 J81:J82 E26 E54:E56 J56:J61 M24 J24 J22">
      <formula1>999999999</formula1>
    </dataValidation>
    <dataValidation type="decimal" operator="lessThan" allowBlank="1" showInputMessage="1" showErrorMessage="1" error="Beloppet ska vara i 1000-tal kronor" sqref="J54:K54">
      <formula1>999999999</formula1>
    </dataValidation>
    <dataValidation type="decimal" operator="lessThan" allowBlank="1" showInputMessage="1" error="Beloppet ska vara i 1000 tal kronor" sqref="K13">
      <formula1>999999</formula1>
    </dataValidation>
    <dataValidation type="decimal" operator="lessThan" allowBlank="1" showInputMessage="1" error="Beloppet ska vara i 1000 tal kronor" sqref="K15">
      <formula1>999999999</formula1>
    </dataValidation>
    <dataValidation allowBlank="1" showInputMessage="1" sqref="K20:K21 N24 K23:K24 K26:K31"/>
  </dataValidations>
  <pageMargins left="0.11811023622047245" right="0.11811023622047245" top="0.74803149606299213" bottom="0.74803149606299213" header="0.31496062992125984" footer="0.31496062992125984"/>
  <pageSetup paperSize="9" scale="80" orientation="landscape" r:id="rId4"/>
  <headerFooter>
    <oddHeader>&amp;L&amp;8Statistiska Centralbyrån
Offentlig ekonomi&amp;R&amp;P</oddHeader>
  </headerFooter>
  <rowBreaks count="1" manualBreakCount="1">
    <brk id="50" max="16383" man="1"/>
  </rowBreaks>
  <ignoredErrors>
    <ignoredError sqref="A9:A15 B15:B16 B27 A28 A22:B23 A24:A25 A16:A21 B19 B25 A26:A27 B28:B30 A29:A33 H13 G15:H15 G20:H20 G22 A39:A44 B40 B43 A46:B49 A50:A60 B55:B56 B58:B59 A61:A68 B62 B64:B65 G49:H49 G54 G56:G61 H58:H59 G64:H64 G67:G68 H68 A76:A81 A84:A85" numberStoredAsText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tabColor rgb="FFFFFF00"/>
  </sheetPr>
  <dimension ref="A1:Y95"/>
  <sheetViews>
    <sheetView showGridLines="0" zoomScaleNormal="100" workbookViewId="0">
      <pane ySplit="1" topLeftCell="A2" activePane="bottomLeft" state="frozen"/>
      <selection activeCell="F36" sqref="F36"/>
      <selection pane="bottomLeft"/>
    </sheetView>
  </sheetViews>
  <sheetFormatPr defaultColWidth="0" defaultRowHeight="0" customHeight="1" zeroHeight="1"/>
  <cols>
    <col min="1" max="1" width="4" style="170" customWidth="1"/>
    <col min="2" max="2" width="14.140625" style="170" customWidth="1"/>
    <col min="3" max="3" width="33.42578125" style="170" customWidth="1"/>
    <col min="4" max="4" width="11.5703125" style="170" customWidth="1"/>
    <col min="5" max="5" width="22.5703125" style="170" customWidth="1"/>
    <col min="6" max="6" width="4" style="170" customWidth="1"/>
    <col min="7" max="7" width="8.28515625" style="170" customWidth="1"/>
    <col min="8" max="8" width="30.7109375" style="170" customWidth="1"/>
    <col min="9" max="9" width="9.140625" style="170" customWidth="1"/>
    <col min="10" max="10" width="29.28515625" style="170" customWidth="1"/>
    <col min="11" max="11" width="1.7109375" style="170" customWidth="1"/>
    <col min="12" max="12" width="3.7109375" style="170" customWidth="1"/>
    <col min="13" max="13" width="9.140625" style="170" customWidth="1"/>
    <col min="14" max="14" width="8.140625" style="170" customWidth="1"/>
    <col min="15" max="15" width="15" style="170" customWidth="1"/>
    <col min="16" max="16" width="1.5703125" style="170" customWidth="1"/>
    <col min="17" max="17" width="3.7109375" style="170" customWidth="1"/>
    <col min="18" max="18" width="13.85546875" style="423" customWidth="1"/>
    <col min="19" max="19" width="4.140625" style="423" customWidth="1"/>
    <col min="20" max="20" width="8.42578125" style="170" customWidth="1"/>
    <col min="21" max="21" width="8" style="170" customWidth="1"/>
    <col min="22" max="22" width="16" style="170" customWidth="1"/>
    <col min="23" max="25" width="9.140625" style="170" customWidth="1"/>
    <col min="26" max="16384" width="0" style="170" hidden="1"/>
  </cols>
  <sheetData>
    <row r="1" spans="1:20" s="202" customFormat="1" ht="20.25">
      <c r="A1" s="93" t="str">
        <f>"Verksamhetens intäkter och kostnader "&amp;År&amp;", miljoner kr"</f>
        <v>Verksamhetens intäkter och kostnader 2019, miljoner kr</v>
      </c>
      <c r="B1" s="169"/>
      <c r="C1" s="169"/>
      <c r="D1" s="169"/>
      <c r="E1" s="169"/>
      <c r="F1" s="169"/>
      <c r="G1" s="169"/>
      <c r="H1" s="518"/>
      <c r="I1" s="514" t="s">
        <v>466</v>
      </c>
      <c r="J1" s="515" t="str">
        <f>'Kn Information'!A2</f>
        <v>RIKSTOTAL</v>
      </c>
      <c r="K1" s="515"/>
      <c r="L1" s="515"/>
      <c r="M1" s="515"/>
      <c r="N1" s="515"/>
      <c r="O1" s="515"/>
      <c r="P1" s="1334"/>
      <c r="Q1" s="170"/>
      <c r="R1" s="170"/>
      <c r="S1" s="170"/>
      <c r="T1" s="170"/>
    </row>
    <row r="2" spans="1:20" s="202" customFormat="1" ht="12.75" customHeight="1">
      <c r="A2" s="2209"/>
      <c r="B2" s="2209"/>
      <c r="C2" s="2209"/>
      <c r="D2" s="2209"/>
      <c r="E2" s="2209"/>
      <c r="F2" s="2209"/>
      <c r="G2" s="2209"/>
      <c r="H2" s="2209"/>
      <c r="I2" s="2209"/>
      <c r="J2" s="2209"/>
      <c r="K2" s="2209"/>
      <c r="L2" s="2209"/>
      <c r="M2" s="2209"/>
      <c r="N2" s="2209"/>
      <c r="O2" s="2209"/>
      <c r="Q2" s="170"/>
      <c r="R2" s="170"/>
      <c r="S2" s="170"/>
      <c r="T2" s="170"/>
    </row>
    <row r="3" spans="1:20" s="202" customFormat="1" ht="12.75" customHeight="1">
      <c r="A3" s="2209"/>
      <c r="B3" s="2209"/>
      <c r="C3" s="2209"/>
      <c r="D3" s="2209"/>
      <c r="E3" s="2209"/>
      <c r="F3" s="2209"/>
      <c r="G3" s="2209"/>
      <c r="H3" s="2209"/>
      <c r="I3" s="2209"/>
      <c r="J3" s="2209"/>
      <c r="K3" s="2209"/>
      <c r="L3" s="2209"/>
      <c r="M3" s="2209"/>
      <c r="N3" s="2209"/>
      <c r="O3" s="2209"/>
      <c r="Q3" s="170"/>
      <c r="R3" s="170"/>
      <c r="S3" s="170"/>
      <c r="T3" s="170"/>
    </row>
    <row r="4" spans="1:20" s="202" customFormat="1" ht="16.5" customHeight="1" thickBot="1">
      <c r="A4" s="74" t="s">
        <v>369</v>
      </c>
      <c r="B4" s="4"/>
      <c r="C4" s="4"/>
      <c r="D4" s="4"/>
      <c r="E4" s="79"/>
      <c r="H4" s="4"/>
      <c r="I4" s="4"/>
      <c r="J4" s="4"/>
      <c r="K4" s="4"/>
      <c r="L4" s="1275" t="str">
        <f>"Kontroller av förändring mellan "&amp;År-1&amp;" och "&amp;År&amp;""</f>
        <v>Kontroller av förändring mellan 2018 och 2019</v>
      </c>
      <c r="O4" s="2209"/>
      <c r="Q4" s="170"/>
      <c r="R4" s="170"/>
      <c r="S4" s="170"/>
      <c r="T4" s="170"/>
    </row>
    <row r="5" spans="1:20" s="202" customFormat="1" ht="12.75" customHeight="1">
      <c r="A5" s="605" t="s">
        <v>634</v>
      </c>
      <c r="B5" s="2091" t="s">
        <v>1168</v>
      </c>
      <c r="C5" s="604"/>
      <c r="D5" s="788" t="s">
        <v>1219</v>
      </c>
      <c r="E5" s="4"/>
      <c r="H5" s="4"/>
      <c r="I5" s="4"/>
      <c r="J5" s="4"/>
      <c r="K5" s="4"/>
      <c r="L5" s="605" t="s">
        <v>634</v>
      </c>
      <c r="M5" s="2212" t="s">
        <v>1219</v>
      </c>
      <c r="N5" s="2221" t="s">
        <v>768</v>
      </c>
      <c r="O5" s="2209"/>
      <c r="P5" s="1335"/>
      <c r="Q5" s="89"/>
      <c r="R5" s="430"/>
      <c r="S5" s="89"/>
      <c r="T5" s="1274"/>
    </row>
    <row r="6" spans="1:20" s="202" customFormat="1" ht="20.25" customHeight="1">
      <c r="A6" s="774" t="s">
        <v>637</v>
      </c>
      <c r="B6" s="2448"/>
      <c r="C6" s="776"/>
      <c r="D6" s="789">
        <f>År</f>
        <v>2019</v>
      </c>
      <c r="E6" s="4"/>
      <c r="H6" s="67"/>
      <c r="I6" s="67"/>
      <c r="J6" s="4"/>
      <c r="K6" s="4"/>
      <c r="L6" s="774" t="s">
        <v>637</v>
      </c>
      <c r="M6" s="2213">
        <f>År-1</f>
        <v>2018</v>
      </c>
      <c r="N6" s="2222" t="str">
        <f>År-1&amp;-År</f>
        <v>2018-2019</v>
      </c>
      <c r="O6" s="2209"/>
      <c r="P6" s="1335"/>
      <c r="Q6" s="1544"/>
      <c r="R6" s="1338"/>
      <c r="S6" s="262"/>
      <c r="T6" s="2085"/>
    </row>
    <row r="7" spans="1:20" s="202" customFormat="1" ht="15" customHeight="1">
      <c r="A7" s="777"/>
      <c r="B7" s="2449"/>
      <c r="C7" s="778"/>
      <c r="D7" s="693"/>
      <c r="E7" s="4"/>
      <c r="H7" s="67"/>
      <c r="I7" s="67"/>
      <c r="J7" s="4"/>
      <c r="K7" s="4"/>
      <c r="L7" s="777"/>
      <c r="M7" s="2214"/>
      <c r="N7" s="2223" t="s">
        <v>769</v>
      </c>
      <c r="O7" s="2209"/>
      <c r="P7" s="1335"/>
      <c r="Q7" s="87"/>
      <c r="R7" s="1545"/>
      <c r="S7" s="1310"/>
      <c r="T7" s="1546"/>
    </row>
    <row r="8" spans="1:20" s="202" customFormat="1" ht="13.5" thickBot="1">
      <c r="A8" s="553">
        <v>130</v>
      </c>
      <c r="B8" s="1423" t="s">
        <v>779</v>
      </c>
      <c r="C8" s="1356" t="s">
        <v>785</v>
      </c>
      <c r="D8" s="221">
        <v>9654.9979999999996</v>
      </c>
      <c r="E8" s="179"/>
      <c r="F8" s="4"/>
      <c r="G8" s="4"/>
      <c r="H8" s="67"/>
      <c r="I8" s="67"/>
      <c r="J8" s="4"/>
      <c r="K8" s="4"/>
      <c r="L8" s="553">
        <v>130</v>
      </c>
      <c r="M8" s="2215">
        <v>9197</v>
      </c>
      <c r="N8" s="2224">
        <f>IF(ISERROR((D8-M8)/M8),0,((D8-M8)/M8))</f>
        <v>4.9798629988039536E-2</v>
      </c>
      <c r="O8" s="2209"/>
      <c r="P8" s="1336"/>
      <c r="Q8" s="1338"/>
      <c r="R8" s="1338"/>
      <c r="S8" s="1338"/>
      <c r="T8" s="170"/>
    </row>
    <row r="9" spans="1:20" s="202" customFormat="1" ht="12.75">
      <c r="A9" s="780">
        <v>200</v>
      </c>
      <c r="B9" s="781">
        <v>311</v>
      </c>
      <c r="C9" s="782" t="s">
        <v>706</v>
      </c>
      <c r="D9" s="177">
        <v>3262.779</v>
      </c>
      <c r="E9" s="179"/>
      <c r="F9" s="4"/>
      <c r="G9" s="4"/>
      <c r="H9" s="67"/>
      <c r="I9" s="67"/>
      <c r="J9" s="4"/>
      <c r="K9" s="4"/>
      <c r="L9" s="1237"/>
      <c r="M9" s="2216"/>
      <c r="N9" s="2225"/>
      <c r="O9" s="2209"/>
      <c r="P9" s="1336"/>
      <c r="Q9" s="1295"/>
      <c r="R9" s="1295"/>
      <c r="S9" s="1295"/>
      <c r="T9" s="170"/>
    </row>
    <row r="10" spans="1:20" s="202" customFormat="1" ht="12.75">
      <c r="A10" s="783">
        <v>210</v>
      </c>
      <c r="B10" s="673">
        <v>312</v>
      </c>
      <c r="C10" s="786" t="s">
        <v>1193</v>
      </c>
      <c r="D10" s="177">
        <v>811.64099999999996</v>
      </c>
      <c r="E10" s="179"/>
      <c r="F10" s="4"/>
      <c r="G10" s="4"/>
      <c r="H10" s="67"/>
      <c r="I10" s="67"/>
      <c r="J10" s="4"/>
      <c r="K10" s="4"/>
      <c r="L10" s="1238"/>
      <c r="M10" s="2217"/>
      <c r="N10" s="2226"/>
      <c r="O10" s="2209"/>
      <c r="P10" s="1336"/>
      <c r="Q10" s="1295"/>
      <c r="R10" s="1295"/>
      <c r="S10" s="1295"/>
      <c r="T10" s="170"/>
    </row>
    <row r="11" spans="1:20" s="202" customFormat="1" ht="19.5" customHeight="1">
      <c r="A11" s="783">
        <v>280</v>
      </c>
      <c r="B11" s="2047" t="s">
        <v>866</v>
      </c>
      <c r="C11" s="782" t="s">
        <v>707</v>
      </c>
      <c r="D11" s="177">
        <v>34271.156000000003</v>
      </c>
      <c r="E11" s="179"/>
      <c r="F11" s="4"/>
      <c r="G11" s="4"/>
      <c r="H11" s="67"/>
      <c r="I11" s="67"/>
      <c r="J11" s="4"/>
      <c r="K11" s="4"/>
      <c r="L11" s="780"/>
      <c r="M11" s="2218"/>
      <c r="N11" s="2227"/>
      <c r="O11" s="2209"/>
      <c r="P11" s="1336"/>
      <c r="Q11" s="1295"/>
      <c r="R11" s="1547"/>
      <c r="S11" s="1547"/>
      <c r="T11" s="170"/>
    </row>
    <row r="12" spans="1:20" s="202" customFormat="1" ht="13.5" thickBot="1">
      <c r="A12" s="784">
        <v>290</v>
      </c>
      <c r="B12" s="554"/>
      <c r="C12" s="785" t="s">
        <v>708</v>
      </c>
      <c r="D12" s="357">
        <f>SUM(D9:D11)</f>
        <v>38345.576000000001</v>
      </c>
      <c r="E12" s="179"/>
      <c r="F12" s="171"/>
      <c r="G12" s="4"/>
      <c r="H12" s="67"/>
      <c r="I12" s="67"/>
      <c r="J12" s="4"/>
      <c r="K12" s="4"/>
      <c r="L12" s="784">
        <v>290</v>
      </c>
      <c r="M12" s="2219">
        <v>36906</v>
      </c>
      <c r="N12" s="2228">
        <f>IF(ISERROR((D12-M12)/M12),0,((D12-M12)/M12))</f>
        <v>3.9006557199371399E-2</v>
      </c>
      <c r="O12" s="2209"/>
      <c r="P12" s="1336"/>
      <c r="Q12" s="1295"/>
      <c r="R12" s="1295"/>
      <c r="S12" s="1295"/>
      <c r="T12" s="170"/>
    </row>
    <row r="13" spans="1:20" s="202" customFormat="1" ht="12.75">
      <c r="A13" s="558">
        <v>400</v>
      </c>
      <c r="B13" s="551">
        <v>341</v>
      </c>
      <c r="C13" s="786" t="s">
        <v>709</v>
      </c>
      <c r="D13" s="177">
        <v>14311.254000000001</v>
      </c>
      <c r="E13" s="179"/>
      <c r="F13" s="4"/>
      <c r="G13" s="4"/>
      <c r="H13" s="67"/>
      <c r="I13" s="67"/>
      <c r="J13" s="4"/>
      <c r="K13" s="4"/>
      <c r="L13" s="558">
        <v>400</v>
      </c>
      <c r="M13" s="2218">
        <v>14168</v>
      </c>
      <c r="N13" s="2227">
        <f>IF(ISERROR((D13-M13)/M13),0,((D13-M13)/M13))</f>
        <v>1.0111095426312874E-2</v>
      </c>
      <c r="O13" s="2209"/>
      <c r="P13" s="1336"/>
      <c r="Q13" s="1338"/>
      <c r="R13" s="1338"/>
      <c r="S13" s="1338"/>
      <c r="T13" s="170"/>
    </row>
    <row r="14" spans="1:20" s="202" customFormat="1" ht="12.75">
      <c r="A14" s="556">
        <v>420</v>
      </c>
      <c r="B14" s="673">
        <v>342</v>
      </c>
      <c r="C14" s="786" t="s">
        <v>710</v>
      </c>
      <c r="D14" s="177">
        <v>5306.6610000000001</v>
      </c>
      <c r="E14" s="179"/>
      <c r="F14" s="4"/>
      <c r="G14" s="4"/>
      <c r="H14" s="67"/>
      <c r="I14" s="67"/>
      <c r="J14" s="4"/>
      <c r="K14" s="4"/>
      <c r="L14" s="560"/>
      <c r="M14" s="1225"/>
      <c r="N14" s="2229"/>
      <c r="O14" s="2209"/>
      <c r="P14" s="1336"/>
      <c r="Q14" s="1338"/>
      <c r="R14" s="1338"/>
      <c r="S14" s="1338"/>
      <c r="T14" s="170"/>
    </row>
    <row r="15" spans="1:20" s="202" customFormat="1" ht="12.75">
      <c r="A15" s="556">
        <v>480</v>
      </c>
      <c r="B15" s="673" t="s">
        <v>711</v>
      </c>
      <c r="C15" s="786" t="s">
        <v>780</v>
      </c>
      <c r="D15" s="177">
        <v>1712.39</v>
      </c>
      <c r="E15" s="179"/>
      <c r="G15" s="172"/>
      <c r="H15" s="217"/>
      <c r="I15" s="217"/>
      <c r="J15" s="4"/>
      <c r="K15" s="4"/>
      <c r="L15" s="799"/>
      <c r="M15" s="2217"/>
      <c r="N15" s="2226"/>
      <c r="O15" s="2209"/>
      <c r="P15" s="1336"/>
      <c r="Q15" s="1338"/>
      <c r="R15" s="1338"/>
      <c r="S15" s="1338"/>
      <c r="T15" s="170"/>
    </row>
    <row r="16" spans="1:20" s="202" customFormat="1" ht="13.5" thickBot="1">
      <c r="A16" s="567">
        <v>490</v>
      </c>
      <c r="B16" s="779"/>
      <c r="C16" s="787" t="s">
        <v>712</v>
      </c>
      <c r="D16" s="357">
        <f>SUM(D13:D15)</f>
        <v>21330.305</v>
      </c>
      <c r="E16" s="179"/>
      <c r="F16" s="75" t="s">
        <v>781</v>
      </c>
      <c r="G16" s="45"/>
      <c r="H16" s="300"/>
      <c r="I16" s="217"/>
      <c r="J16" s="4"/>
      <c r="K16" s="4"/>
      <c r="L16" s="553">
        <v>490</v>
      </c>
      <c r="M16" s="1227">
        <v>20815</v>
      </c>
      <c r="N16" s="2230">
        <f>IF(ISERROR((D16-M16)/M16),0,((D16-M16)/M16))</f>
        <v>2.4756425654576041E-2</v>
      </c>
      <c r="O16" s="2209"/>
      <c r="P16" s="1336"/>
      <c r="Q16" s="1338"/>
      <c r="R16" s="1338"/>
      <c r="S16" s="1338"/>
      <c r="T16" s="170"/>
    </row>
    <row r="17" spans="1:22" s="202" customFormat="1" ht="12.75">
      <c r="A17" s="780">
        <v>500</v>
      </c>
      <c r="B17" s="781">
        <v>351</v>
      </c>
      <c r="C17" s="786" t="s">
        <v>1214</v>
      </c>
      <c r="D17" s="177">
        <v>36919.523999999998</v>
      </c>
      <c r="E17" s="231" t="str">
        <f>IF(ABS(Motpart!AA42)&gt;100,"Differens i Motpart kol.AA, kontrollera differensen där","")</f>
        <v/>
      </c>
      <c r="F17" s="1349"/>
      <c r="G17" s="1349"/>
      <c r="H17" s="1350"/>
      <c r="I17" s="72"/>
      <c r="J17" s="282"/>
      <c r="K17" s="4"/>
      <c r="L17" s="1237"/>
      <c r="M17" s="2216"/>
      <c r="N17" s="2225"/>
      <c r="O17" s="2209"/>
      <c r="P17" s="1336"/>
      <c r="Q17" s="1295"/>
      <c r="R17" s="1295"/>
      <c r="S17" s="1295"/>
      <c r="T17" s="170"/>
    </row>
    <row r="18" spans="1:22" s="202" customFormat="1" ht="12.75">
      <c r="A18" s="783">
        <v>510</v>
      </c>
      <c r="B18" s="547">
        <v>351</v>
      </c>
      <c r="C18" s="786" t="s">
        <v>1212</v>
      </c>
      <c r="D18" s="177">
        <v>6657.558</v>
      </c>
      <c r="E18" s="179"/>
      <c r="G18" s="1347"/>
      <c r="H18" s="89"/>
      <c r="I18" s="148"/>
      <c r="J18" s="4"/>
      <c r="K18" s="4"/>
      <c r="L18" s="1238"/>
      <c r="M18" s="2217"/>
      <c r="N18" s="2226"/>
      <c r="O18" s="2209"/>
      <c r="P18" s="1336"/>
      <c r="Q18" s="1295"/>
      <c r="R18" s="1295"/>
      <c r="S18" s="1295"/>
      <c r="T18" s="170"/>
    </row>
    <row r="19" spans="1:22" s="202" customFormat="1" ht="12.75">
      <c r="A19" s="783">
        <v>520</v>
      </c>
      <c r="B19" s="547">
        <v>351</v>
      </c>
      <c r="C19" s="786" t="s">
        <v>1213</v>
      </c>
      <c r="D19" s="177">
        <v>1594.23</v>
      </c>
      <c r="E19" s="179"/>
      <c r="F19" s="1421" t="s">
        <v>1181</v>
      </c>
      <c r="G19" s="1422" t="s">
        <v>388</v>
      </c>
      <c r="H19" s="1294" t="s">
        <v>1169</v>
      </c>
      <c r="I19" s="288">
        <v>673.83500000000004</v>
      </c>
      <c r="J19" s="1258"/>
      <c r="K19" s="4"/>
      <c r="L19" s="1238"/>
      <c r="M19" s="2217"/>
      <c r="N19" s="2226"/>
      <c r="O19" s="2209"/>
      <c r="P19" s="1336"/>
      <c r="Q19" s="1295"/>
      <c r="R19" s="1295"/>
      <c r="S19" s="1295"/>
      <c r="T19" s="170"/>
    </row>
    <row r="20" spans="1:22" s="202" customFormat="1" ht="12.75">
      <c r="A20" s="783">
        <v>525</v>
      </c>
      <c r="B20" s="547">
        <v>354</v>
      </c>
      <c r="C20" s="786" t="s">
        <v>1139</v>
      </c>
      <c r="D20" s="2210">
        <v>5724.5249999999996</v>
      </c>
      <c r="E20" s="179"/>
      <c r="F20" s="1338"/>
      <c r="G20" s="1347"/>
      <c r="H20" s="1348"/>
      <c r="I20" s="148"/>
      <c r="J20" s="4"/>
      <c r="K20" s="4"/>
      <c r="L20" s="780"/>
      <c r="M20" s="2218"/>
      <c r="N20" s="2227"/>
      <c r="O20" s="2209"/>
      <c r="P20" s="1336"/>
      <c r="Q20" s="1295"/>
      <c r="R20" s="1295"/>
      <c r="S20" s="1295"/>
      <c r="T20" s="170"/>
      <c r="V20" s="170"/>
    </row>
    <row r="21" spans="1:22" s="202" customFormat="1" ht="12.75">
      <c r="A21" s="783">
        <v>527</v>
      </c>
      <c r="B21" s="547">
        <v>356</v>
      </c>
      <c r="C21" s="786" t="s">
        <v>1140</v>
      </c>
      <c r="D21" s="222">
        <v>6965.6109999999999</v>
      </c>
      <c r="E21" s="179"/>
      <c r="F21" s="4"/>
      <c r="G21" s="67"/>
      <c r="H21" s="67"/>
      <c r="I21" s="67"/>
      <c r="J21" s="4"/>
      <c r="K21" s="4"/>
      <c r="L21" s="783">
        <v>527</v>
      </c>
      <c r="M21" s="2220">
        <v>6747</v>
      </c>
      <c r="N21" s="2231">
        <f>IF(ISERROR((D21-M21)/M21),0,((D21-M21)/M21))</f>
        <v>3.2401215354972562E-2</v>
      </c>
      <c r="O21" s="2209"/>
      <c r="P21" s="1336"/>
      <c r="Q21" s="1295"/>
      <c r="R21" s="1295"/>
      <c r="S21" s="1295"/>
      <c r="T21" s="170"/>
      <c r="V21" s="170"/>
    </row>
    <row r="22" spans="1:22" s="202" customFormat="1" ht="12.75">
      <c r="A22" s="783">
        <v>550</v>
      </c>
      <c r="B22" s="547">
        <v>358</v>
      </c>
      <c r="C22" s="786" t="s">
        <v>198</v>
      </c>
      <c r="D22" s="222">
        <v>717.42200000000003</v>
      </c>
      <c r="E22" s="232"/>
      <c r="F22" s="4"/>
      <c r="G22" s="4"/>
      <c r="H22" s="67"/>
      <c r="I22" s="67"/>
      <c r="J22" s="4"/>
      <c r="K22" s="4"/>
      <c r="L22" s="1239"/>
      <c r="M22" s="1225"/>
      <c r="N22" s="2229"/>
      <c r="O22" s="2209"/>
      <c r="P22" s="1336"/>
      <c r="Q22" s="1295"/>
      <c r="R22" s="1295"/>
      <c r="S22" s="1295"/>
      <c r="T22" s="170"/>
      <c r="V22" s="170"/>
    </row>
    <row r="23" spans="1:22" s="202" customFormat="1" ht="15" customHeight="1">
      <c r="A23" s="783">
        <v>560</v>
      </c>
      <c r="B23" s="547">
        <v>357</v>
      </c>
      <c r="C23" s="2130" t="s">
        <v>1194</v>
      </c>
      <c r="D23" s="222">
        <v>417.38799999999998</v>
      </c>
      <c r="E23" s="232"/>
      <c r="F23" s="1349"/>
      <c r="G23" s="1347"/>
      <c r="H23" s="1348"/>
      <c r="I23" s="148"/>
      <c r="J23" s="1276"/>
      <c r="K23" s="4"/>
      <c r="L23" s="780"/>
      <c r="M23" s="2218"/>
      <c r="N23" s="2227"/>
      <c r="O23" s="2209"/>
      <c r="P23" s="1336"/>
      <c r="Q23" s="1295"/>
      <c r="R23" s="1548"/>
      <c r="S23" s="1549"/>
      <c r="T23" s="1550"/>
      <c r="V23" s="1338"/>
    </row>
    <row r="24" spans="1:22" s="202" customFormat="1" ht="12.75">
      <c r="A24" s="1239">
        <v>570</v>
      </c>
      <c r="B24" s="547">
        <v>359</v>
      </c>
      <c r="C24" s="1978" t="s">
        <v>1106</v>
      </c>
      <c r="D24" s="101">
        <v>1511.528</v>
      </c>
      <c r="E24" s="2172"/>
      <c r="F24" s="1421" t="s">
        <v>1186</v>
      </c>
      <c r="G24" s="1422" t="s">
        <v>241</v>
      </c>
      <c r="H24" s="1294" t="s">
        <v>1179</v>
      </c>
      <c r="I24" s="288">
        <v>559.40899999999999</v>
      </c>
      <c r="J24" s="1258"/>
      <c r="K24" s="4"/>
      <c r="L24" s="1238"/>
      <c r="M24" s="2217"/>
      <c r="N24" s="2226"/>
      <c r="O24" s="2209"/>
      <c r="P24" s="1336"/>
      <c r="Q24" s="1295"/>
      <c r="R24" s="1548"/>
      <c r="S24" s="1549"/>
      <c r="T24" s="1550"/>
      <c r="V24" s="1338"/>
    </row>
    <row r="25" spans="1:22" s="202" customFormat="1" ht="15.75" customHeight="1" thickBot="1">
      <c r="A25" s="784">
        <v>590</v>
      </c>
      <c r="B25" s="554"/>
      <c r="C25" s="785" t="s">
        <v>713</v>
      </c>
      <c r="D25" s="357">
        <f>SUM(D17:D24)</f>
        <v>60507.785999999993</v>
      </c>
      <c r="E25" s="2172"/>
      <c r="F25" s="4"/>
      <c r="G25" s="45"/>
      <c r="H25" s="67"/>
      <c r="I25" s="67"/>
      <c r="J25" s="4"/>
      <c r="K25" s="4"/>
      <c r="L25" s="784">
        <v>590</v>
      </c>
      <c r="M25" s="2219">
        <v>66707</v>
      </c>
      <c r="N25" s="2228">
        <f>IF(ISERROR((D25-M25)/M25),0,((D25-M25)/M25))</f>
        <v>-9.2931986148380344E-2</v>
      </c>
      <c r="O25" s="2209"/>
      <c r="P25" s="1336"/>
      <c r="Q25" s="1295"/>
      <c r="R25" s="1295"/>
      <c r="S25" s="1295"/>
      <c r="T25" s="170"/>
      <c r="V25" s="1338"/>
    </row>
    <row r="26" spans="1:22" s="202" customFormat="1" ht="12.75">
      <c r="A26" s="558">
        <v>310</v>
      </c>
      <c r="B26" s="551" t="s">
        <v>836</v>
      </c>
      <c r="C26" s="786" t="s">
        <v>1135</v>
      </c>
      <c r="D26" s="222">
        <v>13219.148999999999</v>
      </c>
      <c r="E26" s="232"/>
      <c r="F26" s="1425" t="s">
        <v>842</v>
      </c>
      <c r="G26" s="1426" t="s">
        <v>837</v>
      </c>
      <c r="H26" s="765" t="s">
        <v>782</v>
      </c>
      <c r="I26" s="290">
        <v>12750.706</v>
      </c>
      <c r="J26" s="1258"/>
      <c r="K26" s="4"/>
      <c r="L26" s="1240"/>
      <c r="M26" s="2216"/>
      <c r="N26" s="2225"/>
      <c r="O26" s="2209"/>
      <c r="P26" s="1336"/>
      <c r="Q26" s="1338"/>
      <c r="R26" s="1338"/>
      <c r="S26" s="1338"/>
      <c r="T26" s="1347"/>
      <c r="V26" s="1338"/>
    </row>
    <row r="27" spans="1:22" s="202" customFormat="1" ht="12.75">
      <c r="A27" s="558">
        <v>320</v>
      </c>
      <c r="B27" s="729" t="s">
        <v>836</v>
      </c>
      <c r="C27" s="786" t="s">
        <v>1183</v>
      </c>
      <c r="D27" s="222">
        <v>485.61</v>
      </c>
      <c r="E27" s="232"/>
      <c r="F27" s="2100" t="s">
        <v>843</v>
      </c>
      <c r="G27" s="563">
        <v>361</v>
      </c>
      <c r="H27" s="2101" t="s">
        <v>1138</v>
      </c>
      <c r="I27" s="2051">
        <v>424.66199999999998</v>
      </c>
      <c r="J27" s="1258"/>
      <c r="K27" s="4"/>
      <c r="L27" s="799"/>
      <c r="M27" s="2217"/>
      <c r="N27" s="2226"/>
      <c r="O27" s="2209"/>
      <c r="P27" s="1336"/>
      <c r="Q27" s="1338"/>
      <c r="R27" s="1338"/>
      <c r="S27" s="1338"/>
      <c r="T27" s="1347"/>
      <c r="V27" s="1338"/>
    </row>
    <row r="28" spans="1:22" s="202" customFormat="1" ht="12.75">
      <c r="A28" s="558">
        <v>321</v>
      </c>
      <c r="B28" s="729" t="s">
        <v>836</v>
      </c>
      <c r="C28" s="786" t="s">
        <v>1136</v>
      </c>
      <c r="D28" s="222">
        <v>514.69600000000003</v>
      </c>
      <c r="E28" s="232"/>
      <c r="F28" s="1427" t="s">
        <v>1182</v>
      </c>
      <c r="G28" s="2117">
        <v>361</v>
      </c>
      <c r="H28" s="2099" t="s">
        <v>1137</v>
      </c>
      <c r="I28" s="1320">
        <v>403.92399999999998</v>
      </c>
      <c r="J28" s="1258"/>
      <c r="K28" s="4"/>
      <c r="L28" s="799"/>
      <c r="M28" s="2217"/>
      <c r="N28" s="2226"/>
      <c r="O28" s="2209"/>
      <c r="P28" s="1336"/>
      <c r="Q28" s="1338"/>
      <c r="R28" s="1338"/>
      <c r="S28" s="1338"/>
      <c r="T28" s="1347"/>
      <c r="V28" s="170"/>
    </row>
    <row r="29" spans="1:22" s="202" customFormat="1" ht="16.5" customHeight="1">
      <c r="A29" s="556">
        <v>380</v>
      </c>
      <c r="B29" s="1424" t="s">
        <v>822</v>
      </c>
      <c r="C29" s="786" t="s">
        <v>1128</v>
      </c>
      <c r="D29" s="222">
        <v>5642.9</v>
      </c>
      <c r="E29" s="232"/>
      <c r="F29" s="1349"/>
      <c r="G29" s="1349"/>
      <c r="H29" s="89"/>
      <c r="I29" s="1706"/>
      <c r="J29" s="4"/>
      <c r="K29" s="4"/>
      <c r="L29" s="558"/>
      <c r="M29" s="2218"/>
      <c r="N29" s="2227"/>
      <c r="O29" s="2209"/>
      <c r="P29" s="1336"/>
      <c r="Q29" s="1338"/>
      <c r="R29" s="1338"/>
      <c r="S29" s="1338"/>
      <c r="T29" s="170"/>
    </row>
    <row r="30" spans="1:22" s="202" customFormat="1" ht="13.5" thickBot="1">
      <c r="A30" s="560">
        <v>390</v>
      </c>
      <c r="B30" s="548"/>
      <c r="C30" s="787" t="s">
        <v>787</v>
      </c>
      <c r="D30" s="358">
        <f>SUM(D26:D29)</f>
        <v>19862.355</v>
      </c>
      <c r="E30" s="232"/>
      <c r="F30" s="4"/>
      <c r="G30" s="4"/>
      <c r="H30" s="67"/>
      <c r="I30" s="67"/>
      <c r="J30" s="4"/>
      <c r="K30" s="4"/>
      <c r="L30" s="567">
        <v>390</v>
      </c>
      <c r="M30" s="2219">
        <v>19280</v>
      </c>
      <c r="N30" s="2228">
        <f>IF(ISERROR((D30-M30)/M30),0,((D30-M30)/M30))</f>
        <v>3.0205134854771762E-2</v>
      </c>
      <c r="O30" s="2209"/>
      <c r="P30" s="1336"/>
      <c r="Q30" s="1338"/>
      <c r="R30" s="1338"/>
      <c r="S30" s="1338"/>
      <c r="T30" s="170"/>
    </row>
    <row r="31" spans="1:22" s="202" customFormat="1" ht="13.5" customHeight="1" thickBot="1">
      <c r="A31" s="544">
        <v>891</v>
      </c>
      <c r="B31" s="545">
        <v>37</v>
      </c>
      <c r="C31" s="2077" t="s">
        <v>459</v>
      </c>
      <c r="D31" s="223">
        <v>7637.58</v>
      </c>
      <c r="E31" s="232"/>
      <c r="F31" s="4"/>
      <c r="G31" s="4"/>
      <c r="H31" s="67"/>
      <c r="I31" s="67"/>
      <c r="J31" s="4"/>
      <c r="K31" s="4"/>
      <c r="L31" s="1240"/>
      <c r="M31" s="2216"/>
      <c r="N31" s="2225"/>
      <c r="O31" s="2209"/>
      <c r="P31" s="1336"/>
      <c r="Q31" s="1548"/>
      <c r="R31" s="1551"/>
      <c r="S31" s="1551"/>
      <c r="T31" s="170"/>
    </row>
    <row r="32" spans="1:22" s="202" customFormat="1" ht="19.5" customHeight="1">
      <c r="A32" s="546">
        <v>892</v>
      </c>
      <c r="B32" s="2053" t="s">
        <v>374</v>
      </c>
      <c r="C32" s="786" t="s">
        <v>935</v>
      </c>
      <c r="D32" s="223">
        <v>3208.0050000000001</v>
      </c>
      <c r="E32" s="232"/>
      <c r="H32" s="67"/>
      <c r="I32" s="67"/>
      <c r="J32" s="4"/>
      <c r="K32" s="4"/>
      <c r="L32" s="799"/>
      <c r="M32" s="2217"/>
      <c r="N32" s="2226"/>
      <c r="O32" s="2209"/>
      <c r="P32" s="1336"/>
      <c r="Q32" s="1548"/>
      <c r="R32" s="1552"/>
      <c r="S32" s="1552"/>
      <c r="T32" s="170"/>
    </row>
    <row r="33" spans="1:25" s="202" customFormat="1" ht="13.5" thickBot="1">
      <c r="A33" s="543">
        <v>894</v>
      </c>
      <c r="B33" s="554"/>
      <c r="C33" s="549" t="s">
        <v>462</v>
      </c>
      <c r="D33" s="302">
        <v>10.888999999999999</v>
      </c>
      <c r="E33" s="232"/>
      <c r="F33" s="2209"/>
      <c r="G33" s="2209"/>
      <c r="H33" s="2209"/>
      <c r="I33" s="2209"/>
      <c r="J33" s="2209"/>
      <c r="K33" s="4"/>
      <c r="L33" s="799"/>
      <c r="M33" s="2217"/>
      <c r="N33" s="2226"/>
      <c r="O33" s="2209"/>
      <c r="P33" s="1336"/>
      <c r="Q33" s="1548"/>
      <c r="R33" s="1338"/>
      <c r="S33" s="1338"/>
      <c r="T33" s="170"/>
    </row>
    <row r="34" spans="1:25" s="202" customFormat="1" ht="26.25" customHeight="1" thickBot="1">
      <c r="A34" s="550">
        <v>886</v>
      </c>
      <c r="B34" s="551"/>
      <c r="C34" s="552" t="s">
        <v>652</v>
      </c>
      <c r="D34" s="359">
        <f>SUM(D8+D12+D16+D25+D30+D31+D32+D33)</f>
        <v>160557.49399999998</v>
      </c>
      <c r="E34" s="2050"/>
      <c r="F34" s="2209"/>
      <c r="G34" s="2209"/>
      <c r="H34" s="2209"/>
      <c r="I34" s="2209"/>
      <c r="J34" s="2209"/>
      <c r="K34" s="4"/>
      <c r="L34" s="553"/>
      <c r="M34" s="1227"/>
      <c r="N34" s="2230"/>
      <c r="O34" s="2209"/>
      <c r="P34" s="1336"/>
      <c r="Q34" s="1338"/>
      <c r="R34" s="1338"/>
      <c r="S34" s="1338"/>
      <c r="T34" s="170"/>
    </row>
    <row r="35" spans="1:25" s="202" customFormat="1" ht="13.5" thickBot="1">
      <c r="A35" s="553">
        <v>896</v>
      </c>
      <c r="B35" s="554"/>
      <c r="C35" s="555" t="s">
        <v>93</v>
      </c>
      <c r="D35" s="303">
        <f>RR!C7</f>
        <v>160557.48699999999</v>
      </c>
      <c r="F35" s="2209"/>
      <c r="G35" s="2209"/>
      <c r="H35" s="2209"/>
      <c r="I35" s="2209"/>
      <c r="J35" s="2209"/>
      <c r="K35" s="4"/>
      <c r="M35" s="19"/>
      <c r="N35" s="170"/>
      <c r="O35" s="2209"/>
      <c r="Q35" s="1338"/>
      <c r="R35" s="1295"/>
      <c r="S35" s="1295"/>
      <c r="T35" s="170"/>
    </row>
    <row r="36" spans="1:25" s="202" customFormat="1" ht="50.25" customHeight="1" thickBot="1">
      <c r="A36" s="2052" t="s">
        <v>370</v>
      </c>
      <c r="B36" s="4"/>
      <c r="C36" s="4"/>
      <c r="D36" s="2112"/>
      <c r="E36" s="232"/>
      <c r="F36" s="171"/>
      <c r="G36" s="172"/>
      <c r="H36" s="217"/>
      <c r="I36" s="67"/>
      <c r="J36" s="4"/>
      <c r="K36" s="4"/>
      <c r="L36" s="1275" t="str">
        <f>"Kontroller av förändring mellan "&amp;År-1&amp;" och "&amp;År&amp;""</f>
        <v>Kontroller av förändring mellan 2018 och 2019</v>
      </c>
      <c r="O36" s="2209"/>
      <c r="Q36" s="170"/>
      <c r="R36" s="170"/>
      <c r="S36" s="170"/>
      <c r="T36" s="170"/>
    </row>
    <row r="37" spans="1:25" s="202" customFormat="1" ht="12.75">
      <c r="A37" s="605" t="s">
        <v>634</v>
      </c>
      <c r="B37" s="2091" t="s">
        <v>1168</v>
      </c>
      <c r="C37" s="792"/>
      <c r="D37" s="788" t="s">
        <v>1219</v>
      </c>
      <c r="E37" s="232"/>
      <c r="F37" s="75" t="s">
        <v>767</v>
      </c>
      <c r="G37" s="208"/>
      <c r="H37" s="209"/>
      <c r="I37" s="219"/>
      <c r="J37" s="181"/>
      <c r="K37" s="181"/>
      <c r="L37" s="802" t="s">
        <v>634</v>
      </c>
      <c r="M37" s="803" t="s">
        <v>1219</v>
      </c>
      <c r="N37" s="2233" t="s">
        <v>768</v>
      </c>
      <c r="O37" s="2209"/>
      <c r="P37" s="1335"/>
      <c r="Q37" s="89"/>
      <c r="R37" s="1339"/>
      <c r="S37" s="89"/>
      <c r="T37" s="1274"/>
      <c r="U37" s="201"/>
      <c r="V37" s="201"/>
      <c r="W37" s="201"/>
      <c r="X37" s="201"/>
      <c r="Y37" s="201"/>
    </row>
    <row r="38" spans="1:25" s="201" customFormat="1" ht="12.75">
      <c r="A38" s="793" t="s">
        <v>637</v>
      </c>
      <c r="B38" s="2448"/>
      <c r="C38" s="795"/>
      <c r="D38" s="789">
        <f>År</f>
        <v>2019</v>
      </c>
      <c r="E38" s="232"/>
      <c r="F38" s="210"/>
      <c r="G38" s="7"/>
      <c r="H38" s="2063"/>
      <c r="I38" s="217"/>
      <c r="J38" s="181"/>
      <c r="K38" s="181"/>
      <c r="L38" s="804" t="s">
        <v>637</v>
      </c>
      <c r="M38" s="805">
        <f>År-1</f>
        <v>2018</v>
      </c>
      <c r="N38" s="2234" t="str">
        <f>År-1&amp;-År</f>
        <v>2018-2019</v>
      </c>
      <c r="O38" s="2209"/>
      <c r="P38" s="1335"/>
      <c r="Q38" s="262"/>
      <c r="R38" s="1348"/>
      <c r="S38" s="1310"/>
      <c r="T38" s="1546"/>
    </row>
    <row r="39" spans="1:25" s="201" customFormat="1" ht="18.75" customHeight="1" thickBot="1">
      <c r="A39" s="796"/>
      <c r="B39" s="2449"/>
      <c r="C39" s="600"/>
      <c r="D39" s="798"/>
      <c r="E39" s="232"/>
      <c r="F39" s="2064"/>
      <c r="G39" s="2064"/>
      <c r="H39" s="2065"/>
      <c r="I39" s="2066"/>
      <c r="J39" s="1258"/>
      <c r="K39" s="4"/>
      <c r="L39" s="806"/>
      <c r="M39" s="807"/>
      <c r="N39" s="2234" t="s">
        <v>769</v>
      </c>
      <c r="O39" s="2209"/>
      <c r="P39" s="1335"/>
      <c r="Q39" s="145"/>
      <c r="R39" s="1553"/>
      <c r="S39" s="1554"/>
      <c r="T39" s="1338"/>
      <c r="U39" s="202"/>
      <c r="V39" s="202"/>
      <c r="W39" s="202"/>
      <c r="X39" s="202"/>
      <c r="Y39" s="202"/>
    </row>
    <row r="40" spans="1:25" s="202" customFormat="1" ht="18" customHeight="1" thickBot="1">
      <c r="A40" s="799">
        <v>600</v>
      </c>
      <c r="B40" s="800">
        <v>451</v>
      </c>
      <c r="C40" s="801" t="s">
        <v>714</v>
      </c>
      <c r="D40" s="195">
        <v>13027.306</v>
      </c>
      <c r="E40" s="232"/>
      <c r="F40" s="709">
        <v>602</v>
      </c>
      <c r="G40" s="710">
        <v>4513</v>
      </c>
      <c r="H40" s="711" t="s">
        <v>155</v>
      </c>
      <c r="I40" s="2028">
        <v>113.099</v>
      </c>
      <c r="J40" s="142"/>
      <c r="K40" s="142"/>
      <c r="L40" s="1240"/>
      <c r="M40" s="1236"/>
      <c r="N40" s="2225"/>
      <c r="O40" s="2209"/>
      <c r="P40" s="1333"/>
      <c r="Q40" s="1338"/>
      <c r="R40" s="1347"/>
      <c r="S40" s="1347"/>
      <c r="T40" s="1338"/>
    </row>
    <row r="41" spans="1:25" s="202" customFormat="1" ht="12.75">
      <c r="A41" s="565">
        <v>610</v>
      </c>
      <c r="B41" s="566">
        <v>452</v>
      </c>
      <c r="C41" s="559" t="s">
        <v>715</v>
      </c>
      <c r="D41" s="99">
        <v>1022.155</v>
      </c>
      <c r="E41" s="232"/>
      <c r="F41" s="808">
        <v>630</v>
      </c>
      <c r="G41" s="809">
        <v>4538</v>
      </c>
      <c r="H41" s="1346" t="s">
        <v>835</v>
      </c>
      <c r="I41" s="2211">
        <v>4396.4840000000004</v>
      </c>
      <c r="J41" s="294"/>
      <c r="K41" s="294"/>
      <c r="L41" s="799"/>
      <c r="M41" s="775"/>
      <c r="N41" s="2226"/>
      <c r="O41" s="2209"/>
      <c r="P41" s="1333"/>
      <c r="Q41" s="1338"/>
      <c r="R41" s="1347"/>
      <c r="S41" s="1347"/>
      <c r="T41" s="1338"/>
    </row>
    <row r="42" spans="1:25" s="202" customFormat="1" ht="18" customHeight="1" thickBot="1">
      <c r="A42" s="565">
        <v>620</v>
      </c>
      <c r="B42" s="563">
        <v>453</v>
      </c>
      <c r="C42" s="564" t="s">
        <v>788</v>
      </c>
      <c r="D42" s="178">
        <v>14139.742</v>
      </c>
      <c r="E42" s="232"/>
      <c r="F42" s="582">
        <v>631</v>
      </c>
      <c r="G42" s="1823" t="s">
        <v>1063</v>
      </c>
      <c r="H42" s="2089" t="s">
        <v>1067</v>
      </c>
      <c r="I42" s="230">
        <v>1018.133</v>
      </c>
      <c r="J42" s="142"/>
      <c r="K42" s="142"/>
      <c r="L42" s="558"/>
      <c r="M42" s="790"/>
      <c r="N42" s="2227"/>
      <c r="O42" s="2209"/>
      <c r="P42" s="1333"/>
      <c r="Q42" s="1338"/>
      <c r="R42" s="1347"/>
      <c r="S42" s="1347"/>
      <c r="T42" s="1338"/>
    </row>
    <row r="43" spans="1:25" s="202" customFormat="1" ht="20.25" customHeight="1">
      <c r="A43" s="673">
        <v>650</v>
      </c>
      <c r="B43" s="563">
        <v>454</v>
      </c>
      <c r="C43" s="564" t="s">
        <v>966</v>
      </c>
      <c r="D43" s="178">
        <v>435.83699999999999</v>
      </c>
      <c r="E43" s="232"/>
      <c r="F43" s="1432" t="s">
        <v>841</v>
      </c>
      <c r="G43" s="1433" t="s">
        <v>783</v>
      </c>
      <c r="H43" s="1346" t="s">
        <v>967</v>
      </c>
      <c r="I43" s="1285">
        <v>245.99100000000001</v>
      </c>
      <c r="J43" s="142"/>
      <c r="K43" s="142"/>
      <c r="L43" s="799"/>
      <c r="M43" s="775"/>
      <c r="N43" s="2226"/>
      <c r="O43" s="2209"/>
      <c r="P43" s="1333"/>
      <c r="Q43" s="1338"/>
      <c r="R43" s="1347"/>
      <c r="S43" s="1347"/>
      <c r="T43" s="1338"/>
    </row>
    <row r="44" spans="1:25" s="202" customFormat="1" ht="13.5" thickBot="1">
      <c r="A44" s="553">
        <v>690</v>
      </c>
      <c r="B44" s="568"/>
      <c r="C44" s="542" t="s">
        <v>789</v>
      </c>
      <c r="D44" s="360">
        <f>SUM(D40,D41,D42,D43)</f>
        <v>28625.040000000001</v>
      </c>
      <c r="E44" s="232"/>
      <c r="F44" s="1434">
        <v>652</v>
      </c>
      <c r="G44" s="1435">
        <v>4542</v>
      </c>
      <c r="H44" s="1357" t="s">
        <v>968</v>
      </c>
      <c r="I44" s="1286">
        <v>189.84399999999999</v>
      </c>
      <c r="J44" s="142"/>
      <c r="L44" s="567">
        <v>690</v>
      </c>
      <c r="M44" s="1229">
        <v>29131</v>
      </c>
      <c r="N44" s="2228">
        <f>IF(ISERROR((D44-M44)/M44),0,((D44-M44)/M44))</f>
        <v>-1.7368439119837945E-2</v>
      </c>
      <c r="O44" s="2209"/>
      <c r="P44" s="1337"/>
      <c r="Q44" s="1338"/>
      <c r="R44" s="1339"/>
      <c r="S44" s="1347"/>
      <c r="T44" s="1338"/>
      <c r="V44" s="1332"/>
    </row>
    <row r="45" spans="1:25" s="202" customFormat="1" ht="23.25" customHeight="1">
      <c r="A45" s="569">
        <v>100</v>
      </c>
      <c r="B45" s="1428" t="s">
        <v>1195</v>
      </c>
      <c r="C45" s="571" t="s">
        <v>716</v>
      </c>
      <c r="D45" s="99">
        <v>285013.20199999999</v>
      </c>
      <c r="E45" s="232"/>
      <c r="F45" s="1287">
        <v>102</v>
      </c>
      <c r="G45" s="1288">
        <v>512</v>
      </c>
      <c r="H45" s="1289" t="s">
        <v>156</v>
      </c>
      <c r="I45" s="1290">
        <v>5640.4949999999999</v>
      </c>
      <c r="J45" s="142"/>
      <c r="K45" s="142"/>
      <c r="L45" s="780">
        <v>100</v>
      </c>
      <c r="M45" s="1228">
        <v>277403</v>
      </c>
      <c r="N45" s="2227">
        <f>IF(ISERROR((D45-M45)/M45),0,((D45-M45)/M45))</f>
        <v>2.7433740803091494E-2</v>
      </c>
      <c r="O45" s="2209"/>
      <c r="P45" s="1333"/>
      <c r="Q45" s="1295"/>
      <c r="R45" s="2086"/>
      <c r="S45" s="1554"/>
      <c r="T45" s="1338"/>
    </row>
    <row r="46" spans="1:25" s="202" customFormat="1" ht="21" customHeight="1">
      <c r="A46" s="556">
        <v>110</v>
      </c>
      <c r="B46" s="2118" t="s">
        <v>1196</v>
      </c>
      <c r="C46" s="557" t="str">
        <f>"Sociala avg. enl. lag o. avtal (inkl. lönesk för "&amp;År&amp;"), exkl särskild löneskatt på avsättning pensioner"</f>
        <v>Sociala avg. enl. lag o. avtal (inkl. lönesk för 2019), exkl särskild löneskatt på avsättning pensioner</v>
      </c>
      <c r="D46" s="309">
        <v>95021.085000000006</v>
      </c>
      <c r="E46" s="232"/>
      <c r="F46" s="584">
        <v>111</v>
      </c>
      <c r="G46" s="1271" t="s">
        <v>776</v>
      </c>
      <c r="H46" s="585" t="s">
        <v>786</v>
      </c>
      <c r="I46" s="292">
        <v>6535.4949999999999</v>
      </c>
      <c r="J46" s="142"/>
      <c r="K46" s="142"/>
      <c r="L46" s="1238"/>
      <c r="M46" s="1076"/>
      <c r="N46" s="2226"/>
      <c r="O46" s="2209"/>
      <c r="P46" s="1333"/>
      <c r="Q46" s="1295"/>
      <c r="R46" s="2121"/>
      <c r="S46" s="1554"/>
      <c r="T46" s="1338"/>
    </row>
    <row r="47" spans="1:25" s="202" customFormat="1" ht="13.5" customHeight="1">
      <c r="A47" s="569">
        <v>103</v>
      </c>
      <c r="B47" s="2122">
        <v>591</v>
      </c>
      <c r="C47" s="559" t="s">
        <v>1198</v>
      </c>
      <c r="D47" s="99">
        <v>-1067.367</v>
      </c>
      <c r="E47" s="232"/>
      <c r="F47" s="2124"/>
      <c r="G47" s="2125"/>
      <c r="H47" s="2126"/>
      <c r="I47" s="2159"/>
      <c r="J47" s="142"/>
      <c r="K47" s="142"/>
      <c r="L47" s="1238"/>
      <c r="M47" s="1076"/>
      <c r="N47" s="2226"/>
      <c r="O47" s="2209"/>
      <c r="P47" s="1333"/>
      <c r="Q47" s="1295"/>
      <c r="R47" s="2121"/>
      <c r="S47" s="1554"/>
      <c r="T47" s="1338"/>
    </row>
    <row r="48" spans="1:25" s="202" customFormat="1" ht="18.75" customHeight="1">
      <c r="A48" s="558">
        <v>115</v>
      </c>
      <c r="B48" s="2119" t="s">
        <v>1197</v>
      </c>
      <c r="C48" s="559" t="s">
        <v>1129</v>
      </c>
      <c r="D48" s="99">
        <v>3463.8209999999999</v>
      </c>
      <c r="E48" s="232"/>
      <c r="F48" s="2127"/>
      <c r="G48" s="2128"/>
      <c r="H48" s="2129"/>
      <c r="I48" s="2123"/>
      <c r="J48" s="142"/>
      <c r="L48" s="558">
        <v>115</v>
      </c>
      <c r="M48" s="1228">
        <v>3730</v>
      </c>
      <c r="N48" s="2227">
        <f>IF(ISERROR((D48-M48)/M48),0,((D48-M48)/M48))</f>
        <v>-7.1361662198391448E-2</v>
      </c>
      <c r="O48" s="2209"/>
      <c r="P48" s="1333"/>
      <c r="Q48" s="1338"/>
      <c r="R48" s="1338"/>
      <c r="S48" s="1338"/>
      <c r="T48" s="1338"/>
    </row>
    <row r="49" spans="1:20" s="202" customFormat="1" ht="13.5" customHeight="1">
      <c r="A49" s="560">
        <v>120</v>
      </c>
      <c r="B49" s="561">
        <v>573</v>
      </c>
      <c r="C49" s="559" t="s">
        <v>959</v>
      </c>
      <c r="D49" s="225">
        <v>10149.004999999999</v>
      </c>
      <c r="E49" s="232"/>
      <c r="F49" s="709">
        <v>121</v>
      </c>
      <c r="G49" s="710" t="s">
        <v>563</v>
      </c>
      <c r="H49" s="765" t="s">
        <v>825</v>
      </c>
      <c r="I49" s="290">
        <v>1299.7249999999999</v>
      </c>
      <c r="J49" s="1258"/>
      <c r="L49" s="556">
        <v>120</v>
      </c>
      <c r="M49" s="1222">
        <v>9872</v>
      </c>
      <c r="N49" s="2231">
        <f>IF(ISERROR((D49-M49)/M49),0,((D49-M49)/M49))</f>
        <v>2.8059663695299757E-2</v>
      </c>
      <c r="O49" s="2209"/>
      <c r="P49" s="1336"/>
      <c r="Q49" s="1338"/>
      <c r="R49" s="1347"/>
      <c r="S49" s="1347"/>
      <c r="T49" s="1338"/>
    </row>
    <row r="50" spans="1:20" s="202" customFormat="1" ht="12.75">
      <c r="A50" s="560">
        <v>180</v>
      </c>
      <c r="B50" s="563">
        <v>571</v>
      </c>
      <c r="C50" s="559" t="s">
        <v>790</v>
      </c>
      <c r="D50" s="178">
        <v>2968.1320000000001</v>
      </c>
      <c r="E50" s="232"/>
      <c r="F50" s="712">
        <v>122</v>
      </c>
      <c r="G50" s="674" t="s">
        <v>564</v>
      </c>
      <c r="H50" s="767" t="s">
        <v>826</v>
      </c>
      <c r="I50" s="291">
        <v>8641.9699999999993</v>
      </c>
      <c r="J50" s="2033"/>
      <c r="K50" s="4"/>
      <c r="L50" s="560"/>
      <c r="M50" s="1085"/>
      <c r="N50" s="2229"/>
      <c r="O50" s="2209"/>
      <c r="P50" s="1333"/>
      <c r="Q50" s="1338"/>
      <c r="R50" s="1347"/>
      <c r="S50" s="1347"/>
      <c r="T50" s="1338"/>
    </row>
    <row r="51" spans="1:20" s="202" customFormat="1" ht="12.75">
      <c r="A51" s="565">
        <v>186</v>
      </c>
      <c r="B51" s="566">
        <v>574</v>
      </c>
      <c r="C51" s="559" t="s">
        <v>6</v>
      </c>
      <c r="D51" s="99">
        <v>90.834000000000003</v>
      </c>
      <c r="E51" s="232"/>
      <c r="F51" s="714">
        <v>123</v>
      </c>
      <c r="G51" s="812">
        <v>5733</v>
      </c>
      <c r="H51" s="583" t="s">
        <v>827</v>
      </c>
      <c r="I51" s="292">
        <v>203.73</v>
      </c>
      <c r="J51" s="2033"/>
      <c r="K51" s="157"/>
      <c r="L51" s="799"/>
      <c r="M51" s="1076"/>
      <c r="N51" s="2226"/>
      <c r="O51" s="2209"/>
      <c r="P51" s="1333"/>
      <c r="Q51" s="1338"/>
      <c r="R51" s="1347"/>
      <c r="S51" s="1347"/>
      <c r="T51" s="1338"/>
    </row>
    <row r="52" spans="1:20" s="202" customFormat="1" ht="12.75">
      <c r="A52" s="565">
        <v>185</v>
      </c>
      <c r="B52" s="563">
        <v>575</v>
      </c>
      <c r="C52" s="564" t="str">
        <f>"Pensionskostnad, avgiftsbestämd ålderspension"</f>
        <v>Pensionskostnad, avgiftsbestämd ålderspension</v>
      </c>
      <c r="D52" s="178">
        <v>13516.843999999999</v>
      </c>
      <c r="E52" s="2003"/>
      <c r="F52" s="4"/>
      <c r="G52" s="4"/>
      <c r="H52" s="67"/>
      <c r="K52" s="4"/>
      <c r="L52" s="799"/>
      <c r="M52" s="1076"/>
      <c r="N52" s="2226"/>
      <c r="O52" s="2209"/>
      <c r="P52" s="1333"/>
      <c r="Q52" s="1338"/>
      <c r="R52" s="1347"/>
      <c r="S52" s="1347"/>
      <c r="T52" s="170"/>
    </row>
    <row r="53" spans="1:20" s="202" customFormat="1" ht="13.5" thickBot="1">
      <c r="A53" s="567">
        <v>189</v>
      </c>
      <c r="B53" s="568"/>
      <c r="C53" s="542" t="s">
        <v>717</v>
      </c>
      <c r="D53" s="360">
        <f>SUM(D45:D52)</f>
        <v>409155.55599999992</v>
      </c>
      <c r="E53" s="232"/>
      <c r="F53" s="4"/>
      <c r="G53" s="4"/>
      <c r="H53" s="67"/>
      <c r="I53" s="67"/>
      <c r="L53" s="567"/>
      <c r="M53" s="1229"/>
      <c r="N53" s="2228"/>
      <c r="O53" s="2209"/>
      <c r="P53" s="1337"/>
      <c r="Q53" s="1338"/>
      <c r="R53" s="1339"/>
      <c r="S53" s="1339"/>
      <c r="T53" s="170"/>
    </row>
    <row r="54" spans="1:20" s="202" customFormat="1" ht="12.75">
      <c r="A54" s="569">
        <v>300</v>
      </c>
      <c r="B54" s="566" t="s">
        <v>821</v>
      </c>
      <c r="C54" s="559" t="s">
        <v>820</v>
      </c>
      <c r="D54" s="99">
        <v>9509.4079999999994</v>
      </c>
      <c r="E54" s="232"/>
      <c r="F54" s="706">
        <v>318</v>
      </c>
      <c r="G54" s="810">
        <v>628</v>
      </c>
      <c r="H54" s="811" t="s">
        <v>157</v>
      </c>
      <c r="I54" s="229">
        <v>544.62800000000004</v>
      </c>
      <c r="J54" s="142"/>
      <c r="K54" s="142"/>
      <c r="L54" s="1240"/>
      <c r="M54" s="1261"/>
      <c r="N54" s="2225"/>
      <c r="O54" s="2209"/>
      <c r="P54" s="1333"/>
      <c r="Q54" s="1295"/>
      <c r="R54" s="1364"/>
      <c r="S54" s="1347"/>
      <c r="T54" s="1338"/>
    </row>
    <row r="55" spans="1:20" s="202" customFormat="1" ht="12.75">
      <c r="A55" s="565">
        <v>325</v>
      </c>
      <c r="B55" s="566">
        <v>644</v>
      </c>
      <c r="C55" s="559" t="s">
        <v>718</v>
      </c>
      <c r="D55" s="99">
        <v>7744.8850000000002</v>
      </c>
      <c r="E55" s="232"/>
      <c r="F55" s="4"/>
      <c r="G55" s="4"/>
      <c r="H55" s="67"/>
      <c r="K55" s="4"/>
      <c r="L55" s="799"/>
      <c r="M55" s="1076"/>
      <c r="N55" s="2226"/>
      <c r="O55" s="2209"/>
      <c r="P55" s="1333"/>
      <c r="Q55" s="1338"/>
      <c r="R55" s="1347"/>
      <c r="S55" s="1347"/>
      <c r="T55" s="170"/>
    </row>
    <row r="56" spans="1:20" s="202" customFormat="1" ht="12.75">
      <c r="A56" s="565">
        <v>330</v>
      </c>
      <c r="B56" s="566">
        <v>651</v>
      </c>
      <c r="C56" s="559" t="s">
        <v>719</v>
      </c>
      <c r="D56" s="99">
        <v>412.76799999999997</v>
      </c>
      <c r="E56" s="232"/>
      <c r="F56" s="4"/>
      <c r="G56" s="4"/>
      <c r="H56" s="67"/>
      <c r="I56" s="67"/>
      <c r="L56" s="799"/>
      <c r="M56" s="1076"/>
      <c r="N56" s="2226"/>
      <c r="O56" s="2209"/>
      <c r="P56" s="1333"/>
      <c r="Q56" s="1338"/>
      <c r="R56" s="1347"/>
      <c r="S56" s="1347"/>
      <c r="T56" s="170"/>
    </row>
    <row r="57" spans="1:20" s="202" customFormat="1" ht="12.75">
      <c r="A57" s="565">
        <v>340</v>
      </c>
      <c r="B57" s="570" t="s">
        <v>693</v>
      </c>
      <c r="C57" s="571" t="s">
        <v>720</v>
      </c>
      <c r="D57" s="99">
        <v>17217.841</v>
      </c>
      <c r="E57" s="232"/>
      <c r="F57" s="1425" t="s">
        <v>840</v>
      </c>
      <c r="G57" s="1693">
        <v>641</v>
      </c>
      <c r="H57" s="1694" t="s">
        <v>797</v>
      </c>
      <c r="I57" s="1695">
        <v>2956.7779999999998</v>
      </c>
      <c r="J57" s="142"/>
      <c r="K57" s="4"/>
      <c r="L57" s="558"/>
      <c r="M57" s="1228"/>
      <c r="N57" s="2227"/>
      <c r="O57" s="2209"/>
      <c r="P57" s="1333"/>
      <c r="Q57" s="1338"/>
      <c r="R57" s="1364"/>
      <c r="S57" s="1347"/>
      <c r="T57" s="1364"/>
    </row>
    <row r="58" spans="1:20" s="202" customFormat="1" ht="13.5" thickBot="1">
      <c r="A58" s="567">
        <v>360</v>
      </c>
      <c r="B58" s="572"/>
      <c r="C58" s="573" t="s">
        <v>721</v>
      </c>
      <c r="D58" s="360">
        <f>SUM(D54,D55,D56,D57)</f>
        <v>34884.902000000002</v>
      </c>
      <c r="E58" s="232"/>
      <c r="F58" s="1427" t="s">
        <v>1003</v>
      </c>
      <c r="G58" s="2072">
        <v>422</v>
      </c>
      <c r="H58" s="1696" t="s">
        <v>1004</v>
      </c>
      <c r="I58" s="1320">
        <v>1846.9649999999999</v>
      </c>
      <c r="J58" s="142"/>
      <c r="K58" s="4"/>
      <c r="L58" s="567">
        <v>360</v>
      </c>
      <c r="M58" s="1229">
        <v>34845</v>
      </c>
      <c r="N58" s="2228">
        <f>IF(ISERROR((D58-M58)/M58),0,((D58-M58)/M58))</f>
        <v>1.1451284258861202E-3</v>
      </c>
      <c r="O58" s="2209"/>
      <c r="P58" s="1337"/>
      <c r="Q58" s="1338"/>
      <c r="R58" s="17"/>
      <c r="S58" s="1347"/>
      <c r="T58" s="1364"/>
    </row>
    <row r="59" spans="1:20" s="202" customFormat="1" ht="12.75" customHeight="1">
      <c r="A59" s="565">
        <v>345</v>
      </c>
      <c r="B59" s="566" t="s">
        <v>832</v>
      </c>
      <c r="C59" s="559" t="s">
        <v>1146</v>
      </c>
      <c r="D59" s="99">
        <v>7049.4650000000001</v>
      </c>
      <c r="E59" s="232"/>
      <c r="F59" s="4"/>
      <c r="G59" s="4"/>
      <c r="H59" s="67"/>
      <c r="I59" s="67"/>
      <c r="K59" s="4"/>
      <c r="L59" s="1240"/>
      <c r="M59" s="1261"/>
      <c r="N59" s="2225"/>
      <c r="O59" s="2209"/>
      <c r="P59" s="1333"/>
      <c r="Q59" s="1338"/>
      <c r="R59" s="1347"/>
      <c r="S59" s="1347"/>
      <c r="T59" s="170"/>
    </row>
    <row r="60" spans="1:20" s="202" customFormat="1" ht="12.75">
      <c r="A60" s="565">
        <v>401</v>
      </c>
      <c r="B60" s="566">
        <v>46</v>
      </c>
      <c r="C60" s="559" t="s">
        <v>791</v>
      </c>
      <c r="D60" s="99">
        <v>136953.14000000001</v>
      </c>
      <c r="E60" s="232"/>
      <c r="F60" s="4"/>
      <c r="G60" s="4"/>
      <c r="H60" s="67"/>
      <c r="I60" s="67"/>
      <c r="K60" s="4"/>
      <c r="L60" s="556">
        <v>401</v>
      </c>
      <c r="M60" s="1222">
        <v>133083</v>
      </c>
      <c r="N60" s="2231">
        <f>IF(ISERROR((D60-M60)/M60),0,((D60-M60)/M60))</f>
        <v>2.9080648918344297E-2</v>
      </c>
      <c r="O60" s="2209"/>
      <c r="P60" s="1333"/>
      <c r="Q60" s="1338"/>
      <c r="R60" s="1347"/>
      <c r="S60" s="1347"/>
      <c r="T60" s="170"/>
    </row>
    <row r="61" spans="1:20" s="202" customFormat="1" ht="12.75">
      <c r="A61" s="565">
        <v>410</v>
      </c>
      <c r="B61" s="566">
        <v>74</v>
      </c>
      <c r="C61" s="559" t="s">
        <v>823</v>
      </c>
      <c r="D61" s="99">
        <v>21090.177</v>
      </c>
      <c r="E61" s="232"/>
      <c r="F61" s="4"/>
      <c r="G61" s="4"/>
      <c r="H61" s="67"/>
      <c r="I61" s="67"/>
      <c r="K61" s="4"/>
      <c r="L61" s="799"/>
      <c r="M61" s="1076"/>
      <c r="N61" s="2226"/>
      <c r="O61" s="2209"/>
      <c r="P61" s="1333"/>
      <c r="Q61" s="1338"/>
      <c r="R61" s="1546"/>
      <c r="S61" s="1347"/>
      <c r="T61" s="170"/>
    </row>
    <row r="62" spans="1:20" s="202" customFormat="1" ht="17.25" customHeight="1">
      <c r="A62" s="565">
        <v>411</v>
      </c>
      <c r="B62" s="566">
        <v>75</v>
      </c>
      <c r="C62" s="559" t="s">
        <v>1149</v>
      </c>
      <c r="D62" s="99">
        <v>1990.883</v>
      </c>
      <c r="E62" s="232"/>
      <c r="F62" s="4"/>
      <c r="G62" s="4"/>
      <c r="H62" s="67"/>
      <c r="I62" s="67"/>
      <c r="K62" s="4"/>
      <c r="L62" s="799"/>
      <c r="M62" s="1076"/>
      <c r="N62" s="2226"/>
      <c r="O62" s="2209"/>
      <c r="P62" s="1333"/>
      <c r="Q62" s="1338"/>
      <c r="R62" s="1347"/>
      <c r="S62" s="1347"/>
      <c r="T62" s="170"/>
    </row>
    <row r="63" spans="1:20" s="202" customFormat="1" ht="12.75">
      <c r="A63" s="565">
        <v>415</v>
      </c>
      <c r="B63" s="566" t="s">
        <v>833</v>
      </c>
      <c r="C63" s="559" t="s">
        <v>1209</v>
      </c>
      <c r="D63" s="99">
        <v>4576.098</v>
      </c>
      <c r="E63" s="232"/>
      <c r="F63" s="4"/>
      <c r="G63" s="4"/>
      <c r="H63" s="67"/>
      <c r="I63" s="67"/>
      <c r="K63" s="4"/>
      <c r="L63" s="799"/>
      <c r="M63" s="1076"/>
      <c r="N63" s="2226"/>
      <c r="O63" s="2209"/>
      <c r="P63" s="1333"/>
      <c r="Q63" s="1338"/>
      <c r="R63" s="1364"/>
      <c r="S63" s="1347"/>
      <c r="T63" s="170"/>
    </row>
    <row r="64" spans="1:20" s="202" customFormat="1" ht="12.75">
      <c r="A64" s="565">
        <v>416</v>
      </c>
      <c r="B64" s="570">
        <v>68</v>
      </c>
      <c r="C64" s="559" t="s">
        <v>722</v>
      </c>
      <c r="D64" s="99">
        <v>2262.3490000000002</v>
      </c>
      <c r="E64" s="232"/>
      <c r="F64" s="4"/>
      <c r="G64" s="4"/>
      <c r="H64" s="67"/>
      <c r="I64" s="67"/>
      <c r="K64" s="4"/>
      <c r="L64" s="799"/>
      <c r="M64" s="1076"/>
      <c r="N64" s="2226"/>
      <c r="O64" s="2209"/>
      <c r="P64" s="1333"/>
      <c r="Q64" s="1338"/>
      <c r="R64" s="1364"/>
      <c r="S64" s="1364"/>
      <c r="T64" s="170"/>
    </row>
    <row r="65" spans="1:25" s="202" customFormat="1" ht="12.75">
      <c r="A65" s="565">
        <v>430</v>
      </c>
      <c r="B65" s="570">
        <v>66</v>
      </c>
      <c r="C65" s="559" t="s">
        <v>792</v>
      </c>
      <c r="D65" s="99">
        <v>1762.069</v>
      </c>
      <c r="E65" s="232"/>
      <c r="F65" s="4"/>
      <c r="G65" s="4"/>
      <c r="H65" s="67"/>
      <c r="I65" s="67"/>
      <c r="K65" s="4"/>
      <c r="L65" s="799"/>
      <c r="M65" s="1076"/>
      <c r="N65" s="2226"/>
      <c r="O65" s="2209"/>
      <c r="P65" s="1333"/>
      <c r="Q65" s="1338"/>
      <c r="R65" s="1364"/>
      <c r="S65" s="1364"/>
      <c r="T65" s="170"/>
    </row>
    <row r="66" spans="1:25" s="202" customFormat="1" ht="12.75">
      <c r="A66" s="565">
        <v>440</v>
      </c>
      <c r="B66" s="570">
        <v>701</v>
      </c>
      <c r="C66" s="559" t="s">
        <v>1147</v>
      </c>
      <c r="D66" s="99">
        <v>7217.4449999999997</v>
      </c>
      <c r="E66" s="232"/>
      <c r="F66" s="4"/>
      <c r="G66" s="4"/>
      <c r="H66" s="67"/>
      <c r="I66" s="67"/>
      <c r="K66" s="4"/>
      <c r="L66" s="558"/>
      <c r="M66" s="1228"/>
      <c r="N66" s="2227"/>
      <c r="O66" s="2209"/>
      <c r="P66" s="1333"/>
      <c r="Q66" s="1338"/>
      <c r="R66" s="1347"/>
      <c r="S66" s="1364"/>
      <c r="T66" s="170"/>
    </row>
    <row r="67" spans="1:25" s="202" customFormat="1" ht="12.75">
      <c r="A67" s="565">
        <v>450</v>
      </c>
      <c r="B67" s="570">
        <v>601</v>
      </c>
      <c r="C67" s="559" t="s">
        <v>1148</v>
      </c>
      <c r="D67" s="99">
        <v>35295.563999999998</v>
      </c>
      <c r="E67" s="232"/>
      <c r="F67" s="4"/>
      <c r="G67" s="4"/>
      <c r="H67" s="67"/>
      <c r="I67" s="67"/>
      <c r="K67" s="4"/>
      <c r="L67" s="556">
        <v>450</v>
      </c>
      <c r="M67" s="1222">
        <v>33729</v>
      </c>
      <c r="N67" s="2231">
        <f>IF(ISERROR((D67-M67)/M67),0,((D67-M67)/M67))</f>
        <v>4.6445610602152403E-2</v>
      </c>
      <c r="O67" s="2209"/>
      <c r="P67" s="1333"/>
      <c r="Q67" s="1338"/>
      <c r="R67" s="1364"/>
      <c r="S67" s="1364"/>
      <c r="T67" s="170"/>
    </row>
    <row r="68" spans="1:25" s="202" customFormat="1" ht="18.75">
      <c r="A68" s="565">
        <v>460</v>
      </c>
      <c r="B68" s="570">
        <v>602</v>
      </c>
      <c r="C68" s="571" t="s">
        <v>723</v>
      </c>
      <c r="D68" s="99">
        <v>76.608999999999995</v>
      </c>
      <c r="E68" s="232"/>
      <c r="F68" s="1733">
        <v>469</v>
      </c>
      <c r="G68" s="1734" t="s">
        <v>970</v>
      </c>
      <c r="H68" s="1558" t="s">
        <v>1100</v>
      </c>
      <c r="I68" s="1556">
        <v>3258.585</v>
      </c>
      <c r="K68" s="4"/>
      <c r="L68" s="560"/>
      <c r="M68" s="1085"/>
      <c r="N68" s="2229"/>
      <c r="O68" s="2209"/>
      <c r="P68" s="1333"/>
      <c r="Q68" s="1338"/>
      <c r="R68" s="1364"/>
      <c r="S68" s="1364"/>
      <c r="T68" s="1338"/>
    </row>
    <row r="69" spans="1:25" s="202" customFormat="1" ht="20.25" customHeight="1">
      <c r="A69" s="565">
        <v>470</v>
      </c>
      <c r="B69" s="1428" t="s">
        <v>1151</v>
      </c>
      <c r="C69" s="596" t="s">
        <v>1152</v>
      </c>
      <c r="D69" s="226">
        <v>8245.8490000000002</v>
      </c>
      <c r="E69" s="232"/>
      <c r="F69" s="712">
        <v>472</v>
      </c>
      <c r="G69" s="713">
        <v>731</v>
      </c>
      <c r="H69" s="2092" t="s">
        <v>1150</v>
      </c>
      <c r="I69" s="1557">
        <v>1141.194</v>
      </c>
      <c r="K69" s="4"/>
      <c r="L69" s="799"/>
      <c r="M69" s="1076"/>
      <c r="N69" s="2226"/>
      <c r="O69" s="2209"/>
      <c r="P69" s="1333"/>
      <c r="Q69" s="1338"/>
      <c r="R69" s="1347"/>
      <c r="S69" s="1347"/>
      <c r="T69" s="1338"/>
    </row>
    <row r="70" spans="1:25" s="202" customFormat="1" ht="18.75" customHeight="1">
      <c r="A70" s="565">
        <v>471</v>
      </c>
      <c r="B70" s="566" t="s">
        <v>694</v>
      </c>
      <c r="C70" s="559" t="s">
        <v>724</v>
      </c>
      <c r="D70" s="100">
        <v>12158.954</v>
      </c>
      <c r="E70" s="232"/>
      <c r="F70" s="712">
        <v>474</v>
      </c>
      <c r="G70" s="674">
        <v>732</v>
      </c>
      <c r="H70" s="767" t="s">
        <v>1101</v>
      </c>
      <c r="I70" s="291">
        <v>101.905</v>
      </c>
      <c r="K70" s="4"/>
      <c r="L70" s="558"/>
      <c r="M70" s="1228"/>
      <c r="N70" s="2227"/>
      <c r="O70" s="2209"/>
      <c r="P70" s="1333"/>
      <c r="Q70" s="1338"/>
      <c r="R70" s="1347"/>
      <c r="S70" s="1347"/>
      <c r="T70" s="1338"/>
    </row>
    <row r="71" spans="1:25" s="202" customFormat="1" ht="18.75" thickBot="1">
      <c r="A71" s="574">
        <v>479</v>
      </c>
      <c r="B71" s="575"/>
      <c r="C71" s="576" t="s">
        <v>725</v>
      </c>
      <c r="D71" s="361">
        <f>SUM(D59:D70)</f>
        <v>238678.60199999998</v>
      </c>
      <c r="E71" s="232"/>
      <c r="F71" s="2019">
        <v>476</v>
      </c>
      <c r="G71" s="2023" t="s">
        <v>1114</v>
      </c>
      <c r="H71" s="1962" t="s">
        <v>1104</v>
      </c>
      <c r="I71" s="291">
        <v>911.51199999999994</v>
      </c>
      <c r="K71" s="4"/>
      <c r="L71" s="567">
        <v>479</v>
      </c>
      <c r="M71" s="1229">
        <v>233300</v>
      </c>
      <c r="N71" s="2228">
        <f>IF(ISERROR((D71-M71)/M71),0,((D71-M71)/M71))</f>
        <v>2.3054444920702889E-2</v>
      </c>
      <c r="O71" s="2209"/>
      <c r="P71" s="1337"/>
      <c r="Q71" s="1338"/>
      <c r="R71" s="1339"/>
      <c r="S71" s="1347"/>
      <c r="T71" s="1338"/>
    </row>
    <row r="72" spans="1:25" s="202" customFormat="1" ht="19.5" customHeight="1">
      <c r="A72" s="577">
        <v>897</v>
      </c>
      <c r="B72" s="1428" t="s">
        <v>824</v>
      </c>
      <c r="C72" s="559" t="s">
        <v>1153</v>
      </c>
      <c r="D72" s="227">
        <v>1021.623</v>
      </c>
      <c r="E72" s="2004"/>
      <c r="F72" s="712">
        <v>477</v>
      </c>
      <c r="G72" s="674">
        <v>737</v>
      </c>
      <c r="H72" s="767" t="s">
        <v>1102</v>
      </c>
      <c r="I72" s="291">
        <v>1.181</v>
      </c>
      <c r="K72" s="4"/>
      <c r="L72" s="1240"/>
      <c r="M72" s="1261"/>
      <c r="N72" s="2225"/>
      <c r="O72" s="2209"/>
      <c r="P72" s="1333"/>
      <c r="Q72" s="1338"/>
      <c r="R72" s="1555"/>
      <c r="S72" s="1347"/>
      <c r="T72" s="1338"/>
    </row>
    <row r="73" spans="1:25" s="202" customFormat="1" ht="18" customHeight="1">
      <c r="A73" s="556">
        <v>899</v>
      </c>
      <c r="B73" s="1429">
        <v>787</v>
      </c>
      <c r="C73" s="571" t="s">
        <v>784</v>
      </c>
      <c r="D73" s="224">
        <v>499.53399999999999</v>
      </c>
      <c r="E73" s="232"/>
      <c r="F73" s="1527" t="s">
        <v>254</v>
      </c>
      <c r="G73" s="674"/>
      <c r="H73" s="767" t="s">
        <v>942</v>
      </c>
      <c r="I73" s="291">
        <v>0.17599999999999999</v>
      </c>
      <c r="J73" s="142"/>
      <c r="K73" s="4"/>
      <c r="L73" s="799"/>
      <c r="M73" s="1076"/>
      <c r="N73" s="2226"/>
      <c r="O73" s="2209"/>
      <c r="P73" s="1333"/>
      <c r="Q73" s="1338"/>
      <c r="R73" s="1347"/>
      <c r="S73" s="1338"/>
      <c r="T73" s="1338"/>
    </row>
    <row r="74" spans="1:25" s="202" customFormat="1" ht="12.75" customHeight="1" thickBot="1">
      <c r="A74" s="574">
        <v>900</v>
      </c>
      <c r="B74" s="578">
        <v>789</v>
      </c>
      <c r="C74" s="579" t="s">
        <v>373</v>
      </c>
      <c r="D74" s="228">
        <v>-5.2910000000000004</v>
      </c>
      <c r="E74" s="307"/>
      <c r="F74" s="813">
        <v>478</v>
      </c>
      <c r="G74" s="674" t="s">
        <v>795</v>
      </c>
      <c r="H74" s="767" t="s">
        <v>1103</v>
      </c>
      <c r="I74" s="291">
        <v>2066.2739999999999</v>
      </c>
      <c r="K74" s="142"/>
      <c r="L74" s="799"/>
      <c r="M74" s="1076"/>
      <c r="N74" s="2226"/>
      <c r="O74" s="2209"/>
      <c r="P74" s="1333"/>
      <c r="Q74" s="1338"/>
      <c r="R74" s="1338"/>
      <c r="S74" s="1338"/>
      <c r="T74" s="1338"/>
    </row>
    <row r="75" spans="1:25" s="202" customFormat="1" ht="16.5" customHeight="1" thickBot="1">
      <c r="A75" s="569">
        <v>887</v>
      </c>
      <c r="B75" s="570"/>
      <c r="C75" s="580" t="s">
        <v>653</v>
      </c>
      <c r="D75" s="362">
        <f>SUM(D44+D53+D58+D71+D72+D73+D74)</f>
        <v>712859.9659999999</v>
      </c>
      <c r="F75" s="582">
        <v>473</v>
      </c>
      <c r="G75" s="1431" t="s">
        <v>848</v>
      </c>
      <c r="H75" s="1358" t="s">
        <v>1130</v>
      </c>
      <c r="I75" s="292">
        <v>444.75299999999999</v>
      </c>
      <c r="J75" s="142"/>
      <c r="K75" s="4"/>
      <c r="L75" s="553"/>
      <c r="M75" s="1262"/>
      <c r="N75" s="2230"/>
      <c r="O75" s="2209"/>
      <c r="P75" s="1337"/>
      <c r="Q75" s="1295"/>
      <c r="R75" s="1364"/>
      <c r="S75" s="1364"/>
      <c r="T75" s="1338"/>
    </row>
    <row r="76" spans="1:25" s="202" customFormat="1" ht="18" customHeight="1" thickBot="1">
      <c r="A76" s="581" t="s">
        <v>463</v>
      </c>
      <c r="B76" s="568"/>
      <c r="C76" s="542" t="s">
        <v>94</v>
      </c>
      <c r="D76" s="303">
        <f>RR!C8</f>
        <v>712859.95</v>
      </c>
      <c r="E76" s="232"/>
      <c r="F76" s="2209"/>
      <c r="G76" s="2209"/>
      <c r="H76" s="2209"/>
      <c r="I76" s="2209"/>
      <c r="J76" s="2209"/>
      <c r="L76" s="1241"/>
      <c r="M76" s="1242"/>
      <c r="N76" s="2232"/>
      <c r="O76" s="2209"/>
      <c r="P76" s="1333"/>
      <c r="Q76" s="170"/>
      <c r="R76" s="1339"/>
      <c r="S76" s="1339"/>
      <c r="T76" s="170"/>
    </row>
    <row r="77" spans="1:25" s="202" customFormat="1" ht="15.75" customHeight="1">
      <c r="A77" s="146" t="s">
        <v>1166</v>
      </c>
      <c r="B77" s="1430"/>
      <c r="C77" s="1430"/>
      <c r="D77" s="1705"/>
      <c r="F77" s="2209"/>
      <c r="G77" s="2209"/>
      <c r="H77" s="2209"/>
      <c r="I77" s="2209"/>
      <c r="J77" s="2209"/>
      <c r="K77" s="4"/>
      <c r="O77" s="2209"/>
      <c r="Q77" s="170"/>
      <c r="R77" s="1344"/>
      <c r="S77" s="1344"/>
      <c r="T77" s="170"/>
    </row>
    <row r="78" spans="1:25" s="202" customFormat="1" ht="21" customHeight="1">
      <c r="A78" s="146" t="s">
        <v>849</v>
      </c>
      <c r="B78" s="79"/>
      <c r="C78" s="79"/>
      <c r="D78" s="4"/>
      <c r="F78" s="2209"/>
      <c r="G78" s="2209"/>
      <c r="H78" s="2209"/>
      <c r="I78" s="2209"/>
      <c r="J78" s="2209"/>
      <c r="K78" s="4"/>
      <c r="Q78" s="170"/>
      <c r="R78" s="2450"/>
      <c r="S78" s="2450"/>
      <c r="T78" s="2450"/>
    </row>
    <row r="79" spans="1:25" s="202" customFormat="1" ht="12.75" customHeight="1">
      <c r="A79" s="170"/>
      <c r="B79" s="170"/>
      <c r="C79" s="170"/>
      <c r="D79" s="170"/>
      <c r="F79" s="2209"/>
      <c r="G79" s="2209"/>
      <c r="H79" s="2209"/>
      <c r="I79" s="2209"/>
      <c r="J79" s="2209"/>
      <c r="K79" s="4"/>
      <c r="L79" s="170"/>
      <c r="M79" s="170"/>
      <c r="N79" s="170"/>
      <c r="O79" s="170"/>
      <c r="P79" s="170"/>
      <c r="Q79" s="170"/>
      <c r="R79" s="2450"/>
      <c r="S79" s="2450"/>
      <c r="T79" s="2450"/>
      <c r="U79" s="170"/>
      <c r="V79" s="170"/>
    </row>
    <row r="80" spans="1:25" s="202" customFormat="1" ht="12.75">
      <c r="A80" s="170"/>
      <c r="B80" s="170"/>
      <c r="C80" s="170"/>
      <c r="D80" s="170"/>
      <c r="E80" s="170"/>
      <c r="F80" s="4"/>
      <c r="G80" s="4"/>
      <c r="H80" s="4"/>
      <c r="I80" s="4"/>
      <c r="J80" s="4"/>
      <c r="K80" s="170"/>
      <c r="L80" s="170"/>
      <c r="M80" s="170"/>
      <c r="N80" s="170"/>
      <c r="O80" s="170"/>
      <c r="P80" s="170"/>
      <c r="Q80" s="170"/>
      <c r="R80" s="423"/>
      <c r="S80" s="423"/>
      <c r="T80" s="170"/>
      <c r="U80" s="170"/>
      <c r="V80" s="170"/>
      <c r="W80" s="170"/>
      <c r="X80" s="170"/>
      <c r="Y80" s="170"/>
    </row>
    <row r="81" ht="12.75"/>
    <row r="82" ht="12.75"/>
    <row r="83" ht="12.75"/>
    <row r="84" ht="12.75"/>
    <row r="85" ht="12.75" hidden="1"/>
    <row r="86" ht="12.75" hidden="1"/>
    <row r="87" ht="12.75" hidden="1"/>
    <row r="88" ht="12.75" hidden="1"/>
    <row r="89" ht="12.75" hidden="1"/>
    <row r="90" ht="12.75" hidden="1"/>
    <row r="91" ht="12.75" hidden="1"/>
    <row r="92" ht="12.75"/>
    <row r="93" ht="12.75" hidden="1"/>
    <row r="94" ht="0" hidden="1" customHeight="1"/>
    <row r="95" ht="0" hidden="1" customHeight="1"/>
  </sheetData>
  <sheetProtection algorithmName="SHA-512" hashValue="8bPdfkeIxIF3yxnt0x8hA5WDE8CfJTOpi3cwtVXZc3PjeA5og7AtoOzGVcSxVv/KUf8qNHTnHWhgaDhYsM4Njg==" saltValue="9fwzK6R6SUZuLUfd2p4Gaw==" spinCount="100000" sheet="1" objects="1" scenarios="1"/>
  <mergeCells count="3">
    <mergeCell ref="B6:B7"/>
    <mergeCell ref="B38:B39"/>
    <mergeCell ref="R78:T79"/>
  </mergeCells>
  <conditionalFormatting sqref="I17:I18 I20">
    <cfRule type="cellIs" dxfId="139" priority="17" stopIfTrue="1" operator="lessThan">
      <formula>-500</formula>
    </cfRule>
  </conditionalFormatting>
  <conditionalFormatting sqref="I23">
    <cfRule type="cellIs" dxfId="138" priority="16" stopIfTrue="1" operator="lessThan">
      <formula>-500</formula>
    </cfRule>
  </conditionalFormatting>
  <conditionalFormatting sqref="I57">
    <cfRule type="cellIs" dxfId="137" priority="15" stopIfTrue="1" operator="lessThan">
      <formula>-500</formula>
    </cfRule>
  </conditionalFormatting>
  <conditionalFormatting sqref="I26:I29">
    <cfRule type="cellIs" dxfId="136" priority="14" stopIfTrue="1" operator="lessThan">
      <formula>-500</formula>
    </cfRule>
  </conditionalFormatting>
  <conditionalFormatting sqref="D43 I43:I44">
    <cfRule type="cellIs" dxfId="135" priority="13" stopIfTrue="1" operator="lessThan">
      <formula>0</formula>
    </cfRule>
  </conditionalFormatting>
  <conditionalFormatting sqref="I68">
    <cfRule type="cellIs" dxfId="134" priority="12" stopIfTrue="1" operator="lessThan">
      <formula>-500</formula>
    </cfRule>
  </conditionalFormatting>
  <conditionalFormatting sqref="I68 I39:I45 I47:I48">
    <cfRule type="cellIs" dxfId="133" priority="11" stopIfTrue="1" operator="lessThan">
      <formula>-500</formula>
    </cfRule>
  </conditionalFormatting>
  <conditionalFormatting sqref="D8:D11 D13:D15 D17:D24 D26:D29 I23 I26:I28 D31:D33 D40:D43 D45 D49:D52 D54:D57 D59:D70 D72 D74 I68:I75 I57 I54 I49:I51">
    <cfRule type="cellIs" dxfId="132" priority="10" stopIfTrue="1" operator="lessThan">
      <formula>-500</formula>
    </cfRule>
  </conditionalFormatting>
  <conditionalFormatting sqref="I58">
    <cfRule type="cellIs" dxfId="131" priority="9" stopIfTrue="1" operator="lessThan">
      <formula>-500</formula>
    </cfRule>
  </conditionalFormatting>
  <conditionalFormatting sqref="I58">
    <cfRule type="cellIs" dxfId="130" priority="8" stopIfTrue="1" operator="lessThan">
      <formula>-500</formula>
    </cfRule>
  </conditionalFormatting>
  <conditionalFormatting sqref="I19">
    <cfRule type="cellIs" dxfId="129" priority="7" stopIfTrue="1" operator="lessThan">
      <formula>-500</formula>
    </cfRule>
  </conditionalFormatting>
  <conditionalFormatting sqref="I19">
    <cfRule type="cellIs" dxfId="128" priority="6" stopIfTrue="1" operator="lessThan">
      <formula>-500</formula>
    </cfRule>
  </conditionalFormatting>
  <conditionalFormatting sqref="I24">
    <cfRule type="cellIs" dxfId="127" priority="5" stopIfTrue="1" operator="lessThan">
      <formula>-500</formula>
    </cfRule>
  </conditionalFormatting>
  <conditionalFormatting sqref="I24">
    <cfRule type="cellIs" dxfId="126" priority="4" stopIfTrue="1" operator="lessThan">
      <formula>-500</formula>
    </cfRule>
  </conditionalFormatting>
  <conditionalFormatting sqref="D46">
    <cfRule type="cellIs" dxfId="125" priority="2" stopIfTrue="1" operator="lessThan">
      <formula>-500</formula>
    </cfRule>
  </conditionalFormatting>
  <conditionalFormatting sqref="I46">
    <cfRule type="cellIs" dxfId="124" priority="1" stopIfTrue="1" operator="lessThan">
      <formula>-500</formula>
    </cfRule>
  </conditionalFormatting>
  <dataValidations count="4">
    <dataValidation type="decimal" operator="lessThan" allowBlank="1" showInputMessage="1" showErrorMessage="1" error="beloppet ska vara 1000tal kr" sqref="I68">
      <formula1>99999999</formula1>
    </dataValidation>
    <dataValidation operator="lessThan" allowBlank="1" showInputMessage="1" showErrorMessage="1" sqref="D75 D34"/>
    <dataValidation type="decimal" operator="lessThan" allowBlank="1" showInputMessage="1" showErrorMessage="1" error="Beloppet ska vara i 1000 tal kronor" sqref="I17:I20 D54:D57 D40:D43 D17:D24 D26:D29 D13:D15 D8:D11 I54 I69:I75 I57:I58 D31:D33 D59:D70 D72:D74 I26:I29 I23:I24 I39:I51 D45:D46 D48:D52">
      <formula1>99999999</formula1>
    </dataValidation>
    <dataValidation type="decimal" operator="lessThanOrEqual" allowBlank="1" showInputMessage="1" showErrorMessage="1" error="Beloppet ska redovisas med minustecken" sqref="D47">
      <formula1>0</formula1>
    </dataValidation>
  </dataValidations>
  <pageMargins left="0.7" right="0.7" top="0.75" bottom="0.75" header="0.3" footer="0.3"/>
  <pageSetup paperSize="9" scale="70" orientation="portrait" r:id="rId1"/>
  <headerFooter>
    <oddHeader>&amp;L&amp;8Statistiska Centralbyrån
Offentlig ekonomi&amp;R&amp;P</oddHeader>
  </headerFooter>
  <ignoredErrors>
    <ignoredError sqref="F19:G19 F24:G24 F26:G26 F27:F28 F43:G43 G49:G50 A76 F73 G74 F57:F5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rgb="FFFFFF00"/>
  </sheetPr>
  <dimension ref="A1:XFC46"/>
  <sheetViews>
    <sheetView showGridLines="0" zoomScaleNormal="100" workbookViewId="0">
      <pane ySplit="1" topLeftCell="A2" activePane="bottomLeft" state="frozen"/>
      <selection activeCell="F36" sqref="F36"/>
      <selection pane="bottomLeft"/>
    </sheetView>
  </sheetViews>
  <sheetFormatPr defaultColWidth="9.140625" defaultRowHeight="0" customHeight="1" zeroHeight="1"/>
  <cols>
    <col min="1" max="1" width="4" style="170" customWidth="1"/>
    <col min="2" max="2" width="9.140625" style="170" customWidth="1"/>
    <col min="3" max="3" width="30.85546875" style="170" customWidth="1"/>
    <col min="4" max="4" width="10.7109375" style="170" customWidth="1"/>
    <col min="5" max="5" width="22" style="170" customWidth="1"/>
    <col min="6" max="6" width="5" style="170" customWidth="1"/>
    <col min="7" max="7" width="27.7109375" style="170" customWidth="1"/>
    <col min="8" max="8" width="4" style="170" customWidth="1"/>
    <col min="9" max="9" width="8.28515625" style="170" customWidth="1"/>
    <col min="10" max="10" width="31.28515625" style="170" customWidth="1"/>
    <col min="11" max="12" width="10.7109375" style="170" customWidth="1"/>
    <col min="13" max="13" width="13.42578125" style="170" customWidth="1"/>
    <col min="14" max="14" width="4.28515625" style="170" customWidth="1"/>
    <col min="15" max="15" width="3.7109375" style="170" customWidth="1"/>
    <col min="16" max="16" width="19.7109375" style="170" customWidth="1"/>
    <col min="17" max="17" width="7" style="170" customWidth="1"/>
    <col min="18" max="18" width="3.7109375" style="170" customWidth="1"/>
    <col min="19" max="19" width="1.5703125" style="170" customWidth="1"/>
    <col min="20" max="20" width="21.5703125" style="170" customWidth="1"/>
    <col min="21" max="16383" width="0" style="170" hidden="1" customWidth="1"/>
    <col min="16384" max="16384" width="4.42578125" style="170" hidden="1" customWidth="1"/>
  </cols>
  <sheetData>
    <row r="1" spans="1:20" ht="18">
      <c r="A1" s="1506" t="str">
        <f>"Skatteintäkter, utjämningssystem o. generella statliga bidrag samt finansiella poster "&amp;År&amp;", miljoner kr"</f>
        <v>Skatteintäkter, utjämningssystem o. generella statliga bidrag samt finansiella poster 2019, miljoner kr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21" t="s">
        <v>466</v>
      </c>
      <c r="O1" s="521"/>
      <c r="P1" s="521"/>
      <c r="Q1" s="521"/>
      <c r="R1" s="521"/>
      <c r="S1" s="521"/>
      <c r="T1" s="522" t="str">
        <f>'Kn Information'!A2</f>
        <v>RIKSTOTAL</v>
      </c>
    </row>
    <row r="2" spans="1:20" ht="12.75" customHeight="1">
      <c r="A2" s="2209"/>
      <c r="B2" s="2209"/>
      <c r="C2" s="2209"/>
      <c r="D2" s="2209"/>
      <c r="E2" s="2209"/>
      <c r="F2" s="2209"/>
      <c r="G2" s="2209"/>
      <c r="H2" s="2209"/>
      <c r="I2" s="2209"/>
      <c r="J2" s="2209"/>
      <c r="K2" s="2209"/>
      <c r="L2" s="2209"/>
      <c r="M2" s="2209"/>
      <c r="N2" s="2209"/>
      <c r="O2" s="2209"/>
      <c r="P2" s="2209"/>
      <c r="Q2" s="2209"/>
      <c r="R2" s="2209"/>
      <c r="S2" s="2209"/>
      <c r="T2" s="2209"/>
    </row>
    <row r="3" spans="1:20" ht="12.75" customHeight="1">
      <c r="A3" s="2209"/>
      <c r="B3" s="2209"/>
      <c r="C3" s="2209"/>
      <c r="D3" s="2209"/>
      <c r="E3" s="2209"/>
      <c r="F3" s="2209"/>
      <c r="G3" s="2209"/>
      <c r="H3" s="2209"/>
      <c r="I3" s="2209"/>
      <c r="J3" s="2209"/>
      <c r="K3" s="2209"/>
      <c r="L3" s="2209"/>
      <c r="M3" s="2209"/>
      <c r="N3" s="2209"/>
      <c r="O3" s="2209"/>
      <c r="P3" s="2209"/>
      <c r="Q3" s="2209"/>
      <c r="R3" s="2209"/>
      <c r="S3" s="2209"/>
      <c r="T3" s="2209"/>
    </row>
    <row r="4" spans="1:20" ht="17.25" customHeight="1" thickBot="1">
      <c r="A4" s="74" t="s">
        <v>639</v>
      </c>
      <c r="B4" s="4"/>
      <c r="C4" s="4"/>
      <c r="D4" s="35"/>
      <c r="G4" s="4"/>
      <c r="H4" s="74" t="s">
        <v>640</v>
      </c>
      <c r="I4" s="171"/>
      <c r="J4" s="171"/>
      <c r="K4" s="171"/>
      <c r="L4" s="171"/>
      <c r="M4" s="4"/>
      <c r="N4" s="4"/>
      <c r="O4" s="4"/>
      <c r="P4" s="4"/>
      <c r="Q4" s="4"/>
      <c r="R4" s="4"/>
      <c r="S4" s="172"/>
      <c r="T4" s="4"/>
    </row>
    <row r="5" spans="1:20" s="182" customFormat="1" ht="12.75">
      <c r="A5" s="605" t="s">
        <v>634</v>
      </c>
      <c r="B5" s="2090" t="s">
        <v>1168</v>
      </c>
      <c r="C5" s="814"/>
      <c r="D5" s="822" t="s">
        <v>1221</v>
      </c>
      <c r="E5" s="181"/>
      <c r="F5" s="181"/>
      <c r="G5" s="181"/>
      <c r="H5" s="605" t="s">
        <v>634</v>
      </c>
      <c r="I5" s="2090" t="s">
        <v>1168</v>
      </c>
      <c r="J5" s="814"/>
      <c r="K5" s="616" t="s">
        <v>636</v>
      </c>
      <c r="L5" s="1946" t="s">
        <v>752</v>
      </c>
      <c r="M5" s="1366"/>
      <c r="N5" s="219" t="s">
        <v>969</v>
      </c>
      <c r="O5" s="181"/>
      <c r="P5" s="181"/>
      <c r="Q5" s="181"/>
      <c r="S5" s="430"/>
      <c r="T5" s="181"/>
    </row>
    <row r="6" spans="1:20" s="182" customFormat="1" ht="12.75">
      <c r="A6" s="607" t="s">
        <v>637</v>
      </c>
      <c r="B6" s="794"/>
      <c r="C6" s="815"/>
      <c r="D6" s="821"/>
      <c r="E6" s="181"/>
      <c r="F6" s="181"/>
      <c r="G6" s="181"/>
      <c r="H6" s="607" t="s">
        <v>637</v>
      </c>
      <c r="I6" s="618"/>
      <c r="J6" s="815"/>
      <c r="K6" s="618" t="s">
        <v>1219</v>
      </c>
      <c r="L6" s="1049" t="s">
        <v>1219</v>
      </c>
      <c r="M6" s="1367"/>
      <c r="N6" s="181"/>
      <c r="O6" s="181"/>
      <c r="P6" s="181"/>
      <c r="Q6" s="181"/>
      <c r="S6" s="89"/>
      <c r="T6" s="181"/>
    </row>
    <row r="7" spans="1:20" ht="15">
      <c r="A7" s="816"/>
      <c r="B7" s="817"/>
      <c r="C7" s="818"/>
      <c r="D7" s="823"/>
      <c r="E7" s="4"/>
      <c r="F7" s="4"/>
      <c r="G7" s="4"/>
      <c r="H7" s="824"/>
      <c r="I7" s="600"/>
      <c r="J7" s="600"/>
      <c r="K7" s="600"/>
      <c r="L7" s="825"/>
      <c r="M7" s="1368"/>
      <c r="N7" s="4"/>
      <c r="O7" s="4"/>
      <c r="P7" s="4"/>
      <c r="Q7" s="4"/>
      <c r="S7" s="18"/>
      <c r="T7" s="4"/>
    </row>
    <row r="8" spans="1:20" ht="12.75">
      <c r="A8" s="783">
        <v>600</v>
      </c>
      <c r="B8" s="570">
        <v>801</v>
      </c>
      <c r="C8" s="571" t="s">
        <v>726</v>
      </c>
      <c r="D8" s="363">
        <v>487829</v>
      </c>
      <c r="E8" s="4"/>
      <c r="F8" s="4"/>
      <c r="G8" s="4"/>
      <c r="H8" s="780">
        <v>800</v>
      </c>
      <c r="I8" s="570">
        <v>841</v>
      </c>
      <c r="J8" s="571" t="s">
        <v>739</v>
      </c>
      <c r="K8" s="1724">
        <v>5084.5410000000002</v>
      </c>
      <c r="L8" s="1725">
        <v>1064.3430000000001</v>
      </c>
      <c r="M8" s="2006"/>
      <c r="N8" s="584">
        <v>801</v>
      </c>
      <c r="O8" s="1726">
        <v>8411</v>
      </c>
      <c r="P8" s="1614" t="s">
        <v>971</v>
      </c>
      <c r="Q8" s="1615">
        <v>3996.6129999999998</v>
      </c>
      <c r="R8" s="1697" t="str">
        <f>IF(Q8&gt;K8,"däravrad 801&gt;rad 800",IF(AND(K8&gt;1,Q8=""),"skriv belopp eller 0",""))</f>
        <v/>
      </c>
      <c r="S8" s="1364"/>
      <c r="T8" s="4"/>
    </row>
    <row r="9" spans="1:20" ht="12.75">
      <c r="A9" s="783">
        <v>620</v>
      </c>
      <c r="B9" s="673">
        <v>8052</v>
      </c>
      <c r="C9" s="564" t="str">
        <f>"Slutavräkning, prognos för "&amp;År&amp;""</f>
        <v>Slutavräkning, prognos för 2019</v>
      </c>
      <c r="D9" s="363">
        <v>-4406</v>
      </c>
      <c r="E9" s="4"/>
      <c r="F9" s="4"/>
      <c r="G9" s="4"/>
      <c r="H9" s="783">
        <v>810</v>
      </c>
      <c r="I9" s="819">
        <v>844</v>
      </c>
      <c r="J9" s="820" t="s">
        <v>740</v>
      </c>
      <c r="K9" s="23">
        <v>3746.165</v>
      </c>
      <c r="L9" s="101">
        <v>1351.6980000000001</v>
      </c>
      <c r="M9" s="2006"/>
      <c r="N9" s="4"/>
      <c r="O9" s="4"/>
      <c r="P9" s="4"/>
      <c r="Q9" s="4"/>
      <c r="S9" s="1364"/>
      <c r="T9" s="4"/>
    </row>
    <row r="10" spans="1:20" ht="12.75">
      <c r="A10" s="783">
        <v>625</v>
      </c>
      <c r="B10" s="673">
        <v>8051</v>
      </c>
      <c r="C10" s="564" t="str">
        <f>"Justering slutavräkning "&amp;År-1&amp;""</f>
        <v>Justering slutavräkning 2018</v>
      </c>
      <c r="D10" s="363">
        <v>240</v>
      </c>
      <c r="E10" s="4"/>
      <c r="F10" s="4"/>
      <c r="G10" s="4"/>
      <c r="H10" s="783">
        <v>880</v>
      </c>
      <c r="I10" s="570">
        <v>845</v>
      </c>
      <c r="J10" s="571" t="s">
        <v>741</v>
      </c>
      <c r="K10" s="23">
        <v>40.453000000000003</v>
      </c>
      <c r="L10" s="938"/>
      <c r="M10" s="2006"/>
      <c r="N10" s="4"/>
      <c r="O10" s="4"/>
      <c r="P10" s="4"/>
      <c r="Q10" s="4"/>
      <c r="S10" s="1364"/>
      <c r="T10" s="4"/>
    </row>
    <row r="11" spans="1:20" ht="12.75">
      <c r="A11" s="783">
        <v>630</v>
      </c>
      <c r="B11" s="673"/>
      <c r="C11" s="564" t="str">
        <f>"Justeringspost slutavräkning "&amp;År&amp;""</f>
        <v>Justeringspost slutavräkning 2019</v>
      </c>
      <c r="D11" s="227">
        <v>-16.991</v>
      </c>
      <c r="E11" s="179"/>
      <c r="F11" s="4"/>
      <c r="G11" s="4"/>
      <c r="H11" s="783">
        <v>885</v>
      </c>
      <c r="I11" s="570">
        <v>8481</v>
      </c>
      <c r="J11" s="571" t="s">
        <v>488</v>
      </c>
      <c r="K11" s="23">
        <v>11.224</v>
      </c>
      <c r="L11" s="938"/>
      <c r="M11" s="2006"/>
      <c r="N11" s="4"/>
      <c r="O11" s="4"/>
      <c r="P11" s="4"/>
      <c r="Q11" s="4"/>
      <c r="S11" s="1364"/>
      <c r="T11" s="4"/>
    </row>
    <row r="12" spans="1:20" ht="12.75">
      <c r="A12" s="783">
        <v>640</v>
      </c>
      <c r="B12" s="566" t="s">
        <v>985</v>
      </c>
      <c r="C12" s="559" t="s">
        <v>986</v>
      </c>
      <c r="D12" s="227">
        <v>8.5389999999999997</v>
      </c>
      <c r="E12" s="1390"/>
      <c r="F12" s="4"/>
      <c r="G12" s="4"/>
      <c r="H12" s="783">
        <v>886</v>
      </c>
      <c r="I12" s="570">
        <v>8482</v>
      </c>
      <c r="J12" s="571" t="s">
        <v>753</v>
      </c>
      <c r="K12" s="23">
        <v>32.33</v>
      </c>
      <c r="L12" s="938"/>
      <c r="M12" s="2006"/>
      <c r="N12" s="1338"/>
      <c r="O12" s="1338"/>
      <c r="P12" s="147"/>
      <c r="Q12" s="1711"/>
      <c r="S12" s="1364"/>
      <c r="T12" s="4"/>
    </row>
    <row r="13" spans="1:20" ht="13.5" thickBot="1">
      <c r="A13" s="784">
        <v>680</v>
      </c>
      <c r="B13" s="1362"/>
      <c r="C13" s="1363" t="s">
        <v>976</v>
      </c>
      <c r="D13" s="360">
        <v>193</v>
      </c>
      <c r="E13" s="35"/>
      <c r="F13" s="4"/>
      <c r="G13" s="4"/>
      <c r="H13" s="783">
        <v>884</v>
      </c>
      <c r="I13" s="566">
        <v>843</v>
      </c>
      <c r="J13" s="559" t="s">
        <v>1177</v>
      </c>
      <c r="K13" s="23">
        <v>522.32399999999996</v>
      </c>
      <c r="L13" s="101">
        <v>1172.529</v>
      </c>
      <c r="M13" s="2006"/>
      <c r="N13" s="1338"/>
      <c r="O13" s="1338"/>
      <c r="P13" s="147"/>
      <c r="Q13" s="1711"/>
      <c r="S13" s="1364"/>
      <c r="T13" s="4"/>
    </row>
    <row r="14" spans="1:20" ht="21.75" customHeight="1" thickBot="1">
      <c r="A14" s="567">
        <v>690</v>
      </c>
      <c r="B14" s="572"/>
      <c r="C14" s="573" t="s">
        <v>639</v>
      </c>
      <c r="D14" s="360">
        <f>SUM(D8:D13)</f>
        <v>483847.54800000001</v>
      </c>
      <c r="E14" s="4"/>
      <c r="F14" s="4"/>
      <c r="G14" s="4"/>
      <c r="H14" s="556">
        <v>882</v>
      </c>
      <c r="I14" s="1428">
        <v>846</v>
      </c>
      <c r="J14" s="559" t="s">
        <v>1178</v>
      </c>
      <c r="K14" s="23">
        <v>4139.6760000000004</v>
      </c>
      <c r="L14" s="938"/>
      <c r="M14" s="2006"/>
      <c r="N14" s="1338"/>
      <c r="O14" s="1338"/>
      <c r="P14" s="147"/>
      <c r="Q14" s="1711"/>
      <c r="R14" s="1390"/>
      <c r="S14" s="1347"/>
      <c r="T14" s="4"/>
    </row>
    <row r="15" spans="1:20" ht="13.5" thickBot="1">
      <c r="A15" s="4"/>
      <c r="B15" s="4"/>
      <c r="C15" s="185"/>
      <c r="D15" s="4"/>
      <c r="E15" s="4"/>
      <c r="F15" s="4"/>
      <c r="G15" s="4"/>
      <c r="H15" s="567">
        <v>888</v>
      </c>
      <c r="I15" s="2120">
        <v>849</v>
      </c>
      <c r="J15" s="579" t="s">
        <v>1171</v>
      </c>
      <c r="K15" s="108">
        <v>2348.1550000000002</v>
      </c>
      <c r="L15" s="2098"/>
      <c r="M15" s="2006"/>
      <c r="N15" s="1528">
        <v>889</v>
      </c>
      <c r="O15" s="1528">
        <v>8491</v>
      </c>
      <c r="P15" s="2075" t="s">
        <v>1131</v>
      </c>
      <c r="Q15" s="1503">
        <v>966.53</v>
      </c>
      <c r="R15" s="1390" t="str">
        <f>IF(SUM(Q15+Q16)&gt;K15,"däravrader 889+891&gt;rad888",IF(AND(K15&gt;1,Q15=""),"skriv belopp eller 0",""))</f>
        <v/>
      </c>
      <c r="S15" s="1338"/>
      <c r="T15" s="4"/>
    </row>
    <row r="16" spans="1:20" ht="16.5" thickBot="1">
      <c r="A16" s="74" t="s">
        <v>761</v>
      </c>
      <c r="B16" s="4"/>
      <c r="C16" s="4"/>
      <c r="D16" s="4"/>
      <c r="E16" s="4"/>
      <c r="F16" s="4"/>
      <c r="G16" s="4"/>
      <c r="H16" s="553">
        <v>890</v>
      </c>
      <c r="I16" s="568"/>
      <c r="J16" s="542" t="s">
        <v>10</v>
      </c>
      <c r="K16" s="1723">
        <f>RR!C14</f>
        <v>15924.868</v>
      </c>
      <c r="L16" s="1727"/>
      <c r="M16" s="1689"/>
      <c r="N16" s="1529">
        <v>891</v>
      </c>
      <c r="O16" s="1529"/>
      <c r="P16" s="1358" t="s">
        <v>945</v>
      </c>
      <c r="Q16" s="1504">
        <v>0</v>
      </c>
      <c r="R16" s="1390" t="str">
        <f>IF(AND(K15&gt;1,Q16=""),"skriv belopp eller 0","")</f>
        <v/>
      </c>
      <c r="T16" s="4"/>
    </row>
    <row r="17" spans="1:20" ht="16.5" thickBot="1">
      <c r="A17" s="74" t="s">
        <v>762</v>
      </c>
      <c r="B17" s="4"/>
      <c r="C17" s="4"/>
      <c r="D17" s="35"/>
      <c r="E17" s="4"/>
      <c r="F17" s="4"/>
      <c r="G17" s="4"/>
      <c r="H17" s="8"/>
      <c r="I17" s="1369" t="s">
        <v>1099</v>
      </c>
      <c r="J17" s="126"/>
      <c r="K17" s="1369">
        <f>(K16-SUM(K8:K15))*-1</f>
        <v>0</v>
      </c>
      <c r="L17" s="1728"/>
      <c r="M17" s="1258"/>
      <c r="N17" s="4"/>
      <c r="O17" s="4"/>
      <c r="P17" s="4"/>
      <c r="Q17" s="4"/>
      <c r="R17" s="4"/>
      <c r="T17" s="4"/>
    </row>
    <row r="18" spans="1:20" ht="16.5" thickBot="1">
      <c r="A18" s="605" t="s">
        <v>634</v>
      </c>
      <c r="B18" s="2090" t="s">
        <v>1168</v>
      </c>
      <c r="C18" s="814"/>
      <c r="D18" s="822" t="s">
        <v>1221</v>
      </c>
      <c r="E18" s="4"/>
      <c r="F18" s="4"/>
      <c r="G18" s="4"/>
      <c r="H18" s="74" t="s">
        <v>641</v>
      </c>
      <c r="I18" s="172"/>
      <c r="J18" s="172"/>
      <c r="K18" s="172"/>
      <c r="L18" s="172"/>
      <c r="N18" s="2451"/>
      <c r="O18" s="2451"/>
      <c r="P18" s="2451"/>
      <c r="Q18" s="2452"/>
      <c r="R18" s="4"/>
      <c r="T18" s="4"/>
    </row>
    <row r="19" spans="1:20" ht="12.75">
      <c r="A19" s="607" t="s">
        <v>637</v>
      </c>
      <c r="B19" s="794"/>
      <c r="C19" s="615"/>
      <c r="D19" s="826"/>
      <c r="E19" s="4"/>
      <c r="F19" s="4"/>
      <c r="G19" s="4"/>
      <c r="H19" s="605" t="s">
        <v>634</v>
      </c>
      <c r="I19" s="2090" t="s">
        <v>1168</v>
      </c>
      <c r="J19" s="814"/>
      <c r="K19" s="1731" t="s">
        <v>636</v>
      </c>
      <c r="L19" s="1944" t="s">
        <v>752</v>
      </c>
      <c r="M19" s="1338"/>
      <c r="N19" s="2453"/>
      <c r="O19" s="2453"/>
      <c r="P19" s="2453"/>
      <c r="Q19" s="2452"/>
      <c r="S19" s="430"/>
      <c r="T19" s="4"/>
    </row>
    <row r="20" spans="1:20" s="182" customFormat="1" ht="15">
      <c r="A20" s="827"/>
      <c r="B20" s="797"/>
      <c r="C20" s="600"/>
      <c r="D20" s="828"/>
      <c r="E20" s="181"/>
      <c r="F20" s="181"/>
      <c r="G20" s="181"/>
      <c r="H20" s="607" t="s">
        <v>637</v>
      </c>
      <c r="I20" s="829"/>
      <c r="J20" s="815"/>
      <c r="K20" s="1732" t="s">
        <v>1219</v>
      </c>
      <c r="L20" s="1945" t="s">
        <v>1219</v>
      </c>
      <c r="M20" s="89"/>
      <c r="Q20" s="208"/>
      <c r="S20" s="89"/>
      <c r="T20" s="181"/>
    </row>
    <row r="21" spans="1:20" s="182" customFormat="1" ht="14.25" customHeight="1">
      <c r="A21" s="556">
        <v>711</v>
      </c>
      <c r="B21" s="673">
        <v>821</v>
      </c>
      <c r="C21" s="564" t="s">
        <v>732</v>
      </c>
      <c r="D21" s="363">
        <v>78337</v>
      </c>
      <c r="E21" s="181"/>
      <c r="F21" s="2025"/>
      <c r="G21" s="2026"/>
      <c r="H21" s="830"/>
      <c r="I21" s="831"/>
      <c r="J21" s="818"/>
      <c r="K21" s="1729"/>
      <c r="L21" s="832"/>
      <c r="M21" s="18"/>
      <c r="N21" s="185"/>
      <c r="O21" s="185"/>
      <c r="P21" s="185"/>
      <c r="Q21" s="172"/>
      <c r="S21" s="18"/>
      <c r="T21" s="181"/>
    </row>
    <row r="22" spans="1:20" ht="14.25" customHeight="1">
      <c r="A22" s="556">
        <v>713</v>
      </c>
      <c r="B22" s="673">
        <v>822</v>
      </c>
      <c r="C22" s="564" t="s">
        <v>733</v>
      </c>
      <c r="D22" s="363">
        <v>1137</v>
      </c>
      <c r="E22" s="4"/>
      <c r="F22" s="2027"/>
      <c r="G22" s="2026"/>
      <c r="H22" s="556">
        <v>900</v>
      </c>
      <c r="I22" s="570">
        <v>852</v>
      </c>
      <c r="J22" s="559" t="s">
        <v>798</v>
      </c>
      <c r="K22" s="454">
        <v>3361.3719999999998</v>
      </c>
      <c r="L22" s="100">
        <v>7322.701</v>
      </c>
      <c r="M22" s="2006"/>
      <c r="N22" s="1338"/>
      <c r="O22" s="147"/>
      <c r="P22" s="259"/>
      <c r="Q22" s="126"/>
      <c r="S22" s="1364"/>
      <c r="T22" s="4"/>
    </row>
    <row r="23" spans="1:20" ht="14.25" customHeight="1">
      <c r="A23" s="556">
        <v>715</v>
      </c>
      <c r="B23" s="673">
        <v>823</v>
      </c>
      <c r="C23" s="564" t="s">
        <v>734</v>
      </c>
      <c r="D23" s="363">
        <v>0</v>
      </c>
      <c r="E23" s="202"/>
      <c r="F23" s="2027"/>
      <c r="G23" s="2026"/>
      <c r="H23" s="556">
        <v>910</v>
      </c>
      <c r="I23" s="566">
        <v>853</v>
      </c>
      <c r="J23" s="559" t="s">
        <v>1172</v>
      </c>
      <c r="K23" s="454">
        <v>1177.547</v>
      </c>
      <c r="L23" s="101">
        <v>1086.597</v>
      </c>
      <c r="M23" s="2006"/>
      <c r="N23" s="4"/>
      <c r="O23" s="4"/>
      <c r="P23" s="4"/>
      <c r="Q23" s="172"/>
      <c r="S23" s="1347"/>
      <c r="T23" s="4"/>
    </row>
    <row r="24" spans="1:20" ht="14.25" customHeight="1">
      <c r="A24" s="556">
        <v>717</v>
      </c>
      <c r="B24" s="673">
        <v>824</v>
      </c>
      <c r="C24" s="564" t="s">
        <v>735</v>
      </c>
      <c r="D24" s="363">
        <v>7173</v>
      </c>
      <c r="E24" s="202"/>
      <c r="F24" s="2027"/>
      <c r="G24" s="2026"/>
      <c r="H24" s="556">
        <v>920</v>
      </c>
      <c r="I24" s="819" t="s">
        <v>742</v>
      </c>
      <c r="J24" s="564" t="s">
        <v>1174</v>
      </c>
      <c r="K24" s="454">
        <v>178.27500000000001</v>
      </c>
      <c r="L24" s="938"/>
      <c r="M24" s="2006"/>
      <c r="N24" s="4"/>
      <c r="O24" s="4"/>
      <c r="P24" s="4"/>
      <c r="Q24" s="172"/>
      <c r="S24" s="1364"/>
      <c r="T24" s="4"/>
    </row>
    <row r="25" spans="1:20" ht="21" customHeight="1">
      <c r="A25" s="556">
        <v>719</v>
      </c>
      <c r="B25" s="673">
        <v>825</v>
      </c>
      <c r="C25" s="564" t="s">
        <v>736</v>
      </c>
      <c r="D25" s="363">
        <v>8069</v>
      </c>
      <c r="E25" s="202"/>
      <c r="F25" s="2454" t="s">
        <v>1210</v>
      </c>
      <c r="G25" s="2455"/>
      <c r="H25" s="556">
        <v>985</v>
      </c>
      <c r="I25" s="566">
        <v>8581</v>
      </c>
      <c r="J25" s="559" t="s">
        <v>763</v>
      </c>
      <c r="K25" s="454">
        <v>2.4430000000000001</v>
      </c>
      <c r="L25" s="938"/>
      <c r="M25" s="2006"/>
      <c r="N25" s="1338"/>
      <c r="O25" s="1338"/>
      <c r="P25" s="147"/>
      <c r="Q25" s="254"/>
      <c r="S25" s="1347"/>
      <c r="T25" s="4"/>
    </row>
    <row r="26" spans="1:20" ht="22.5" customHeight="1">
      <c r="A26" s="556">
        <v>785</v>
      </c>
      <c r="B26" s="673">
        <v>826</v>
      </c>
      <c r="C26" s="564" t="s">
        <v>737</v>
      </c>
      <c r="D26" s="363">
        <v>4506</v>
      </c>
      <c r="E26" s="2020"/>
      <c r="F26" s="2456"/>
      <c r="G26" s="2455"/>
      <c r="H26" s="556">
        <v>996</v>
      </c>
      <c r="I26" s="566">
        <v>8582</v>
      </c>
      <c r="J26" s="559" t="s">
        <v>764</v>
      </c>
      <c r="K26" s="454">
        <v>2.44</v>
      </c>
      <c r="L26" s="938"/>
      <c r="M26" s="2006"/>
      <c r="N26" s="1338"/>
      <c r="O26" s="1338"/>
      <c r="P26" s="147"/>
      <c r="Q26" s="254"/>
      <c r="S26" s="1347"/>
      <c r="T26" s="172"/>
    </row>
    <row r="27" spans="1:20" ht="15.75" customHeight="1">
      <c r="A27" s="556">
        <v>740</v>
      </c>
      <c r="B27" s="566">
        <v>829</v>
      </c>
      <c r="C27" s="564" t="s">
        <v>828</v>
      </c>
      <c r="D27" s="227">
        <v>4291.3950000000004</v>
      </c>
      <c r="E27" s="2034"/>
      <c r="F27" s="2457"/>
      <c r="G27" s="2458"/>
      <c r="H27" s="556">
        <v>984</v>
      </c>
      <c r="I27" s="566">
        <v>851</v>
      </c>
      <c r="J27" s="559" t="s">
        <v>1175</v>
      </c>
      <c r="K27" s="454">
        <v>182.136</v>
      </c>
      <c r="L27" s="101">
        <v>79.742000000000004</v>
      </c>
      <c r="M27" s="2006"/>
      <c r="N27" s="1338"/>
      <c r="O27" s="1338"/>
      <c r="P27" s="147"/>
      <c r="Q27" s="254"/>
      <c r="S27" s="1347"/>
      <c r="T27" s="172"/>
    </row>
    <row r="28" spans="1:20" ht="20.25" customHeight="1" thickBot="1">
      <c r="A28" s="567">
        <v>750</v>
      </c>
      <c r="B28" s="568">
        <v>82</v>
      </c>
      <c r="C28" s="1359" t="s">
        <v>738</v>
      </c>
      <c r="D28" s="360">
        <f>SUM(D21:D27)</f>
        <v>103513.395</v>
      </c>
      <c r="E28" s="2005"/>
      <c r="F28" s="1986" t="s">
        <v>814</v>
      </c>
      <c r="G28" s="1985" t="s">
        <v>1170</v>
      </c>
      <c r="H28" s="556">
        <v>992</v>
      </c>
      <c r="I28" s="2047">
        <v>856</v>
      </c>
      <c r="J28" s="559" t="s">
        <v>1176</v>
      </c>
      <c r="K28" s="454">
        <v>581.33000000000004</v>
      </c>
      <c r="L28" s="938"/>
      <c r="M28" s="2006"/>
      <c r="N28" s="1338"/>
      <c r="O28" s="1338"/>
      <c r="P28" s="147"/>
      <c r="Q28" s="254"/>
      <c r="S28" s="1365"/>
      <c r="T28" s="172"/>
    </row>
    <row r="29" spans="1:20" ht="18" customHeight="1" thickBot="1">
      <c r="A29" s="4"/>
      <c r="B29" s="4"/>
      <c r="C29" s="4"/>
      <c r="D29" s="4"/>
      <c r="E29" s="2035"/>
      <c r="F29" s="582">
        <v>742</v>
      </c>
      <c r="G29" s="1990">
        <v>45.15</v>
      </c>
      <c r="H29" s="567">
        <v>998</v>
      </c>
      <c r="I29" s="1362">
        <v>859</v>
      </c>
      <c r="J29" s="1363" t="s">
        <v>1173</v>
      </c>
      <c r="K29" s="1730">
        <v>647.01900000000001</v>
      </c>
      <c r="L29" s="2160"/>
      <c r="M29" s="2006"/>
      <c r="N29" s="172"/>
      <c r="O29" s="172"/>
      <c r="P29" s="172"/>
      <c r="Q29" s="172"/>
      <c r="S29" s="1338"/>
      <c r="T29" s="172"/>
    </row>
    <row r="30" spans="1:20" ht="19.5" customHeight="1" thickBot="1">
      <c r="A30" s="4"/>
      <c r="B30" s="4"/>
      <c r="C30" s="4"/>
      <c r="D30" s="4"/>
      <c r="E30" s="2036"/>
      <c r="F30" s="2209"/>
      <c r="G30" s="2209"/>
      <c r="H30" s="567">
        <v>990</v>
      </c>
      <c r="I30" s="572"/>
      <c r="J30" s="573" t="s">
        <v>11</v>
      </c>
      <c r="K30" s="1493">
        <f>RR!C15</f>
        <v>6132.5619999999999</v>
      </c>
      <c r="L30" s="19"/>
      <c r="N30" s="4"/>
      <c r="O30" s="4"/>
      <c r="P30" s="4"/>
      <c r="Q30" s="4"/>
      <c r="R30" s="172"/>
      <c r="T30" s="172"/>
    </row>
    <row r="31" spans="1:20" ht="16.5" customHeight="1" thickBot="1">
      <c r="A31" s="74" t="s">
        <v>961</v>
      </c>
      <c r="B31" s="4"/>
      <c r="C31" s="4"/>
      <c r="D31" s="35"/>
      <c r="E31" s="202"/>
      <c r="F31" s="2209"/>
      <c r="G31" s="2209"/>
      <c r="H31" s="4"/>
      <c r="I31" s="1370" t="s">
        <v>850</v>
      </c>
      <c r="J31" s="179"/>
      <c r="K31" s="1707">
        <f>(K30-SUM(K22:K29))*-1</f>
        <v>0</v>
      </c>
      <c r="L31" s="1276"/>
      <c r="M31" s="1276"/>
      <c r="N31" s="4"/>
      <c r="O31" s="4"/>
      <c r="P31" s="4"/>
      <c r="Q31" s="4"/>
      <c r="R31" s="4"/>
      <c r="T31" s="4"/>
    </row>
    <row r="32" spans="1:20" ht="12.75">
      <c r="A32" s="605" t="s">
        <v>634</v>
      </c>
      <c r="B32" s="2090" t="s">
        <v>1168</v>
      </c>
      <c r="C32" s="814"/>
      <c r="D32" s="822" t="s">
        <v>1221</v>
      </c>
      <c r="E32" s="202"/>
      <c r="F32" s="2209"/>
      <c r="G32" s="2209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2.75">
      <c r="A33" s="607" t="s">
        <v>637</v>
      </c>
      <c r="B33" s="794"/>
      <c r="C33" s="615"/>
      <c r="D33" s="826"/>
      <c r="E33" s="4"/>
      <c r="F33" s="2209"/>
      <c r="G33" s="2209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5">
      <c r="A34" s="827"/>
      <c r="B34" s="797"/>
      <c r="C34" s="600"/>
      <c r="D34" s="828"/>
      <c r="E34" s="4"/>
      <c r="F34" s="2209"/>
      <c r="G34" s="2209"/>
      <c r="H34" s="2209"/>
      <c r="I34" s="2209"/>
      <c r="J34" s="2209"/>
      <c r="K34" s="2209"/>
      <c r="L34" s="4"/>
      <c r="M34" s="4"/>
      <c r="R34" s="4"/>
      <c r="S34" s="4"/>
      <c r="T34" s="4"/>
    </row>
    <row r="35" spans="1:20" ht="12.75">
      <c r="A35" s="783">
        <v>760</v>
      </c>
      <c r="B35" s="570">
        <v>831</v>
      </c>
      <c r="C35" s="571" t="s">
        <v>727</v>
      </c>
      <c r="D35" s="363">
        <v>7580</v>
      </c>
      <c r="E35" s="4"/>
      <c r="F35" s="4"/>
      <c r="G35" s="4"/>
      <c r="H35" s="2209"/>
      <c r="I35" s="2209"/>
      <c r="J35" s="2209"/>
      <c r="K35" s="2209"/>
      <c r="L35" s="2097"/>
    </row>
    <row r="36" spans="1:20" ht="12.75">
      <c r="A36" s="783">
        <v>770</v>
      </c>
      <c r="B36" s="570">
        <v>834</v>
      </c>
      <c r="C36" s="571" t="s">
        <v>728</v>
      </c>
      <c r="D36" s="363">
        <v>11</v>
      </c>
      <c r="E36" s="4"/>
      <c r="F36" s="4"/>
      <c r="G36" s="4"/>
      <c r="H36" s="2209"/>
      <c r="I36" s="2209"/>
      <c r="J36" s="2209"/>
      <c r="K36" s="2209"/>
      <c r="L36" s="2097"/>
      <c r="N36" s="4"/>
      <c r="O36" s="4"/>
      <c r="P36" s="4"/>
      <c r="Q36" s="4"/>
    </row>
    <row r="37" spans="1:20" ht="12.75">
      <c r="A37" s="783">
        <v>780</v>
      </c>
      <c r="B37" s="570">
        <v>835</v>
      </c>
      <c r="C37" s="571" t="s">
        <v>729</v>
      </c>
      <c r="D37" s="364">
        <v>8056</v>
      </c>
      <c r="E37" s="4"/>
      <c r="F37" s="4"/>
      <c r="G37" s="4"/>
      <c r="H37" s="2209"/>
      <c r="I37" s="2209"/>
      <c r="J37" s="2209"/>
      <c r="K37" s="2209"/>
      <c r="L37" s="2097"/>
      <c r="M37" s="4"/>
      <c r="N37" s="4"/>
      <c r="O37" s="4"/>
      <c r="P37" s="4"/>
      <c r="Q37" s="4"/>
      <c r="R37" s="4"/>
      <c r="S37" s="4"/>
      <c r="T37" s="4"/>
    </row>
    <row r="38" spans="1:20" ht="12.75">
      <c r="A38" s="783">
        <v>786</v>
      </c>
      <c r="B38" s="570">
        <v>836</v>
      </c>
      <c r="C38" s="571" t="s">
        <v>730</v>
      </c>
      <c r="D38" s="364">
        <v>4506</v>
      </c>
      <c r="E38" s="4"/>
      <c r="F38" s="4"/>
      <c r="G38" s="4"/>
      <c r="H38" s="2209"/>
      <c r="I38" s="2209"/>
      <c r="J38" s="2209"/>
      <c r="K38" s="2209"/>
      <c r="L38" s="2097"/>
      <c r="M38" s="4"/>
      <c r="N38" s="4"/>
      <c r="O38" s="4"/>
      <c r="P38" s="4"/>
      <c r="Q38" s="4"/>
      <c r="R38" s="4"/>
      <c r="S38" s="4"/>
      <c r="T38" s="4"/>
    </row>
    <row r="39" spans="1:20" ht="13.5" thickBot="1">
      <c r="A39" s="784">
        <v>790</v>
      </c>
      <c r="B39" s="833"/>
      <c r="C39" s="1360" t="s">
        <v>731</v>
      </c>
      <c r="D39" s="361">
        <f>SUM(D35:D38)</f>
        <v>20153</v>
      </c>
      <c r="E39" s="3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3.5" thickBot="1">
      <c r="A40" s="233"/>
      <c r="B40" s="17"/>
      <c r="C40" s="18"/>
      <c r="D40" s="19"/>
      <c r="E40" s="3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3.5" thickBot="1">
      <c r="A41" s="791">
        <v>765</v>
      </c>
      <c r="B41" s="834">
        <v>828</v>
      </c>
      <c r="C41" s="1361" t="s">
        <v>796</v>
      </c>
      <c r="D41" s="234">
        <v>18415.355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2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2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2.75" hidden="1">
      <c r="A44" s="4"/>
      <c r="B44" s="4"/>
      <c r="C44" s="4"/>
      <c r="D44" s="4"/>
      <c r="E44" s="4"/>
      <c r="H44" s="4"/>
      <c r="I44" s="4"/>
      <c r="J44" s="4"/>
      <c r="K44" s="4"/>
      <c r="L44" s="4"/>
      <c r="M44" s="4"/>
      <c r="R44" s="4"/>
      <c r="S44" s="4"/>
      <c r="T44" s="4"/>
    </row>
    <row r="45" spans="1:20" ht="12.75" hidden="1" customHeight="1"/>
    <row r="46" spans="1:20" ht="0" hidden="1" customHeight="1"/>
  </sheetData>
  <sheetProtection algorithmName="SHA-512" hashValue="stO3ZGQNoaFnuE9ek2p8obNs4KubGxQ4iCMi5p0X0a7jGdzWbZWItVKhsQm8xu+WOYOiwFJr8pb76aXSEEIFxQ==" saltValue="w5TX5WIPKZIxT1BJapYmiA==" spinCount="100000" sheet="1" objects="1" scenarios="1"/>
  <mergeCells count="2">
    <mergeCell ref="N18:Q19"/>
    <mergeCell ref="F25:G27"/>
  </mergeCells>
  <conditionalFormatting sqref="D27 D41 K22:L28 K8:L15">
    <cfRule type="cellIs" dxfId="123" priority="18" stopIfTrue="1" operator="lessThan">
      <formula>-500</formula>
    </cfRule>
  </conditionalFormatting>
  <conditionalFormatting sqref="K29:L29">
    <cfRule type="cellIs" dxfId="122" priority="16" stopIfTrue="1" operator="lessThan">
      <formula>-500</formula>
    </cfRule>
  </conditionalFormatting>
  <conditionalFormatting sqref="I17">
    <cfRule type="expression" dxfId="121" priority="15" stopIfTrue="1">
      <formula>ABS(K17)&gt;100</formula>
    </cfRule>
  </conditionalFormatting>
  <conditionalFormatting sqref="K17:L17">
    <cfRule type="expression" dxfId="120" priority="14" stopIfTrue="1">
      <formula>ABS(K17)&gt;100</formula>
    </cfRule>
  </conditionalFormatting>
  <conditionalFormatting sqref="I31">
    <cfRule type="expression" dxfId="119" priority="13" stopIfTrue="1">
      <formula>ABS(K31)&gt;100</formula>
    </cfRule>
  </conditionalFormatting>
  <conditionalFormatting sqref="K31:L31">
    <cfRule type="expression" dxfId="118" priority="12" stopIfTrue="1">
      <formula>ABS(K31)&gt;100</formula>
    </cfRule>
  </conditionalFormatting>
  <conditionalFormatting sqref="Q8 Q15">
    <cfRule type="cellIs" dxfId="117" priority="11" stopIfTrue="1" operator="lessThan">
      <formula>-500</formula>
    </cfRule>
  </conditionalFormatting>
  <conditionalFormatting sqref="G29">
    <cfRule type="cellIs" dxfId="116" priority="10" stopIfTrue="1" operator="lessThan">
      <formula>0</formula>
    </cfRule>
  </conditionalFormatting>
  <conditionalFormatting sqref="F21">
    <cfRule type="expression" dxfId="115" priority="19">
      <formula>G27&gt;0</formula>
    </cfRule>
  </conditionalFormatting>
  <conditionalFormatting sqref="F25:G27">
    <cfRule type="expression" dxfId="114" priority="9">
      <formula>SUM(D27-G29)&lt;100</formula>
    </cfRule>
  </conditionalFormatting>
  <conditionalFormatting sqref="Q14">
    <cfRule type="cellIs" dxfId="113" priority="8" stopIfTrue="1" operator="lessThan">
      <formula>-500</formula>
    </cfRule>
  </conditionalFormatting>
  <conditionalFormatting sqref="Q16">
    <cfRule type="cellIs" dxfId="112" priority="7" stopIfTrue="1" operator="lessThan">
      <formula>-500</formula>
    </cfRule>
  </conditionalFormatting>
  <conditionalFormatting sqref="Q27">
    <cfRule type="cellIs" dxfId="111" priority="6" stopIfTrue="1" operator="lessThan">
      <formula>-500</formula>
    </cfRule>
  </conditionalFormatting>
  <conditionalFormatting sqref="Q26">
    <cfRule type="cellIs" dxfId="110" priority="5" stopIfTrue="1" operator="lessThan">
      <formula>-500</formula>
    </cfRule>
  </conditionalFormatting>
  <conditionalFormatting sqref="Q28">
    <cfRule type="cellIs" dxfId="109" priority="4" stopIfTrue="1" operator="lessThan">
      <formula>-500</formula>
    </cfRule>
  </conditionalFormatting>
  <conditionalFormatting sqref="Q13">
    <cfRule type="cellIs" dxfId="108" priority="3" stopIfTrue="1" operator="lessThan">
      <formula>-500</formula>
    </cfRule>
  </conditionalFormatting>
  <conditionalFormatting sqref="Q12">
    <cfRule type="cellIs" dxfId="107" priority="2" stopIfTrue="1" operator="lessThan">
      <formula>-500</formula>
    </cfRule>
  </conditionalFormatting>
  <conditionalFormatting sqref="Q25">
    <cfRule type="cellIs" dxfId="106" priority="1" stopIfTrue="1" operator="lessThan">
      <formula>-500</formula>
    </cfRule>
  </conditionalFormatting>
  <dataValidations count="1">
    <dataValidation type="decimal" operator="lessThan" allowBlank="1" showInputMessage="1" showErrorMessage="1" error="Beloppet ska vara i 1000 tal kronor" sqref="K22:L29 D27 D11:D12 D41 G29 Q8 K8:L15 Q25:Q28 Q12:Q16">
      <formula1>99999999</formula1>
    </dataValidation>
  </dataValidations>
  <pageMargins left="0.70866141732283472" right="0.70866141732283472" top="0.74803149606299213" bottom="0.15748031496062992" header="0.31496062992125984" footer="0.31496062992125984"/>
  <pageSetup paperSize="9" scale="80" orientation="landscape" r:id="rId1"/>
  <headerFooter>
    <oddHeader>&amp;L&amp;8Statistiska Centralbyrån
Offentlig ekonomi&amp;R&amp;P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tabColor rgb="FFFFFF00"/>
    <pageSetUpPr fitToPage="1"/>
  </sheetPr>
  <dimension ref="A1:M122"/>
  <sheetViews>
    <sheetView showGridLines="0" zoomScaleNormal="100" workbookViewId="0">
      <pane ySplit="1" topLeftCell="A2" activePane="bottomLeft" state="frozen"/>
      <selection activeCell="F36" sqref="F36"/>
      <selection pane="bottomLeft"/>
    </sheetView>
  </sheetViews>
  <sheetFormatPr defaultColWidth="0" defaultRowHeight="12.75" zeroHeight="1"/>
  <cols>
    <col min="1" max="1" width="4" style="144" customWidth="1"/>
    <col min="2" max="2" width="33.7109375" style="144" customWidth="1"/>
    <col min="3" max="3" width="10.7109375" style="144" customWidth="1"/>
    <col min="4" max="4" width="11.42578125" style="144" customWidth="1"/>
    <col min="5" max="5" width="8.42578125" style="144" customWidth="1"/>
    <col min="6" max="6" width="9" style="144" customWidth="1"/>
    <col min="7" max="7" width="10" style="144" customWidth="1"/>
    <col min="8" max="8" width="10.28515625" style="144" customWidth="1"/>
    <col min="9" max="9" width="34" style="147" customWidth="1"/>
    <col min="10" max="10" width="39.5703125" style="144" customWidth="1"/>
    <col min="11" max="11" width="2.85546875" style="144" customWidth="1"/>
    <col min="12" max="12" width="4.140625" style="170" customWidth="1"/>
    <col min="13" max="13" width="3" style="170" customWidth="1"/>
    <col min="14" max="16384" width="9.140625" style="170" hidden="1"/>
  </cols>
  <sheetData>
    <row r="1" spans="1:13" s="235" customFormat="1" ht="20.25">
      <c r="A1" s="77" t="str">
        <f>"Investeringsredovisning "&amp;År&amp;", miljoner kr"</f>
        <v>Investeringsredovisning 2019, miljoner kr</v>
      </c>
      <c r="B1" s="94"/>
      <c r="C1" s="94"/>
      <c r="D1" s="94"/>
      <c r="E1" s="95"/>
      <c r="F1" s="95"/>
      <c r="G1" s="516" t="s">
        <v>466</v>
      </c>
      <c r="H1" s="517" t="str">
        <f>'Kn Information'!A2</f>
        <v>RIKSTOTAL</v>
      </c>
      <c r="I1" s="159"/>
      <c r="J1" s="96">
        <v>1</v>
      </c>
      <c r="K1" s="96"/>
      <c r="L1" s="96"/>
      <c r="M1" s="96"/>
    </row>
    <row r="2" spans="1:13" s="235" customFormat="1" ht="12.75" customHeight="1">
      <c r="A2" s="2209"/>
      <c r="B2" s="2209"/>
      <c r="C2" s="2209"/>
      <c r="D2" s="2209"/>
      <c r="E2" s="2209"/>
      <c r="F2" s="2209"/>
      <c r="G2" s="2209"/>
      <c r="H2" s="2209"/>
      <c r="I2" s="2209"/>
      <c r="J2" s="2209"/>
      <c r="K2" s="2209"/>
      <c r="L2" s="2209"/>
      <c r="M2" s="2209"/>
    </row>
    <row r="3" spans="1:13" s="235" customFormat="1" ht="12.75" customHeight="1" thickBot="1">
      <c r="A3" s="2209"/>
      <c r="B3" s="2209"/>
      <c r="C3" s="2209"/>
      <c r="D3" s="2209"/>
      <c r="E3" s="2209"/>
      <c r="F3" s="2209"/>
      <c r="G3" s="2209"/>
      <c r="H3" s="2209"/>
      <c r="I3" s="2209"/>
      <c r="J3" s="2209"/>
      <c r="K3" s="2209"/>
      <c r="L3" s="2209"/>
      <c r="M3" s="2209"/>
    </row>
    <row r="4" spans="1:13" s="235" customFormat="1" ht="43.5" customHeight="1">
      <c r="A4" s="835" t="s">
        <v>484</v>
      </c>
      <c r="B4" s="836"/>
      <c r="C4" s="2459" t="s">
        <v>1026</v>
      </c>
      <c r="D4" s="2459" t="s">
        <v>1027</v>
      </c>
      <c r="E4" s="2459" t="s">
        <v>1028</v>
      </c>
      <c r="F4" s="1737" t="s">
        <v>1029</v>
      </c>
      <c r="G4" s="1947" t="s">
        <v>1030</v>
      </c>
      <c r="H4" s="1948" t="s">
        <v>1031</v>
      </c>
      <c r="I4" s="68"/>
      <c r="J4" s="43"/>
      <c r="K4" s="236"/>
      <c r="L4" s="236"/>
    </row>
    <row r="5" spans="1:13" s="235" customFormat="1" ht="39.75" customHeight="1">
      <c r="A5" s="837"/>
      <c r="B5" s="838"/>
      <c r="C5" s="2460"/>
      <c r="D5" s="2460"/>
      <c r="E5" s="2460"/>
      <c r="F5" s="1738" t="s">
        <v>799</v>
      </c>
      <c r="G5" s="1739"/>
      <c r="H5" s="1736"/>
      <c r="I5" s="88"/>
      <c r="J5" s="1344"/>
      <c r="K5" s="236"/>
      <c r="L5" s="236"/>
    </row>
    <row r="6" spans="1:13" s="238" customFormat="1" ht="19.5" customHeight="1">
      <c r="A6" s="586" t="s">
        <v>489</v>
      </c>
      <c r="B6" s="587" t="s">
        <v>376</v>
      </c>
      <c r="C6" s="353">
        <v>500031.33500000002</v>
      </c>
      <c r="D6" s="353">
        <v>26445.365000000002</v>
      </c>
      <c r="E6" s="353">
        <v>278520.24200000003</v>
      </c>
      <c r="F6" s="1740">
        <v>77072.410999999993</v>
      </c>
      <c r="G6" s="1741">
        <v>1279458.8870000001</v>
      </c>
      <c r="H6" s="1296">
        <v>47926.527000000002</v>
      </c>
      <c r="I6" s="2180"/>
      <c r="J6" s="1344"/>
      <c r="K6" s="237"/>
      <c r="L6" s="237"/>
    </row>
    <row r="7" spans="1:13" s="238" customFormat="1" ht="19.5" customHeight="1">
      <c r="A7" s="588" t="s">
        <v>490</v>
      </c>
      <c r="B7" s="589" t="s">
        <v>934</v>
      </c>
      <c r="C7" s="243">
        <v>68336.634000000005</v>
      </c>
      <c r="D7" s="244">
        <v>8515.5149999999994</v>
      </c>
      <c r="E7" s="245">
        <v>5811.0420000000004</v>
      </c>
      <c r="F7" s="1742">
        <v>1409.413</v>
      </c>
      <c r="G7" s="1827">
        <v>161745.04500000001</v>
      </c>
      <c r="H7" s="1869">
        <v>3175.4229999999998</v>
      </c>
      <c r="I7" s="2007"/>
      <c r="J7" s="2181" t="str">
        <f>IF(AND(I6&lt;1.5,I6&gt;0.5),"Kontrollera beloppet i kol E. OBS! Internbankens nyupplånging för vidareutlånging ska inte ingå här utan på rad 994, Övriga förändringar",IF(F7&gt;E7,"Rad 987: därav-Kol.F&gt;Kol.E",IF(SUM(C7+D7)&gt;G7,"Koncern kol G, borde vara större än kommunen, kol C+D","")))</f>
        <v/>
      </c>
      <c r="K7" s="237"/>
      <c r="L7" s="237"/>
    </row>
    <row r="8" spans="1:13" s="238" customFormat="1" ht="17.25" customHeight="1">
      <c r="A8" s="590" t="s">
        <v>491</v>
      </c>
      <c r="B8" s="589" t="s">
        <v>1064</v>
      </c>
      <c r="C8" s="243">
        <v>-7068.5290000000005</v>
      </c>
      <c r="D8" s="244">
        <v>-455.89699999999999</v>
      </c>
      <c r="E8" s="245">
        <v>-3100.4380000000001</v>
      </c>
      <c r="F8" s="1742">
        <v>-1030.9849999999999</v>
      </c>
      <c r="G8" s="1827">
        <v>-12027.218000000001</v>
      </c>
      <c r="H8" s="1869">
        <v>-2002.1110000000001</v>
      </c>
      <c r="I8" s="1924"/>
      <c r="J8" s="2088" t="str">
        <f>IF(F8&lt;E8,"Rad 988: därav-kol.F&lt;Kol.E","")</f>
        <v/>
      </c>
      <c r="K8" s="237"/>
      <c r="L8" s="237"/>
    </row>
    <row r="9" spans="1:13" s="238" customFormat="1" ht="20.25" customHeight="1">
      <c r="A9" s="590" t="s">
        <v>492</v>
      </c>
      <c r="B9" s="589" t="s">
        <v>501</v>
      </c>
      <c r="C9" s="313">
        <v>3068.393</v>
      </c>
      <c r="D9" s="244">
        <v>85.373000000000005</v>
      </c>
      <c r="E9" s="245">
        <v>389.37</v>
      </c>
      <c r="F9" s="1742">
        <v>163.12299999999999</v>
      </c>
      <c r="G9" s="1827">
        <v>3457.76</v>
      </c>
      <c r="H9" s="1869">
        <v>223.97800000000001</v>
      </c>
      <c r="I9" s="2007"/>
      <c r="J9" s="2087" t="str">
        <f>IF(F9&gt;E9,"Rad 989: därav-kol.F&gt;kol.E","")</f>
        <v/>
      </c>
      <c r="K9" s="237"/>
      <c r="L9" s="237"/>
    </row>
    <row r="10" spans="1:13" s="238" customFormat="1" ht="21" customHeight="1">
      <c r="A10" s="590" t="s">
        <v>362</v>
      </c>
      <c r="B10" s="589" t="s">
        <v>1086</v>
      </c>
      <c r="C10" s="313">
        <v>-980.75199999999995</v>
      </c>
      <c r="D10" s="244">
        <v>-52.433</v>
      </c>
      <c r="E10" s="245">
        <v>-76.384</v>
      </c>
      <c r="F10" s="1742">
        <v>-55.841000000000001</v>
      </c>
      <c r="G10" s="1827">
        <v>-1061.4390000000001</v>
      </c>
      <c r="H10" s="1869">
        <v>-77.772000000000006</v>
      </c>
      <c r="I10" s="2007"/>
      <c r="J10" s="2087" t="str">
        <f>IF(F10&lt;E10,"Rad 990: därav-kol.F&lt;Kol.E","")</f>
        <v/>
      </c>
      <c r="K10" s="237"/>
      <c r="L10" s="237"/>
    </row>
    <row r="11" spans="1:13" s="238" customFormat="1" ht="15" customHeight="1">
      <c r="A11" s="590" t="s">
        <v>363</v>
      </c>
      <c r="B11" s="589" t="s">
        <v>359</v>
      </c>
      <c r="C11" s="243">
        <v>-19298.006000000001</v>
      </c>
      <c r="D11" s="244">
        <v>-5893.6130000000003</v>
      </c>
      <c r="E11" s="1495">
        <v>-3.109</v>
      </c>
      <c r="F11" s="1743">
        <v>0</v>
      </c>
      <c r="G11" s="1827">
        <v>-56476.889000000003</v>
      </c>
      <c r="H11" s="1869">
        <v>-29.324000000000002</v>
      </c>
      <c r="I11" s="1924"/>
      <c r="J11" s="2113"/>
      <c r="K11" s="237"/>
      <c r="L11" s="237"/>
    </row>
    <row r="12" spans="1:13" s="238" customFormat="1" ht="15" customHeight="1">
      <c r="A12" s="590" t="s">
        <v>364</v>
      </c>
      <c r="B12" s="589" t="s">
        <v>154</v>
      </c>
      <c r="C12" s="246">
        <v>-223.22900000000001</v>
      </c>
      <c r="D12" s="247">
        <v>258.29899999999998</v>
      </c>
      <c r="E12" s="54">
        <v>-429.06099999999998</v>
      </c>
      <c r="F12" s="1557">
        <v>-400.12799999999999</v>
      </c>
      <c r="G12" s="1827">
        <v>-1162.5909999999999</v>
      </c>
      <c r="H12" s="1869">
        <v>-403.77499999999998</v>
      </c>
      <c r="I12" s="2173"/>
      <c r="J12" s="2113"/>
      <c r="K12" s="2113"/>
      <c r="L12" s="2113"/>
      <c r="M12" s="2113"/>
    </row>
    <row r="13" spans="1:13" s="238" customFormat="1" ht="19.5" customHeight="1">
      <c r="A13" s="591" t="s">
        <v>365</v>
      </c>
      <c r="B13" s="589" t="s">
        <v>360</v>
      </c>
      <c r="C13" s="243">
        <v>296.75200000000001</v>
      </c>
      <c r="D13" s="244">
        <v>523.99099999999999</v>
      </c>
      <c r="E13" s="245">
        <v>-2013.855</v>
      </c>
      <c r="F13" s="1742">
        <v>-39.015999999999998</v>
      </c>
      <c r="G13" s="1827">
        <v>422.17200000000003</v>
      </c>
      <c r="H13" s="1869">
        <v>-1217.56</v>
      </c>
      <c r="I13" s="2177"/>
      <c r="J13" s="2113"/>
      <c r="K13" s="2113"/>
      <c r="L13" s="2113"/>
      <c r="M13" s="2113"/>
    </row>
    <row r="14" spans="1:13" s="238" customFormat="1" ht="13.5" customHeight="1">
      <c r="A14" s="590" t="s">
        <v>366</v>
      </c>
      <c r="B14" s="589" t="s">
        <v>361</v>
      </c>
      <c r="C14" s="243">
        <v>148.483</v>
      </c>
      <c r="D14" s="244">
        <v>82.076999999999998</v>
      </c>
      <c r="E14" s="245">
        <v>12553.653</v>
      </c>
      <c r="F14" s="1742">
        <v>-302.43700000000001</v>
      </c>
      <c r="G14" s="1827">
        <v>-4141.4260000000004</v>
      </c>
      <c r="H14" s="1869">
        <v>-937.41399999999999</v>
      </c>
      <c r="I14" s="2178"/>
      <c r="J14" s="2113"/>
      <c r="K14" s="2113"/>
      <c r="L14" s="2113"/>
      <c r="M14" s="2113"/>
    </row>
    <row r="15" spans="1:13" s="238" customFormat="1" ht="12" customHeight="1" thickBot="1">
      <c r="A15" s="592" t="s">
        <v>367</v>
      </c>
      <c r="B15" s="593" t="s">
        <v>377</v>
      </c>
      <c r="C15" s="295">
        <f>BR!D10</f>
        <v>544311.08100000001</v>
      </c>
      <c r="D15" s="296">
        <f>BR!D11</f>
        <v>29508.677</v>
      </c>
      <c r="E15" s="296">
        <f>BR!D17</f>
        <v>291651.46400000004</v>
      </c>
      <c r="F15" s="1744">
        <f>BR!D13</f>
        <v>76816.539999999994</v>
      </c>
      <c r="G15" s="1745">
        <f>BR!E12</f>
        <v>1370214.301</v>
      </c>
      <c r="H15" s="1735">
        <f>BR!E17</f>
        <v>46657.972000000002</v>
      </c>
      <c r="I15" s="1496"/>
      <c r="J15" s="2113"/>
      <c r="K15" s="2113"/>
      <c r="L15" s="2113"/>
      <c r="M15" s="2113"/>
    </row>
    <row r="16" spans="1:13" s="238" customFormat="1" ht="37.5" customHeight="1">
      <c r="A16" s="60"/>
      <c r="B16" s="59"/>
      <c r="C16" s="141"/>
      <c r="D16" s="141"/>
      <c r="E16" s="141"/>
      <c r="F16" s="141"/>
      <c r="G16" s="1828"/>
      <c r="H16" s="1829"/>
      <c r="I16" s="2209"/>
      <c r="J16" s="2209"/>
      <c r="K16" s="2209"/>
      <c r="L16" s="2209"/>
    </row>
    <row r="17" spans="1:12" ht="12.75" customHeight="1">
      <c r="A17" s="282"/>
      <c r="B17" s="202"/>
      <c r="C17" s="43"/>
      <c r="D17" s="43"/>
      <c r="E17" s="43"/>
      <c r="F17" s="43"/>
      <c r="G17" s="1826"/>
      <c r="H17" s="1826"/>
      <c r="I17" s="45"/>
      <c r="J17" s="45"/>
      <c r="K17" s="4"/>
      <c r="L17" s="171"/>
    </row>
    <row r="18" spans="1:12" ht="25.5" customHeight="1">
      <c r="A18" s="1518" t="s">
        <v>964</v>
      </c>
      <c r="B18" s="1517"/>
      <c r="C18" s="1517"/>
      <c r="D18" s="1517"/>
      <c r="E18" s="1517"/>
      <c r="F18" s="1517"/>
      <c r="G18" s="1517"/>
      <c r="H18" s="1517"/>
      <c r="I18" s="1517"/>
      <c r="J18" s="1517"/>
      <c r="K18" s="2176"/>
      <c r="L18" s="2176"/>
    </row>
    <row r="19" spans="1:12" s="240" customFormat="1" ht="22.5" customHeight="1" thickBot="1">
      <c r="A19" s="1489" t="s">
        <v>773</v>
      </c>
      <c r="B19" s="239"/>
      <c r="C19" s="61"/>
      <c r="D19" s="62"/>
      <c r="E19" s="63"/>
      <c r="F19" s="63"/>
      <c r="G19" s="63"/>
      <c r="H19" s="63"/>
      <c r="I19" s="160"/>
      <c r="J19" s="158"/>
      <c r="K19" s="64"/>
      <c r="L19" s="239"/>
    </row>
    <row r="20" spans="1:12" ht="14.25" customHeight="1">
      <c r="A20" s="839" t="s">
        <v>634</v>
      </c>
      <c r="B20" s="840" t="s">
        <v>16</v>
      </c>
      <c r="C20" s="1490" t="s">
        <v>939</v>
      </c>
      <c r="D20" s="841" t="s">
        <v>176</v>
      </c>
      <c r="E20" s="842"/>
      <c r="F20" s="842"/>
      <c r="G20" s="1882"/>
      <c r="H20" s="1883"/>
      <c r="I20" s="39"/>
      <c r="J20" s="39"/>
      <c r="K20" s="44"/>
      <c r="L20" s="4"/>
    </row>
    <row r="21" spans="1:12" ht="27.75" customHeight="1">
      <c r="A21" s="843" t="s">
        <v>637</v>
      </c>
      <c r="B21" s="795"/>
      <c r="C21" s="1491" t="s">
        <v>940</v>
      </c>
      <c r="D21" s="1488" t="s">
        <v>1010</v>
      </c>
      <c r="E21" s="1488" t="s">
        <v>937</v>
      </c>
      <c r="F21" s="1870" t="s">
        <v>938</v>
      </c>
      <c r="G21" s="1884"/>
      <c r="H21" s="1885"/>
      <c r="I21" s="8"/>
      <c r="J21" s="65"/>
      <c r="K21" s="44"/>
      <c r="L21" s="4"/>
    </row>
    <row r="22" spans="1:12">
      <c r="A22" s="843"/>
      <c r="B22" s="845"/>
      <c r="C22" s="846"/>
      <c r="D22" s="844" t="s">
        <v>1011</v>
      </c>
      <c r="E22" s="896" t="s">
        <v>177</v>
      </c>
      <c r="F22" s="1871" t="s">
        <v>178</v>
      </c>
      <c r="G22" s="1886"/>
      <c r="H22" s="1887"/>
      <c r="I22" s="8"/>
      <c r="J22" s="65"/>
      <c r="K22" s="44"/>
      <c r="L22" s="4"/>
    </row>
    <row r="23" spans="1:12" ht="36" customHeight="1">
      <c r="A23" s="847"/>
      <c r="B23" s="848"/>
      <c r="C23" s="849"/>
      <c r="D23" s="1608" t="s">
        <v>1014</v>
      </c>
      <c r="E23" s="1609" t="s">
        <v>1012</v>
      </c>
      <c r="F23" s="1872" t="s">
        <v>1013</v>
      </c>
      <c r="G23" s="1888"/>
      <c r="H23" s="1544"/>
      <c r="I23" s="8"/>
      <c r="J23" s="8"/>
      <c r="K23" s="44"/>
      <c r="L23" s="4"/>
    </row>
    <row r="24" spans="1:12">
      <c r="A24" s="850"/>
      <c r="B24" s="851" t="s">
        <v>17</v>
      </c>
      <c r="C24" s="852"/>
      <c r="D24" s="852"/>
      <c r="E24" s="852"/>
      <c r="F24" s="1873"/>
      <c r="G24" s="1889"/>
      <c r="H24" s="1890"/>
      <c r="I24" s="161"/>
      <c r="J24" s="162"/>
      <c r="K24" s="163"/>
      <c r="L24" s="163"/>
    </row>
    <row r="25" spans="1:12">
      <c r="A25" s="1976" t="s">
        <v>221</v>
      </c>
      <c r="B25" s="598" t="s">
        <v>18</v>
      </c>
      <c r="C25" s="248">
        <v>77.730999999999995</v>
      </c>
      <c r="D25" s="248">
        <v>16.829000000000001</v>
      </c>
      <c r="E25" s="248">
        <v>23.045000000000002</v>
      </c>
      <c r="F25" s="1874">
        <v>34.438000000000002</v>
      </c>
      <c r="G25" s="1908"/>
      <c r="H25" s="1891"/>
      <c r="I25" s="310"/>
      <c r="J25" s="310"/>
      <c r="K25" s="311"/>
      <c r="L25" s="179"/>
    </row>
    <row r="26" spans="1:12" ht="18.75">
      <c r="A26" s="853" t="s">
        <v>222</v>
      </c>
      <c r="B26" s="601" t="s">
        <v>1090</v>
      </c>
      <c r="C26" s="20">
        <v>6592.415</v>
      </c>
      <c r="D26" s="20">
        <v>4776.3739999999998</v>
      </c>
      <c r="E26" s="20">
        <v>115.627</v>
      </c>
      <c r="F26" s="454">
        <v>1272.7929999999999</v>
      </c>
      <c r="G26" s="1908"/>
      <c r="H26" s="1891"/>
      <c r="I26" s="310"/>
      <c r="J26" s="310"/>
      <c r="K26" s="311"/>
      <c r="L26" s="179"/>
    </row>
    <row r="27" spans="1:12">
      <c r="A27" s="590" t="s">
        <v>353</v>
      </c>
      <c r="B27" s="559" t="s">
        <v>179</v>
      </c>
      <c r="C27" s="20">
        <v>220.80699999999999</v>
      </c>
      <c r="D27" s="20">
        <v>132.58699999999999</v>
      </c>
      <c r="E27" s="20">
        <v>38.119999999999997</v>
      </c>
      <c r="F27" s="454">
        <v>39.771999999999998</v>
      </c>
      <c r="G27" s="1908"/>
      <c r="H27" s="1891"/>
      <c r="I27" s="310"/>
      <c r="J27" s="310"/>
      <c r="K27" s="311"/>
      <c r="L27" s="179"/>
    </row>
    <row r="28" spans="1:12">
      <c r="A28" s="590" t="s">
        <v>225</v>
      </c>
      <c r="B28" s="559" t="s">
        <v>869</v>
      </c>
      <c r="C28" s="20">
        <v>14061.047</v>
      </c>
      <c r="D28" s="20">
        <v>12541.082</v>
      </c>
      <c r="E28" s="20">
        <v>235.852</v>
      </c>
      <c r="F28" s="454">
        <v>281.87099999999998</v>
      </c>
      <c r="G28" s="1908"/>
      <c r="H28" s="1891"/>
      <c r="I28" s="310"/>
      <c r="J28" s="310"/>
      <c r="K28" s="311"/>
      <c r="L28" s="179"/>
    </row>
    <row r="29" spans="1:12">
      <c r="A29" s="590" t="s">
        <v>226</v>
      </c>
      <c r="B29" s="559" t="s">
        <v>19</v>
      </c>
      <c r="C29" s="20">
        <v>1921.7850000000001</v>
      </c>
      <c r="D29" s="20">
        <v>1512.5219999999999</v>
      </c>
      <c r="E29" s="20">
        <v>121.191</v>
      </c>
      <c r="F29" s="454">
        <v>34.090000000000003</v>
      </c>
      <c r="G29" s="1908"/>
      <c r="H29" s="1891"/>
      <c r="I29" s="310"/>
      <c r="J29" s="310"/>
      <c r="K29" s="311"/>
      <c r="L29" s="179"/>
    </row>
    <row r="30" spans="1:12">
      <c r="A30" s="590" t="s">
        <v>354</v>
      </c>
      <c r="B30" s="559" t="s">
        <v>181</v>
      </c>
      <c r="C30" s="20">
        <v>124.178</v>
      </c>
      <c r="D30" s="20">
        <v>98.231999999999999</v>
      </c>
      <c r="E30" s="20">
        <v>14.906000000000001</v>
      </c>
      <c r="F30" s="454">
        <v>0.78500000000000003</v>
      </c>
      <c r="G30" s="1908"/>
      <c r="H30" s="1891"/>
      <c r="I30" s="310"/>
      <c r="J30" s="310"/>
      <c r="K30" s="311"/>
      <c r="L30" s="179"/>
    </row>
    <row r="31" spans="1:12">
      <c r="A31" s="590" t="s">
        <v>230</v>
      </c>
      <c r="B31" s="559" t="s">
        <v>20</v>
      </c>
      <c r="C31" s="20">
        <v>536.90099999999995</v>
      </c>
      <c r="D31" s="20">
        <v>287.86200000000002</v>
      </c>
      <c r="E31" s="20">
        <v>220.12200000000001</v>
      </c>
      <c r="F31" s="454">
        <v>2.319</v>
      </c>
      <c r="G31" s="1908"/>
      <c r="H31" s="1891"/>
      <c r="I31" s="310"/>
      <c r="J31" s="310"/>
      <c r="K31" s="311"/>
      <c r="L31" s="179"/>
    </row>
    <row r="32" spans="1:12">
      <c r="A32" s="590" t="s">
        <v>231</v>
      </c>
      <c r="B32" s="559" t="s">
        <v>182</v>
      </c>
      <c r="C32" s="20">
        <v>73.745000000000005</v>
      </c>
      <c r="D32" s="20">
        <v>25.295999999999999</v>
      </c>
      <c r="E32" s="20">
        <v>2.456</v>
      </c>
      <c r="F32" s="454">
        <v>40.713000000000001</v>
      </c>
      <c r="G32" s="1908"/>
      <c r="H32" s="1891"/>
      <c r="I32" s="310"/>
      <c r="J32" s="310"/>
      <c r="K32" s="311"/>
      <c r="L32" s="179"/>
    </row>
    <row r="33" spans="1:12">
      <c r="A33" s="597" t="s">
        <v>232</v>
      </c>
      <c r="B33" s="598" t="s">
        <v>183</v>
      </c>
      <c r="C33" s="367">
        <f>SUM(C26:C32)</f>
        <v>23530.878000000001</v>
      </c>
      <c r="D33" s="367">
        <f>SUM(D26:D32)</f>
        <v>19373.954999999998</v>
      </c>
      <c r="E33" s="367">
        <f>SUM(E26:E32)</f>
        <v>748.274</v>
      </c>
      <c r="F33" s="1875">
        <f>SUM(F26:F32)</f>
        <v>1672.3429999999996</v>
      </c>
      <c r="G33" s="1908"/>
      <c r="H33" s="1891"/>
      <c r="I33" s="310"/>
      <c r="J33" s="310"/>
      <c r="K33" s="312"/>
      <c r="L33" s="179"/>
    </row>
    <row r="34" spans="1:12">
      <c r="A34" s="599" t="s">
        <v>242</v>
      </c>
      <c r="B34" s="600" t="s">
        <v>184</v>
      </c>
      <c r="C34" s="249">
        <v>5986.174</v>
      </c>
      <c r="D34" s="249">
        <v>5002.6549999999997</v>
      </c>
      <c r="E34" s="249">
        <v>525.62699999999995</v>
      </c>
      <c r="F34" s="1876">
        <v>142.66300000000001</v>
      </c>
      <c r="G34" s="1908"/>
      <c r="H34" s="1891"/>
      <c r="I34" s="310"/>
      <c r="J34" s="310"/>
      <c r="K34" s="311"/>
      <c r="L34" s="179"/>
    </row>
    <row r="35" spans="1:12" ht="18.75">
      <c r="A35" s="854" t="s">
        <v>248</v>
      </c>
      <c r="B35" s="1259" t="s">
        <v>772</v>
      </c>
      <c r="C35" s="248">
        <v>7218.2820000000002</v>
      </c>
      <c r="D35" s="248">
        <v>6682.8620000000001</v>
      </c>
      <c r="E35" s="248">
        <v>304.952</v>
      </c>
      <c r="F35" s="1874">
        <v>77.539000000000001</v>
      </c>
      <c r="G35" s="1908"/>
      <c r="H35" s="1891"/>
      <c r="I35" s="310"/>
      <c r="J35" s="310"/>
      <c r="K35" s="311"/>
      <c r="L35" s="179"/>
    </row>
    <row r="36" spans="1:12">
      <c r="A36" s="594"/>
      <c r="B36" s="595" t="s">
        <v>185</v>
      </c>
      <c r="C36" s="855"/>
      <c r="D36" s="855"/>
      <c r="E36" s="855"/>
      <c r="F36" s="1877"/>
      <c r="G36" s="1908"/>
      <c r="H36" s="1891"/>
      <c r="I36" s="310"/>
      <c r="J36" s="310"/>
      <c r="K36" s="311"/>
      <c r="L36" s="179"/>
    </row>
    <row r="37" spans="1:12">
      <c r="A37" s="588" t="s">
        <v>401</v>
      </c>
      <c r="B37" s="596" t="s">
        <v>760</v>
      </c>
      <c r="C37" s="20">
        <v>11713.118</v>
      </c>
      <c r="D37" s="20">
        <v>10209.708000000001</v>
      </c>
      <c r="E37" s="20">
        <v>1096.4549999999999</v>
      </c>
      <c r="F37" s="454">
        <v>42.152999999999999</v>
      </c>
      <c r="G37" s="1908"/>
      <c r="H37" s="1891"/>
      <c r="I37" s="310"/>
      <c r="J37" s="310"/>
      <c r="K37" s="311"/>
      <c r="L37" s="179"/>
    </row>
    <row r="38" spans="1:12">
      <c r="A38" s="590" t="s">
        <v>355</v>
      </c>
      <c r="B38" s="559" t="s">
        <v>186</v>
      </c>
      <c r="C38" s="20">
        <v>2113.7570000000001</v>
      </c>
      <c r="D38" s="20">
        <v>1693.0650000000001</v>
      </c>
      <c r="E38" s="20">
        <v>344.26600000000002</v>
      </c>
      <c r="F38" s="454">
        <v>3.121</v>
      </c>
      <c r="G38" s="1908"/>
      <c r="H38" s="1891"/>
      <c r="I38" s="310"/>
      <c r="J38" s="310"/>
      <c r="K38" s="311"/>
      <c r="L38" s="179"/>
    </row>
    <row r="39" spans="1:12">
      <c r="A39" s="588" t="s">
        <v>356</v>
      </c>
      <c r="B39" s="559" t="s">
        <v>21</v>
      </c>
      <c r="C39" s="20">
        <v>191.74199999999999</v>
      </c>
      <c r="D39" s="20">
        <v>85.716999999999999</v>
      </c>
      <c r="E39" s="20">
        <v>48.872999999999998</v>
      </c>
      <c r="F39" s="454">
        <v>51.107999999999997</v>
      </c>
      <c r="G39" s="1908"/>
      <c r="H39" s="1891"/>
      <c r="I39" s="310"/>
      <c r="J39" s="310"/>
      <c r="K39" s="311"/>
      <c r="L39" s="311"/>
    </row>
    <row r="40" spans="1:12">
      <c r="A40" s="597" t="s">
        <v>257</v>
      </c>
      <c r="B40" s="598" t="s">
        <v>22</v>
      </c>
      <c r="C40" s="367">
        <f>SUM(C37:C39)</f>
        <v>14018.617</v>
      </c>
      <c r="D40" s="367">
        <f>SUM(D37:D39)</f>
        <v>11988.490000000002</v>
      </c>
      <c r="E40" s="367">
        <f>SUM(E37:E39)</f>
        <v>1489.5940000000001</v>
      </c>
      <c r="F40" s="1875">
        <f>SUM(F37:F39)</f>
        <v>96.382000000000005</v>
      </c>
      <c r="G40" s="1908"/>
      <c r="H40" s="1891"/>
      <c r="I40" s="310"/>
      <c r="J40" s="310"/>
      <c r="K40" s="311"/>
      <c r="L40" s="311"/>
    </row>
    <row r="41" spans="1:12">
      <c r="A41" s="599" t="s">
        <v>258</v>
      </c>
      <c r="B41" s="600" t="s">
        <v>187</v>
      </c>
      <c r="C41" s="367">
        <f>C35+C40</f>
        <v>21236.899000000001</v>
      </c>
      <c r="D41" s="367">
        <f>D35+D40</f>
        <v>18671.352000000003</v>
      </c>
      <c r="E41" s="367">
        <f>E35+E40</f>
        <v>1794.546</v>
      </c>
      <c r="F41" s="1878">
        <f>F35+F40</f>
        <v>173.92099999999999</v>
      </c>
      <c r="G41" s="1908"/>
      <c r="H41" s="1891"/>
      <c r="I41" s="310"/>
      <c r="J41" s="310"/>
      <c r="K41" s="311"/>
      <c r="L41" s="311"/>
    </row>
    <row r="42" spans="1:12" ht="18.75">
      <c r="A42" s="586" t="s">
        <v>259</v>
      </c>
      <c r="B42" s="601" t="s">
        <v>188</v>
      </c>
      <c r="C42" s="20">
        <v>24.658999999999999</v>
      </c>
      <c r="D42" s="20">
        <v>19.283000000000001</v>
      </c>
      <c r="E42" s="20">
        <v>4.6429999999999998</v>
      </c>
      <c r="F42" s="454">
        <v>0</v>
      </c>
      <c r="G42" s="1908"/>
      <c r="H42" s="1891"/>
      <c r="I42" s="310"/>
      <c r="J42" s="310"/>
      <c r="K42" s="311"/>
      <c r="L42" s="311"/>
    </row>
    <row r="43" spans="1:12">
      <c r="A43" s="602" t="s">
        <v>260</v>
      </c>
      <c r="B43" s="559" t="s">
        <v>101</v>
      </c>
      <c r="C43" s="20">
        <v>81.738</v>
      </c>
      <c r="D43" s="20">
        <v>57.83</v>
      </c>
      <c r="E43" s="20">
        <v>16.292000000000002</v>
      </c>
      <c r="F43" s="454">
        <v>0</v>
      </c>
      <c r="G43" s="1908"/>
      <c r="H43" s="1891"/>
      <c r="I43" s="310"/>
      <c r="J43" s="310"/>
      <c r="K43" s="311"/>
      <c r="L43" s="179"/>
    </row>
    <row r="44" spans="1:12">
      <c r="A44" s="590" t="s">
        <v>443</v>
      </c>
      <c r="B44" s="603" t="s">
        <v>496</v>
      </c>
      <c r="C44" s="492">
        <v>2895.4180000000001</v>
      </c>
      <c r="D44" s="20">
        <v>2265.7440000000001</v>
      </c>
      <c r="E44" s="20">
        <v>464.49099999999999</v>
      </c>
      <c r="F44" s="454">
        <v>46.92</v>
      </c>
      <c r="G44" s="1908"/>
      <c r="H44" s="1891"/>
      <c r="I44" s="310"/>
      <c r="J44" s="310"/>
      <c r="K44" s="311"/>
      <c r="L44" s="179"/>
    </row>
    <row r="45" spans="1:12" ht="18.75">
      <c r="A45" s="590" t="s">
        <v>508</v>
      </c>
      <c r="B45" s="596" t="s">
        <v>509</v>
      </c>
      <c r="C45" s="492">
        <v>1032.9190000000001</v>
      </c>
      <c r="D45" s="20">
        <v>849.99599999999998</v>
      </c>
      <c r="E45" s="20">
        <v>109.38800000000001</v>
      </c>
      <c r="F45" s="454">
        <v>23.634</v>
      </c>
      <c r="G45" s="1908"/>
      <c r="H45" s="1891"/>
      <c r="I45" s="310"/>
      <c r="J45" s="310"/>
      <c r="K45" s="311"/>
      <c r="L45" s="179"/>
    </row>
    <row r="46" spans="1:12">
      <c r="A46" s="590" t="s">
        <v>357</v>
      </c>
      <c r="B46" s="559" t="s">
        <v>189</v>
      </c>
      <c r="C46" s="20">
        <v>201.32400000000001</v>
      </c>
      <c r="D46" s="20">
        <v>136.27500000000001</v>
      </c>
      <c r="E46" s="20">
        <v>40.457000000000001</v>
      </c>
      <c r="F46" s="454">
        <v>10.523</v>
      </c>
      <c r="G46" s="1908"/>
      <c r="H46" s="1891"/>
      <c r="I46" s="310"/>
      <c r="J46" s="310"/>
      <c r="K46" s="311"/>
      <c r="L46" s="179"/>
    </row>
    <row r="47" spans="1:12">
      <c r="A47" s="597" t="s">
        <v>358</v>
      </c>
      <c r="B47" s="856" t="s">
        <v>190</v>
      </c>
      <c r="C47" s="367">
        <f>SUM(C42:C46)</f>
        <v>4236.058</v>
      </c>
      <c r="D47" s="367">
        <f>SUM(D42:D46)</f>
        <v>3329.1280000000002</v>
      </c>
      <c r="E47" s="367">
        <f>SUM(E42:E46)</f>
        <v>635.27099999999996</v>
      </c>
      <c r="F47" s="1875">
        <f>SUM(F42:F46)</f>
        <v>81.076999999999998</v>
      </c>
      <c r="G47" s="1908"/>
      <c r="H47" s="1891"/>
      <c r="I47" s="310"/>
      <c r="J47" s="310"/>
      <c r="K47" s="312"/>
      <c r="L47" s="179"/>
    </row>
    <row r="48" spans="1:12">
      <c r="A48" s="599" t="s">
        <v>265</v>
      </c>
      <c r="B48" s="600" t="s">
        <v>191</v>
      </c>
      <c r="C48" s="249">
        <v>177.33699999999999</v>
      </c>
      <c r="D48" s="249">
        <v>101.215</v>
      </c>
      <c r="E48" s="249">
        <v>18.263000000000002</v>
      </c>
      <c r="F48" s="1876">
        <v>45.588999999999999</v>
      </c>
      <c r="G48" s="1908"/>
      <c r="H48" s="1891"/>
      <c r="I48" s="310"/>
      <c r="J48" s="310"/>
      <c r="K48" s="311"/>
      <c r="L48" s="179"/>
    </row>
    <row r="49" spans="1:12">
      <c r="A49" s="854" t="s">
        <v>266</v>
      </c>
      <c r="B49" s="598" t="s">
        <v>23</v>
      </c>
      <c r="C49" s="367">
        <f>SUM(C25,C33,C34,C41,C47,C48)</f>
        <v>55245.076999999997</v>
      </c>
      <c r="D49" s="367">
        <f>SUM(D25,D33,D34,D41,D47,D48)</f>
        <v>46495.133999999991</v>
      </c>
      <c r="E49" s="367">
        <f>SUM(E25,E33,E34,E41,E47,E48)</f>
        <v>3745.0259999999998</v>
      </c>
      <c r="F49" s="1879">
        <f>SUM(F25,F33,F34,F41,F47,F48)</f>
        <v>2150.0309999999999</v>
      </c>
      <c r="G49" s="1908"/>
      <c r="H49" s="1891"/>
      <c r="I49" s="310"/>
      <c r="J49" s="310"/>
      <c r="K49" s="311"/>
      <c r="L49" s="179"/>
    </row>
    <row r="50" spans="1:12" ht="27.75">
      <c r="A50" s="853" t="s">
        <v>267</v>
      </c>
      <c r="B50" s="857" t="s">
        <v>192</v>
      </c>
      <c r="C50" s="20">
        <v>2705.848</v>
      </c>
      <c r="D50" s="20">
        <v>2335.5219999999999</v>
      </c>
      <c r="E50" s="20">
        <v>12.18</v>
      </c>
      <c r="F50" s="454">
        <v>160.52500000000001</v>
      </c>
      <c r="G50" s="1908"/>
      <c r="H50" s="1891"/>
      <c r="I50" s="310"/>
      <c r="J50" s="310"/>
      <c r="K50" s="311"/>
      <c r="L50" s="179"/>
    </row>
    <row r="51" spans="1:12">
      <c r="A51" s="602" t="s">
        <v>268</v>
      </c>
      <c r="B51" s="571" t="s">
        <v>24</v>
      </c>
      <c r="C51" s="20">
        <v>993.92499999999995</v>
      </c>
      <c r="D51" s="20">
        <v>962.51700000000005</v>
      </c>
      <c r="E51" s="20">
        <v>2.665</v>
      </c>
      <c r="F51" s="454">
        <v>0.40400000000000003</v>
      </c>
      <c r="G51" s="1908"/>
      <c r="H51" s="1891"/>
      <c r="I51" s="310"/>
      <c r="J51" s="310"/>
      <c r="K51" s="311"/>
      <c r="L51" s="179"/>
    </row>
    <row r="52" spans="1:12">
      <c r="A52" s="602" t="s">
        <v>269</v>
      </c>
      <c r="B52" s="571" t="s">
        <v>25</v>
      </c>
      <c r="C52" s="20">
        <v>1127.4159999999999</v>
      </c>
      <c r="D52" s="20">
        <v>684.47199999999998</v>
      </c>
      <c r="E52" s="20">
        <v>19.803999999999998</v>
      </c>
      <c r="F52" s="454">
        <v>382.39100000000002</v>
      </c>
      <c r="G52" s="1908"/>
      <c r="H52" s="1891"/>
      <c r="I52" s="310"/>
      <c r="J52" s="310"/>
      <c r="K52" s="311"/>
      <c r="L52" s="179"/>
    </row>
    <row r="53" spans="1:12">
      <c r="A53" s="602" t="s">
        <v>270</v>
      </c>
      <c r="B53" s="571" t="s">
        <v>26</v>
      </c>
      <c r="C53" s="20">
        <v>2601.2530000000002</v>
      </c>
      <c r="D53" s="20">
        <v>2130.3040000000001</v>
      </c>
      <c r="E53" s="20">
        <v>5.3259999999999996</v>
      </c>
      <c r="F53" s="454">
        <v>292.90300000000002</v>
      </c>
      <c r="G53" s="1908"/>
      <c r="H53" s="1891"/>
      <c r="I53" s="310"/>
      <c r="J53" s="310"/>
      <c r="K53" s="311"/>
      <c r="L53" s="179"/>
    </row>
    <row r="54" spans="1:12">
      <c r="A54" s="858" t="s">
        <v>271</v>
      </c>
      <c r="B54" s="859" t="s">
        <v>27</v>
      </c>
      <c r="C54" s="367">
        <f>SUM(C50:C53)</f>
        <v>7428.4420000000009</v>
      </c>
      <c r="D54" s="367">
        <f>SUM(D50:D53)</f>
        <v>6112.8149999999996</v>
      </c>
      <c r="E54" s="367">
        <f>SUM(E50:E53)</f>
        <v>39.975000000000001</v>
      </c>
      <c r="F54" s="1875">
        <f>SUM(F50:F53)</f>
        <v>836.22300000000007</v>
      </c>
      <c r="G54" s="1908"/>
      <c r="H54" s="1891"/>
      <c r="I54" s="310"/>
      <c r="J54" s="310"/>
      <c r="K54" s="312"/>
      <c r="L54" s="179"/>
    </row>
    <row r="55" spans="1:12" ht="18.75">
      <c r="A55" s="586" t="s">
        <v>272</v>
      </c>
      <c r="B55" s="860" t="s">
        <v>193</v>
      </c>
      <c r="C55" s="20">
        <v>54.982999999999997</v>
      </c>
      <c r="D55" s="20">
        <v>51.173999999999999</v>
      </c>
      <c r="E55" s="20">
        <v>3.1720000000000002</v>
      </c>
      <c r="F55" s="454">
        <v>0.42599999999999999</v>
      </c>
      <c r="G55" s="1908"/>
      <c r="H55" s="1891"/>
      <c r="I55" s="310"/>
      <c r="J55" s="310"/>
      <c r="K55" s="311"/>
      <c r="L55" s="179"/>
    </row>
    <row r="56" spans="1:12">
      <c r="A56" s="602" t="s">
        <v>273</v>
      </c>
      <c r="B56" s="610" t="s">
        <v>868</v>
      </c>
      <c r="C56" s="20">
        <v>175.95599999999999</v>
      </c>
      <c r="D56" s="20">
        <v>163.10300000000001</v>
      </c>
      <c r="E56" s="20">
        <v>7.4569999999999999</v>
      </c>
      <c r="F56" s="454">
        <v>7.05</v>
      </c>
      <c r="G56" s="1908"/>
      <c r="H56" s="1891"/>
      <c r="I56" s="310"/>
      <c r="J56" s="310"/>
      <c r="K56" s="311"/>
      <c r="L56" s="179"/>
    </row>
    <row r="57" spans="1:12">
      <c r="A57" s="602" t="s">
        <v>274</v>
      </c>
      <c r="B57" s="861" t="s">
        <v>28</v>
      </c>
      <c r="C57" s="20">
        <v>13.57</v>
      </c>
      <c r="D57" s="20">
        <v>1.6910000000000001</v>
      </c>
      <c r="E57" s="20">
        <v>10.795999999999999</v>
      </c>
      <c r="F57" s="454">
        <v>0</v>
      </c>
      <c r="G57" s="1908"/>
      <c r="H57" s="1891"/>
      <c r="I57" s="310"/>
      <c r="J57" s="310"/>
      <c r="K57" s="311"/>
      <c r="L57" s="179"/>
    </row>
    <row r="58" spans="1:12">
      <c r="A58" s="858" t="s">
        <v>275</v>
      </c>
      <c r="B58" s="600" t="s">
        <v>29</v>
      </c>
      <c r="C58" s="367">
        <f>SUM(C55:C57)</f>
        <v>244.50899999999999</v>
      </c>
      <c r="D58" s="367">
        <f>SUM(D55:D57)</f>
        <v>215.96800000000002</v>
      </c>
      <c r="E58" s="367">
        <f>SUM(E55:E57)</f>
        <v>21.424999999999997</v>
      </c>
      <c r="F58" s="1875">
        <f>SUM(F55:F57)</f>
        <v>7.476</v>
      </c>
      <c r="G58" s="1908"/>
      <c r="H58" s="1891"/>
      <c r="I58" s="310"/>
      <c r="J58" s="310"/>
      <c r="K58" s="312"/>
      <c r="L58" s="179"/>
    </row>
    <row r="59" spans="1:12" ht="18.75">
      <c r="A59" s="586" t="s">
        <v>276</v>
      </c>
      <c r="B59" s="601" t="s">
        <v>194</v>
      </c>
      <c r="C59" s="20">
        <v>289.13</v>
      </c>
      <c r="D59" s="20">
        <v>203.01300000000001</v>
      </c>
      <c r="E59" s="20">
        <v>41.546999999999997</v>
      </c>
      <c r="F59" s="454">
        <v>0</v>
      </c>
      <c r="G59" s="1908"/>
      <c r="H59" s="1891"/>
      <c r="I59" s="310"/>
      <c r="J59" s="310"/>
      <c r="K59" s="311"/>
      <c r="L59" s="179"/>
    </row>
    <row r="60" spans="1:12">
      <c r="A60" s="602" t="s">
        <v>277</v>
      </c>
      <c r="B60" s="571" t="s">
        <v>30</v>
      </c>
      <c r="C60" s="20">
        <v>7.2329999999999997</v>
      </c>
      <c r="D60" s="20">
        <v>5.327</v>
      </c>
      <c r="E60" s="20">
        <v>1.532</v>
      </c>
      <c r="F60" s="454">
        <v>0.1</v>
      </c>
      <c r="G60" s="1908"/>
      <c r="H60" s="1891"/>
      <c r="I60" s="310"/>
      <c r="J60" s="310"/>
      <c r="K60" s="311"/>
      <c r="L60" s="179"/>
    </row>
    <row r="61" spans="1:12">
      <c r="A61" s="602" t="s">
        <v>278</v>
      </c>
      <c r="B61" s="571" t="s">
        <v>31</v>
      </c>
      <c r="C61" s="20">
        <v>8279.15</v>
      </c>
      <c r="D61" s="20">
        <v>6767.4889999999996</v>
      </c>
      <c r="E61" s="20">
        <v>329.14800000000002</v>
      </c>
      <c r="F61" s="454">
        <v>326.851</v>
      </c>
      <c r="G61" s="1908"/>
      <c r="H61" s="1891"/>
      <c r="I61" s="310"/>
      <c r="J61" s="310"/>
      <c r="K61" s="311"/>
      <c r="L61" s="179"/>
    </row>
    <row r="62" spans="1:12">
      <c r="A62" s="602" t="s">
        <v>279</v>
      </c>
      <c r="B62" s="571" t="s">
        <v>32</v>
      </c>
      <c r="C62" s="20">
        <v>450.23500000000001</v>
      </c>
      <c r="D62" s="20">
        <v>264.80500000000001</v>
      </c>
      <c r="E62" s="20">
        <v>134.685</v>
      </c>
      <c r="F62" s="454">
        <v>8.1649999999999991</v>
      </c>
      <c r="G62" s="1908"/>
      <c r="H62" s="1891"/>
      <c r="I62" s="310"/>
      <c r="J62" s="310"/>
      <c r="K62" s="311"/>
      <c r="L62" s="179"/>
    </row>
    <row r="63" spans="1:12">
      <c r="A63" s="858" t="s">
        <v>280</v>
      </c>
      <c r="B63" s="600" t="s">
        <v>195</v>
      </c>
      <c r="C63" s="367">
        <f>SUM(C59:C62)</f>
        <v>9025.7479999999996</v>
      </c>
      <c r="D63" s="367">
        <f>SUM(D59:D62)</f>
        <v>7240.634</v>
      </c>
      <c r="E63" s="367">
        <f>SUM(E59:E62)</f>
        <v>506.91200000000003</v>
      </c>
      <c r="F63" s="1875">
        <f>SUM(F59:F62)</f>
        <v>335.11600000000004</v>
      </c>
      <c r="G63" s="1908"/>
      <c r="H63" s="1891"/>
      <c r="I63" s="310"/>
      <c r="J63" s="310"/>
      <c r="K63" s="312"/>
      <c r="L63" s="179"/>
    </row>
    <row r="64" spans="1:12">
      <c r="A64" s="854" t="s">
        <v>281</v>
      </c>
      <c r="B64" s="598" t="s">
        <v>33</v>
      </c>
      <c r="C64" s="367">
        <f>SUM(C54,C58,C63)</f>
        <v>16698.699000000001</v>
      </c>
      <c r="D64" s="367">
        <f>SUM(D54,D58,D63)</f>
        <v>13569.416999999999</v>
      </c>
      <c r="E64" s="367">
        <f>SUM(E54,E58,E63)</f>
        <v>568.31200000000001</v>
      </c>
      <c r="F64" s="1879">
        <f>SUM(F54,F58,F63)</f>
        <v>1178.8150000000001</v>
      </c>
      <c r="G64" s="1908"/>
      <c r="H64" s="1891"/>
      <c r="I64" s="310"/>
      <c r="J64" s="310"/>
      <c r="K64" s="311"/>
      <c r="L64" s="179"/>
    </row>
    <row r="65" spans="1:13" ht="13.5" thickBot="1">
      <c r="A65" s="862" t="s">
        <v>284</v>
      </c>
      <c r="B65" s="863" t="s">
        <v>35</v>
      </c>
      <c r="C65" s="250">
        <v>4947.3</v>
      </c>
      <c r="D65" s="250">
        <v>1954.943</v>
      </c>
      <c r="E65" s="250">
        <v>2028.377</v>
      </c>
      <c r="F65" s="1880">
        <v>133.77199999999999</v>
      </c>
      <c r="G65" s="1908"/>
      <c r="H65" s="1891"/>
      <c r="I65" s="310"/>
      <c r="J65" s="310"/>
      <c r="K65" s="311"/>
      <c r="L65" s="179"/>
    </row>
    <row r="66" spans="1:13" ht="27" customHeight="1" thickBot="1">
      <c r="A66" s="864" t="s">
        <v>285</v>
      </c>
      <c r="B66" s="678" t="s">
        <v>36</v>
      </c>
      <c r="C66" s="371">
        <f>SUM(C49,C64,C65)</f>
        <v>76891.076000000001</v>
      </c>
      <c r="D66" s="371">
        <f>SUM(D49,D64,D65)</f>
        <v>62019.493999999992</v>
      </c>
      <c r="E66" s="371">
        <f>SUM(E49,E64,E65)</f>
        <v>6341.7150000000001</v>
      </c>
      <c r="F66" s="1881">
        <f>SUM(F49,F64,F65)</f>
        <v>3462.6179999999999</v>
      </c>
      <c r="G66" s="1908"/>
      <c r="H66" s="1891"/>
      <c r="I66" s="1235"/>
      <c r="J66" s="1476"/>
      <c r="K66" s="1243"/>
      <c r="L66" s="179"/>
    </row>
    <row r="67" spans="1:13" ht="10.5" customHeight="1">
      <c r="A67" s="301"/>
      <c r="B67" s="18"/>
      <c r="C67" s="72"/>
      <c r="D67" s="72"/>
      <c r="E67" s="72"/>
      <c r="F67" s="72"/>
      <c r="G67" s="2209"/>
      <c r="H67" s="2209"/>
      <c r="I67" s="2209"/>
      <c r="J67" s="2209"/>
      <c r="K67" s="2209"/>
      <c r="L67" s="4"/>
    </row>
    <row r="68" spans="1:13" ht="25.5" customHeight="1">
      <c r="A68" s="301"/>
      <c r="B68" s="18"/>
      <c r="C68" s="72"/>
      <c r="D68" s="72"/>
      <c r="E68" s="72"/>
      <c r="F68" s="72"/>
      <c r="G68" s="2209"/>
      <c r="H68" s="2209"/>
      <c r="I68" s="2209"/>
      <c r="J68" s="2209"/>
      <c r="K68" s="2209"/>
      <c r="L68" s="1893"/>
    </row>
    <row r="69" spans="1:13" ht="31.5" customHeight="1">
      <c r="A69" s="301"/>
      <c r="B69" s="18"/>
      <c r="C69" s="72"/>
      <c r="D69" s="72"/>
      <c r="E69" s="72"/>
      <c r="F69" s="72"/>
      <c r="G69" s="2209"/>
      <c r="H69" s="2209"/>
      <c r="I69" s="2209"/>
      <c r="J69" s="2209"/>
      <c r="K69" s="2209"/>
      <c r="L69" s="1893"/>
      <c r="M69" s="1255"/>
    </row>
    <row r="70" spans="1:13" ht="28.5" customHeight="1">
      <c r="A70" s="2461" t="s">
        <v>1055</v>
      </c>
      <c r="B70" s="2462"/>
      <c r="C70" s="2463"/>
      <c r="D70" s="2463"/>
      <c r="E70" s="2463"/>
      <c r="F70" s="2463"/>
      <c r="G70" s="72"/>
      <c r="H70" s="1319"/>
      <c r="I70" s="1868"/>
      <c r="J70" s="1868"/>
      <c r="K70" s="1868"/>
      <c r="L70" s="1868"/>
      <c r="M70" s="1255"/>
    </row>
    <row r="71" spans="1:13">
      <c r="A71" s="1752" t="s">
        <v>1036</v>
      </c>
      <c r="B71" s="1378"/>
      <c r="C71" s="142"/>
      <c r="D71" s="69"/>
      <c r="F71" s="70"/>
      <c r="G71" s="71"/>
      <c r="H71" s="241"/>
      <c r="I71" s="1868"/>
      <c r="J71" s="1868"/>
      <c r="K71" s="1868"/>
      <c r="L71" s="1868"/>
      <c r="M71" s="1255"/>
    </row>
    <row r="72" spans="1:13" ht="32.25" customHeight="1" thickBot="1">
      <c r="A72" s="1746" t="s">
        <v>1083</v>
      </c>
      <c r="B72" s="88"/>
      <c r="C72" s="1344"/>
      <c r="D72" s="39"/>
      <c r="E72" s="1253"/>
      <c r="F72" s="1254"/>
      <c r="G72" s="1254"/>
      <c r="H72" s="1254"/>
      <c r="I72" s="1892"/>
      <c r="J72" s="1892"/>
      <c r="K72" s="1892"/>
      <c r="L72" s="1892"/>
      <c r="M72" s="1255"/>
    </row>
    <row r="73" spans="1:13" ht="27.75">
      <c r="A73" s="1748" t="s">
        <v>1032</v>
      </c>
      <c r="B73" s="1749" t="s">
        <v>1033</v>
      </c>
      <c r="C73" s="1772" t="s">
        <v>1054</v>
      </c>
      <c r="D73" s="146"/>
      <c r="E73" s="1254"/>
      <c r="F73" s="1254"/>
      <c r="G73" s="1927"/>
      <c r="H73" s="1254"/>
      <c r="I73" s="1927"/>
      <c r="J73" s="287"/>
      <c r="K73" s="287"/>
      <c r="L73" s="287"/>
      <c r="M73" s="1255"/>
    </row>
    <row r="74" spans="1:13" ht="15" customHeight="1">
      <c r="A74" s="1972" t="s">
        <v>429</v>
      </c>
      <c r="B74" s="1949" t="s">
        <v>1034</v>
      </c>
      <c r="C74" s="224">
        <v>1703.8109999999999</v>
      </c>
      <c r="D74" s="1939"/>
      <c r="E74" s="1254"/>
      <c r="F74" s="1254"/>
      <c r="G74" s="1894"/>
      <c r="H74" s="174"/>
      <c r="I74" s="174"/>
      <c r="J74" s="174"/>
      <c r="K74" s="174"/>
      <c r="L74" s="174"/>
      <c r="M74" s="1255"/>
    </row>
    <row r="75" spans="1:13" ht="13.5" thickBot="1">
      <c r="A75" s="1973">
        <v>705</v>
      </c>
      <c r="B75" s="1950" t="s">
        <v>1035</v>
      </c>
      <c r="C75" s="228">
        <v>7486.9040000000005</v>
      </c>
      <c r="D75" s="1939"/>
      <c r="E75" s="1254"/>
      <c r="F75" s="1254"/>
      <c r="G75" s="174"/>
      <c r="H75" s="286"/>
      <c r="I75" s="174"/>
      <c r="J75" s="174"/>
      <c r="K75" s="174"/>
      <c r="L75" s="174"/>
      <c r="M75" s="1255"/>
    </row>
    <row r="76" spans="1:13" ht="13.5" thickBot="1">
      <c r="A76" s="1380"/>
      <c r="B76" s="1379"/>
      <c r="C76" s="148"/>
      <c r="D76" s="1494"/>
      <c r="E76" s="1254"/>
      <c r="F76" s="1254"/>
      <c r="G76" s="1254"/>
      <c r="H76" s="1254"/>
      <c r="I76" s="1928"/>
      <c r="J76" s="1928"/>
      <c r="K76" s="1928"/>
      <c r="L76" s="1928"/>
      <c r="M76" s="1255"/>
    </row>
    <row r="77" spans="1:13" ht="21" customHeight="1">
      <c r="A77" s="1750" t="s">
        <v>484</v>
      </c>
      <c r="B77" s="1751" t="s">
        <v>1053</v>
      </c>
      <c r="C77" s="1929" t="s">
        <v>1054</v>
      </c>
      <c r="D77" s="1494"/>
      <c r="E77" s="1254"/>
      <c r="F77" s="1254"/>
      <c r="G77" s="2209"/>
      <c r="H77" s="2209"/>
      <c r="I77" s="2209"/>
      <c r="J77" s="2209"/>
      <c r="K77" s="1928"/>
      <c r="L77" s="1928"/>
      <c r="M77" s="1255"/>
    </row>
    <row r="78" spans="1:13" ht="15" customHeight="1">
      <c r="A78" s="1974">
        <v>710</v>
      </c>
      <c r="B78" s="1166" t="s">
        <v>1089</v>
      </c>
      <c r="C78" s="224">
        <v>5182.3459999999995</v>
      </c>
      <c r="D78" s="1939"/>
      <c r="E78" s="1254"/>
      <c r="F78" s="1254"/>
      <c r="G78" s="2209"/>
      <c r="H78" s="2209"/>
      <c r="I78" s="2209"/>
      <c r="J78" s="2209"/>
      <c r="K78" s="1928"/>
      <c r="L78" s="1928"/>
      <c r="M78" s="1255"/>
    </row>
    <row r="79" spans="1:13" ht="15" customHeight="1">
      <c r="A79" s="1951" t="s">
        <v>1037</v>
      </c>
      <c r="B79" s="1160" t="s">
        <v>1068</v>
      </c>
      <c r="C79" s="224">
        <v>1467.9839999999999</v>
      </c>
      <c r="D79" s="1939"/>
      <c r="E79" s="1254"/>
      <c r="F79" s="1254"/>
      <c r="G79" s="2209"/>
      <c r="H79" s="2209"/>
      <c r="I79" s="2209"/>
      <c r="J79" s="2209"/>
      <c r="K79" s="1928"/>
      <c r="L79" s="1928"/>
      <c r="M79" s="1255"/>
    </row>
    <row r="80" spans="1:13" ht="15" customHeight="1">
      <c r="A80" s="1951" t="s">
        <v>1038</v>
      </c>
      <c r="B80" s="1160" t="s">
        <v>1069</v>
      </c>
      <c r="C80" s="224">
        <v>53.82</v>
      </c>
      <c r="D80" s="1939"/>
      <c r="E80" s="1254"/>
      <c r="F80" s="1254"/>
      <c r="G80" s="2209"/>
      <c r="H80" s="2209"/>
      <c r="I80" s="2209"/>
      <c r="J80" s="2209"/>
      <c r="K80" s="1928"/>
      <c r="L80" s="1928"/>
      <c r="M80" s="1255"/>
    </row>
    <row r="81" spans="1:13" ht="15" customHeight="1">
      <c r="A81" s="1951" t="s">
        <v>1039</v>
      </c>
      <c r="B81" s="1160" t="s">
        <v>1070</v>
      </c>
      <c r="C81" s="224">
        <v>2930.5830000000001</v>
      </c>
      <c r="D81" s="1939"/>
      <c r="E81" s="1254"/>
      <c r="F81" s="1254"/>
      <c r="G81" s="2209"/>
      <c r="H81" s="2209"/>
      <c r="I81" s="2209"/>
      <c r="J81" s="2209"/>
      <c r="K81" s="1928"/>
      <c r="L81" s="1928"/>
      <c r="M81" s="1255"/>
    </row>
    <row r="82" spans="1:13" ht="15" customHeight="1" thickBot="1">
      <c r="A82" s="2155" t="s">
        <v>1043</v>
      </c>
      <c r="B82" s="1708" t="s">
        <v>1071</v>
      </c>
      <c r="C82" s="1925">
        <f>C78-C79-C80-C81</f>
        <v>729.95899999999938</v>
      </c>
      <c r="D82" s="1697"/>
      <c r="E82" s="1254"/>
      <c r="F82" s="1254"/>
      <c r="G82" s="2209"/>
      <c r="H82" s="2209"/>
      <c r="I82" s="2209"/>
      <c r="J82" s="2209"/>
      <c r="K82" s="1928"/>
      <c r="L82" s="1928"/>
      <c r="M82" s="1255"/>
    </row>
    <row r="83" spans="1:13">
      <c r="A83" s="1380"/>
      <c r="B83" s="1379"/>
      <c r="C83" s="148"/>
      <c r="D83" s="1494"/>
      <c r="E83" s="1254"/>
      <c r="F83" s="1254"/>
      <c r="G83" s="2209"/>
      <c r="H83" s="2209"/>
      <c r="I83" s="2209"/>
      <c r="J83" s="2209"/>
      <c r="K83" s="1928"/>
      <c r="L83" s="1928"/>
      <c r="M83" s="1255"/>
    </row>
    <row r="84" spans="1:13" ht="19.5" customHeight="1">
      <c r="A84" s="2461" t="s">
        <v>1056</v>
      </c>
      <c r="B84" s="2464"/>
      <c r="C84" s="2465"/>
      <c r="D84" s="2465"/>
      <c r="E84" s="2465"/>
      <c r="F84" s="2465"/>
      <c r="G84" s="2465"/>
      <c r="H84" s="2465"/>
      <c r="I84" s="2465"/>
      <c r="J84" s="2465"/>
      <c r="K84" s="2465"/>
      <c r="L84" s="1928"/>
      <c r="M84" s="1255"/>
    </row>
    <row r="85" spans="1:13">
      <c r="A85" s="2465"/>
      <c r="B85" s="2465"/>
      <c r="C85" s="2465"/>
      <c r="D85" s="2465"/>
      <c r="E85" s="2465"/>
      <c r="F85" s="2465"/>
      <c r="G85" s="2465"/>
      <c r="H85" s="2465"/>
      <c r="I85" s="2465"/>
      <c r="J85" s="2465"/>
      <c r="K85" s="2465"/>
      <c r="L85" s="1928"/>
      <c r="M85" s="1255"/>
    </row>
    <row r="86" spans="1:13">
      <c r="A86" s="1761" t="s">
        <v>1084</v>
      </c>
      <c r="B86" s="1766"/>
      <c r="C86" s="1767"/>
      <c r="D86" s="1768"/>
      <c r="E86" s="1768"/>
      <c r="F86" s="1758"/>
      <c r="G86" s="1769"/>
      <c r="H86" s="1770"/>
      <c r="I86" s="1771"/>
      <c r="J86" s="1253"/>
      <c r="K86" s="1253"/>
      <c r="L86" s="1253"/>
      <c r="M86" s="1255"/>
    </row>
    <row r="87" spans="1:13">
      <c r="A87" s="1761" t="s">
        <v>1040</v>
      </c>
      <c r="B87" s="1766"/>
      <c r="C87" s="1767"/>
      <c r="D87" s="1768"/>
      <c r="E87" s="1768"/>
      <c r="F87" s="1758"/>
      <c r="G87" s="1769"/>
      <c r="H87" s="1770"/>
      <c r="I87" s="1771"/>
      <c r="J87" s="1253"/>
      <c r="K87" s="1253"/>
      <c r="L87" s="1253"/>
      <c r="M87" s="1255"/>
    </row>
    <row r="88" spans="1:13" ht="21.75" customHeight="1" thickBot="1">
      <c r="A88" s="1761" t="s">
        <v>1115</v>
      </c>
      <c r="B88" s="1766"/>
      <c r="C88" s="1767"/>
      <c r="D88" s="1768"/>
      <c r="E88" s="1768"/>
      <c r="F88" s="1758"/>
      <c r="G88" s="1769"/>
      <c r="H88" s="1770"/>
      <c r="I88" s="1771"/>
      <c r="J88" s="1253"/>
      <c r="K88" s="1253"/>
      <c r="L88" s="1253"/>
      <c r="M88" s="1255"/>
    </row>
    <row r="89" spans="1:13" ht="21.75" customHeight="1">
      <c r="A89" s="1754" t="s">
        <v>484</v>
      </c>
      <c r="B89" s="1760" t="s">
        <v>1041</v>
      </c>
      <c r="C89" s="1953" t="s">
        <v>1042</v>
      </c>
      <c r="D89" s="1954" t="s">
        <v>1042</v>
      </c>
      <c r="E89" s="1254"/>
      <c r="F89" s="1254"/>
      <c r="G89" s="1927"/>
      <c r="H89" s="1254"/>
      <c r="I89" s="1927"/>
      <c r="J89" s="287"/>
      <c r="K89" s="287"/>
      <c r="L89" s="287"/>
      <c r="M89" s="1255"/>
    </row>
    <row r="90" spans="1:13">
      <c r="A90" s="1753"/>
      <c r="B90" s="1762"/>
      <c r="C90" s="2037" t="s">
        <v>939</v>
      </c>
      <c r="D90" s="1955" t="s">
        <v>939</v>
      </c>
      <c r="E90" s="1254"/>
      <c r="F90" s="1254"/>
      <c r="G90" s="1895"/>
      <c r="H90" s="174"/>
      <c r="I90" s="174"/>
      <c r="J90" s="174"/>
      <c r="K90" s="174"/>
      <c r="L90" s="174"/>
      <c r="M90" s="1255"/>
    </row>
    <row r="91" spans="1:13">
      <c r="A91" s="1753"/>
      <c r="B91" s="1755"/>
      <c r="C91" s="2038" t="s">
        <v>1116</v>
      </c>
      <c r="D91" s="1956" t="s">
        <v>857</v>
      </c>
      <c r="E91" s="1254"/>
      <c r="F91" s="1254"/>
      <c r="G91" s="174"/>
      <c r="H91" s="174"/>
      <c r="I91" s="174"/>
      <c r="J91" s="174"/>
      <c r="K91" s="174"/>
      <c r="L91" s="174"/>
      <c r="M91" s="1255"/>
    </row>
    <row r="92" spans="1:13" ht="39.75" customHeight="1">
      <c r="A92" s="1753"/>
      <c r="B92" s="1762"/>
      <c r="C92" s="2039" t="s">
        <v>1117</v>
      </c>
      <c r="D92" s="2024" t="s">
        <v>1057</v>
      </c>
      <c r="E92" s="1254"/>
      <c r="F92" s="1254"/>
      <c r="G92" s="1254"/>
      <c r="H92" s="1254"/>
      <c r="I92" s="1928"/>
      <c r="J92" s="1928"/>
      <c r="K92" s="1928"/>
      <c r="L92" s="1928"/>
      <c r="M92" s="1255"/>
    </row>
    <row r="93" spans="1:13">
      <c r="A93" s="1753"/>
      <c r="B93" s="1756"/>
      <c r="C93" s="1957" t="s">
        <v>1054</v>
      </c>
      <c r="D93" s="1958" t="s">
        <v>1054</v>
      </c>
      <c r="E93" s="1940"/>
      <c r="F93" s="1254"/>
      <c r="G93" s="1254"/>
      <c r="H93" s="1254"/>
      <c r="I93" s="1928"/>
      <c r="J93" s="1928"/>
      <c r="K93" s="1928"/>
      <c r="L93" s="1928"/>
      <c r="M93" s="1255"/>
    </row>
    <row r="94" spans="1:13">
      <c r="A94" s="1974" t="s">
        <v>1045</v>
      </c>
      <c r="B94" s="1160" t="s">
        <v>1044</v>
      </c>
      <c r="C94" s="1763">
        <v>38975.898999999998</v>
      </c>
      <c r="D94" s="1747">
        <v>409.33600000000001</v>
      </c>
      <c r="E94" s="2040"/>
      <c r="F94" s="1254"/>
      <c r="G94" s="1254"/>
      <c r="H94" s="1254"/>
      <c r="I94" s="1928"/>
      <c r="J94" s="1928"/>
      <c r="K94" s="1928"/>
      <c r="L94" s="1928"/>
      <c r="M94" s="1255"/>
    </row>
    <row r="95" spans="1:13">
      <c r="A95" s="1974" t="s">
        <v>1047</v>
      </c>
      <c r="B95" s="1160" t="s">
        <v>1046</v>
      </c>
      <c r="C95" s="1763">
        <v>15361.234</v>
      </c>
      <c r="D95" s="1747">
        <v>201.53800000000001</v>
      </c>
      <c r="E95" s="2040"/>
      <c r="F95" s="1254"/>
      <c r="G95" s="1254"/>
      <c r="H95" s="1254"/>
      <c r="I95" s="1928"/>
      <c r="J95" s="1928"/>
      <c r="K95" s="1928"/>
      <c r="L95" s="1928"/>
      <c r="M95" s="1255"/>
    </row>
    <row r="96" spans="1:13">
      <c r="A96" s="1974" t="s">
        <v>1049</v>
      </c>
      <c r="B96" s="1160" t="s">
        <v>1048</v>
      </c>
      <c r="C96" s="1763">
        <v>1997.3779999999999</v>
      </c>
      <c r="D96" s="1747">
        <v>64.757000000000005</v>
      </c>
      <c r="E96" s="2040"/>
      <c r="F96" s="1254"/>
      <c r="G96" s="2209"/>
      <c r="H96" s="2209"/>
      <c r="I96" s="2209"/>
      <c r="J96" s="2209"/>
      <c r="K96" s="1928"/>
      <c r="L96" s="1928"/>
      <c r="M96" s="1255"/>
    </row>
    <row r="97" spans="1:13" ht="13.5" thickBot="1">
      <c r="A97" s="1975" t="s">
        <v>1051</v>
      </c>
      <c r="B97" s="1762" t="s">
        <v>1050</v>
      </c>
      <c r="C97" s="1764">
        <v>5270.277</v>
      </c>
      <c r="D97" s="1765">
        <v>43.558999999999997</v>
      </c>
      <c r="E97" s="2040"/>
      <c r="F97" s="1254"/>
      <c r="G97" s="2209"/>
      <c r="H97" s="2209"/>
      <c r="I97" s="2209"/>
      <c r="J97" s="2209"/>
      <c r="K97" s="1718"/>
      <c r="L97" s="1718"/>
      <c r="M97" s="1255"/>
    </row>
    <row r="98" spans="1:13" ht="13.5" thickBot="1">
      <c r="A98" s="1977" t="s">
        <v>1075</v>
      </c>
      <c r="B98" s="1952" t="s">
        <v>1052</v>
      </c>
      <c r="C98" s="1759">
        <f>SUM(C94:C97)</f>
        <v>61604.788</v>
      </c>
      <c r="D98" s="1757">
        <f>SUM(D94:D97)</f>
        <v>719.19</v>
      </c>
      <c r="E98" s="2041"/>
      <c r="F98" s="1254"/>
      <c r="G98" s="2209"/>
      <c r="H98" s="2209"/>
      <c r="I98" s="2209"/>
      <c r="J98" s="2209"/>
      <c r="K98" s="1718"/>
      <c r="L98" s="1718"/>
      <c r="M98" s="1255"/>
    </row>
    <row r="99" spans="1:13">
      <c r="A99" s="1380"/>
      <c r="B99" s="1379"/>
      <c r="C99" s="148"/>
      <c r="D99" s="67"/>
      <c r="E99" s="1254"/>
      <c r="F99" s="1254"/>
      <c r="G99" s="1926" t="s">
        <v>466</v>
      </c>
      <c r="H99" s="1254"/>
      <c r="I99" s="1928"/>
      <c r="J99" s="1928"/>
      <c r="K99" s="1928"/>
      <c r="L99" s="1928"/>
      <c r="M99" s="1255"/>
    </row>
    <row r="100" spans="1:13">
      <c r="A100" s="1380"/>
      <c r="B100" s="1379"/>
      <c r="C100" s="148"/>
      <c r="D100" s="67"/>
      <c r="E100" s="1254"/>
      <c r="F100" s="1254"/>
      <c r="G100" s="1254"/>
      <c r="H100" s="1254"/>
      <c r="I100" s="1928"/>
      <c r="J100" s="1928"/>
      <c r="K100" s="1928"/>
      <c r="L100" s="1928"/>
      <c r="M100" s="1255"/>
    </row>
    <row r="101" spans="1:13">
      <c r="A101" s="1380"/>
      <c r="B101" s="1379"/>
      <c r="C101" s="148"/>
      <c r="D101" s="67"/>
      <c r="E101" s="1254"/>
      <c r="F101" s="1254"/>
      <c r="G101" s="1254"/>
      <c r="H101" s="1254"/>
      <c r="I101" s="1928"/>
      <c r="J101" s="1928"/>
      <c r="K101" s="1928"/>
      <c r="L101" s="1928"/>
      <c r="M101" s="1255"/>
    </row>
    <row r="102" spans="1:13">
      <c r="A102" s="1380"/>
      <c r="B102" s="1379"/>
      <c r="C102" s="148"/>
      <c r="D102" s="67"/>
      <c r="E102" s="1254"/>
      <c r="F102" s="1254"/>
      <c r="G102" s="1254"/>
      <c r="H102" s="1254"/>
      <c r="I102" s="1928"/>
      <c r="J102" s="1928"/>
      <c r="K102" s="1928"/>
      <c r="L102" s="1928"/>
      <c r="M102" s="1255"/>
    </row>
    <row r="103" spans="1:13">
      <c r="A103" s="1380"/>
      <c r="B103" s="1379"/>
      <c r="C103" s="148"/>
      <c r="D103" s="67"/>
      <c r="E103" s="1254"/>
      <c r="F103" s="1254"/>
      <c r="G103" s="1254"/>
      <c r="H103" s="1254"/>
      <c r="I103" s="1928"/>
      <c r="J103" s="1928"/>
      <c r="K103" s="1928"/>
      <c r="L103" s="1928"/>
      <c r="M103" s="1255"/>
    </row>
    <row r="104" spans="1:13">
      <c r="A104" s="1380"/>
      <c r="B104" s="1379"/>
      <c r="C104" s="148"/>
      <c r="D104" s="67"/>
      <c r="E104" s="1254"/>
      <c r="F104" s="1254"/>
      <c r="G104" s="1254"/>
      <c r="H104" s="1254"/>
      <c r="I104" s="1255"/>
      <c r="J104" s="1255"/>
      <c r="K104" s="1255"/>
      <c r="L104" s="1255"/>
      <c r="M104" s="1255"/>
    </row>
    <row r="105" spans="1:13" ht="14.25" hidden="1" customHeight="1">
      <c r="A105" s="1380"/>
      <c r="B105" s="1379"/>
      <c r="C105" s="148"/>
      <c r="D105" s="67"/>
      <c r="E105" s="1254"/>
      <c r="F105" s="1254"/>
      <c r="G105" s="1254"/>
      <c r="H105" s="1254"/>
      <c r="J105" s="170"/>
      <c r="K105" s="170"/>
    </row>
    <row r="106" spans="1:13" ht="14.25" hidden="1" customHeight="1">
      <c r="A106" s="1380"/>
      <c r="B106" s="1379"/>
      <c r="C106" s="148"/>
      <c r="D106" s="67"/>
      <c r="E106" s="1254"/>
      <c r="F106" s="1254"/>
      <c r="G106" s="1254"/>
      <c r="H106" s="1254"/>
      <c r="I106" s="146"/>
      <c r="J106" s="146"/>
      <c r="K106" s="147"/>
    </row>
    <row r="107" spans="1:13" ht="14.25" hidden="1" customHeight="1">
      <c r="A107" s="4"/>
      <c r="B107" s="4"/>
      <c r="C107" s="4"/>
      <c r="D107" s="4"/>
      <c r="E107" s="4"/>
      <c r="F107" s="4"/>
      <c r="G107" s="4"/>
      <c r="H107" s="4"/>
      <c r="J107" s="145"/>
      <c r="K107" s="147"/>
    </row>
    <row r="108" spans="1:13" ht="14.25" hidden="1" customHeight="1">
      <c r="A108" s="170"/>
      <c r="B108" s="170"/>
      <c r="C108" s="170"/>
      <c r="D108" s="170"/>
      <c r="E108" s="170"/>
      <c r="F108" s="170"/>
      <c r="G108" s="170"/>
      <c r="H108" s="170"/>
      <c r="I108" s="146"/>
      <c r="J108" s="146"/>
      <c r="K108" s="147"/>
    </row>
    <row r="109" spans="1:13" ht="14.25" hidden="1" customHeight="1">
      <c r="A109" s="242"/>
      <c r="B109" s="145"/>
      <c r="C109" s="146"/>
      <c r="D109" s="146"/>
      <c r="E109" s="146"/>
      <c r="F109" s="146"/>
      <c r="G109" s="146"/>
      <c r="H109" s="146"/>
      <c r="I109" s="146"/>
      <c r="J109" s="146"/>
      <c r="K109" s="147"/>
    </row>
    <row r="110" spans="1:13" ht="14.25" hidden="1" customHeight="1">
      <c r="A110" s="242"/>
      <c r="B110" s="145"/>
      <c r="C110" s="146"/>
      <c r="D110" s="146"/>
      <c r="E110" s="146"/>
      <c r="F110" s="146"/>
      <c r="G110" s="146"/>
      <c r="H110" s="146"/>
      <c r="I110" s="146"/>
      <c r="J110" s="146"/>
      <c r="K110" s="147"/>
    </row>
    <row r="111" spans="1:13" ht="14.25" hidden="1" customHeight="1">
      <c r="A111" s="242"/>
      <c r="B111" s="145"/>
      <c r="C111" s="146"/>
      <c r="D111" s="146"/>
      <c r="E111" s="146"/>
      <c r="F111" s="146"/>
      <c r="G111" s="146"/>
      <c r="H111" s="146"/>
      <c r="J111" s="145"/>
      <c r="K111" s="147"/>
    </row>
    <row r="112" spans="1:13" ht="14.25" hidden="1" customHeight="1">
      <c r="A112" s="242"/>
      <c r="B112" s="145"/>
      <c r="C112" s="146"/>
      <c r="D112" s="146"/>
      <c r="E112" s="146"/>
      <c r="F112" s="146"/>
      <c r="G112" s="146"/>
      <c r="H112" s="146"/>
      <c r="J112" s="170"/>
      <c r="K112" s="170"/>
    </row>
    <row r="113" spans="1:11" ht="14.25" hidden="1" customHeight="1">
      <c r="A113" s="147"/>
      <c r="B113" s="145"/>
      <c r="C113" s="145"/>
      <c r="D113" s="145"/>
      <c r="E113" s="145"/>
      <c r="F113" s="145"/>
      <c r="G113" s="146"/>
      <c r="H113" s="146"/>
      <c r="J113" s="170"/>
      <c r="K113" s="170"/>
    </row>
    <row r="114" spans="1:11" ht="14.25" hidden="1" customHeight="1">
      <c r="A114" s="145"/>
      <c r="B114" s="145"/>
      <c r="C114" s="145"/>
      <c r="D114" s="145"/>
      <c r="E114" s="145"/>
      <c r="F114" s="145"/>
      <c r="G114" s="145"/>
      <c r="H114" s="145"/>
      <c r="J114" s="170"/>
      <c r="K114" s="170"/>
    </row>
    <row r="115" spans="1:11">
      <c r="A115" s="170"/>
      <c r="B115" s="170"/>
      <c r="C115" s="170"/>
      <c r="D115" s="170"/>
      <c r="E115" s="170"/>
      <c r="F115" s="170"/>
      <c r="G115" s="170"/>
      <c r="H115" s="170"/>
    </row>
    <row r="116" spans="1:11">
      <c r="A116" s="170"/>
      <c r="B116" s="170"/>
      <c r="C116" s="170"/>
      <c r="D116" s="170"/>
      <c r="E116" s="170"/>
      <c r="F116" s="170"/>
      <c r="G116" s="170"/>
      <c r="H116" s="170"/>
    </row>
    <row r="117" spans="1:11">
      <c r="A117" s="170"/>
      <c r="B117" s="170"/>
      <c r="C117" s="170"/>
      <c r="D117" s="170"/>
      <c r="E117" s="170"/>
      <c r="F117" s="170"/>
      <c r="G117" s="170"/>
      <c r="H117" s="170"/>
    </row>
    <row r="118" spans="1:11"/>
    <row r="119" spans="1:11"/>
    <row r="120" spans="1:11" hidden="1"/>
    <row r="121" spans="1:11" hidden="1"/>
    <row r="122" spans="1:11" hidden="1"/>
  </sheetData>
  <sheetProtection algorithmName="SHA-512" hashValue="W3ey69Suu2BxPEShUjfQsFWoV3uAMqTR1sV4MWIb5955lEV553YvigSP7+VwWKgydRle6mU2e0cPq5STkS4KBg==" saltValue="WAHxFUIo09M7w9JDB4CA7g==" spinCount="100000" sheet="1" objects="1" scenarios="1"/>
  <customSheetViews>
    <customSheetView guid="{27C9E95B-0E2B-454F-B637-1CECC9579A10}" showGridLines="0" fitToPage="1" hiddenRows="1" hiddenColumns="1" showRuler="0" topLeftCell="A46">
      <selection activeCell="C16" sqref="C16"/>
      <pageMargins left="0.70866141732283472" right="0.70866141732283472" top="0.74803149606299213" bottom="0.35433070866141736" header="0.31496062992125984" footer="0.31496062992125984"/>
      <pageSetup paperSize="9" scale="73" orientation="portrait" r:id="rId1"/>
      <headerFooter alignWithMargins="0">
        <oddHeader>&amp;L&amp;8Statistiska Centralbyrå
Offentlig ekonomi&amp;R&amp;P</oddHeader>
      </headerFooter>
    </customSheetView>
    <customSheetView guid="{99FBDEB7-DD08-4F57-81F4-3C180403E153}" showGridLines="0" fitToPage="1" hiddenRows="1" hiddenColumns="1" topLeftCell="A22">
      <selection activeCell="B37" sqref="B37"/>
      <pageMargins left="0.70866141732283472" right="0.70866141732283472" top="0.74803149606299213" bottom="0.35433070866141736" header="0.31496062992125984" footer="0.31496062992125984"/>
      <pageSetup paperSize="9" scale="73" orientation="portrait" r:id="rId2"/>
      <headerFooter>
        <oddHeader>&amp;L&amp;8Statistiska Centralbyrå
Offentlig ekonomi&amp;R&amp;P</oddHeader>
      </headerFooter>
    </customSheetView>
    <customSheetView guid="{97D6DB71-3F4C-4C5F-8C5B-51E3EBF78932}" showPageBreaks="1" showGridLines="0" fitToPage="1" hiddenRows="1" hiddenColumns="1" topLeftCell="A34">
      <selection activeCell="B37" sqref="B37"/>
      <pageMargins left="0.70866141732283472" right="0.70866141732283472" top="0.74803149606299213" bottom="0.35433070866141736" header="0.31496062992125984" footer="0.31496062992125984"/>
      <pageSetup paperSize="9" scale="70" orientation="portrait" r:id="rId3"/>
      <headerFooter>
        <oddHeader>&amp;L&amp;8Statistiska Centralbyrå
Offentlig ekonomi&amp;R&amp;P</oddHeader>
      </headerFooter>
    </customSheetView>
  </customSheetViews>
  <mergeCells count="5">
    <mergeCell ref="E4:E5"/>
    <mergeCell ref="D4:D5"/>
    <mergeCell ref="C4:C5"/>
    <mergeCell ref="A70:F70"/>
    <mergeCell ref="A84:K85"/>
  </mergeCells>
  <phoneticPr fontId="87" type="noConversion"/>
  <conditionalFormatting sqref="C74:C77 C34:F35 C37:F39 C42:F46 C48:F48 C50:F53 C55:F57 C59:F62 C65:F65 C86:C106 D98 C83 C25:H25 H65 H59:H62 H55:H57 H50:H53 H48 H42:H46 H37:H39 H34:H35 C26:F32 H26:H32 G26:G65">
    <cfRule type="cellIs" dxfId="105" priority="10" stopIfTrue="1" operator="lessThan">
      <formula>-500</formula>
    </cfRule>
  </conditionalFormatting>
  <conditionalFormatting sqref="D8:F8 D10:F11">
    <cfRule type="cellIs" dxfId="104" priority="12" stopIfTrue="1" operator="greaterThan">
      <formula>1</formula>
    </cfRule>
  </conditionalFormatting>
  <conditionalFormatting sqref="D7:F7 D9:F9">
    <cfRule type="cellIs" dxfId="103" priority="13" stopIfTrue="1" operator="lessThan">
      <formula>-1</formula>
    </cfRule>
  </conditionalFormatting>
  <conditionalFormatting sqref="C78:C82">
    <cfRule type="cellIs" dxfId="102" priority="7" stopIfTrue="1" operator="lessThan">
      <formula>-10</formula>
    </cfRule>
  </conditionalFormatting>
  <conditionalFormatting sqref="C8 C10:C11">
    <cfRule type="cellIs" dxfId="101" priority="4" stopIfTrue="1" operator="greaterThan">
      <formula>1</formula>
    </cfRule>
  </conditionalFormatting>
  <conditionalFormatting sqref="C7 C9">
    <cfRule type="cellIs" dxfId="100" priority="5" stopIfTrue="1" operator="lessThan">
      <formula>-1</formula>
    </cfRule>
  </conditionalFormatting>
  <dataValidations count="3">
    <dataValidation type="decimal" operator="lessThan" allowBlank="1" showInputMessage="1" showErrorMessage="1" error="Beloppet ska vara i 1000 tal kronor" sqref="H37:H39 H42:H46 H50:H53 H55:H57 H59:H62 H25:H32 H65 C12:H14 D98 C98:C106 C76 C86:C88 H48 C59:F62 C55:F57 C50:F53 H34:H35 C42:F46 C37:F39 C34:F35 C48:F48 C65:F65 C25:F32 C9:H9 C82:C83 G7:H7 C6:F7">
      <formula1>99999999</formula1>
    </dataValidation>
    <dataValidation type="decimal" operator="lessThanOrEqual" allowBlank="1" showInputMessage="1" showErrorMessage="1" error="Minustecken måste anges" sqref="C10:H11 C8:H8">
      <formula1>0</formula1>
    </dataValidation>
    <dataValidation type="decimal" allowBlank="1" showInputMessage="1" showErrorMessage="1" error="Beloppet ska vara utan minustecken och i tusental kronor" sqref="C78:C81 C74:C75 C94:D97">
      <formula1>0</formula1>
      <formula2>99999999</formula2>
    </dataValidation>
  </dataValidations>
  <pageMargins left="0.70866141732283472" right="0.70866141732283472" top="0.74803149606299213" bottom="0.35433070866141736" header="0.31496062992125984" footer="0.31496062992125984"/>
  <pageSetup paperSize="9" scale="64" orientation="portrait" r:id="rId4"/>
  <headerFooter>
    <oddHeader>&amp;L&amp;8Statistiska Centralbyrå
Offentlig ekonomi&amp;R&amp;P</oddHeader>
  </headerFooter>
  <ignoredErrors>
    <ignoredError sqref="A6:A15 A25:A66 A74:A82 A94:A98" numberStoredAsText="1"/>
  </ignoredError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tabColor rgb="FFFFFF00"/>
  </sheetPr>
  <dimension ref="A1:AH304"/>
  <sheetViews>
    <sheetView showGridLines="0" zoomScaleNormal="100" workbookViewId="0">
      <pane xSplit="2" ySplit="10" topLeftCell="C11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0" defaultRowHeight="12.75" zeroHeight="1"/>
  <cols>
    <col min="1" max="1" width="3.85546875" style="205" customWidth="1"/>
    <col min="2" max="2" width="30.140625" style="205" customWidth="1"/>
    <col min="3" max="3" width="10.140625" style="205" customWidth="1"/>
    <col min="4" max="4" width="9.7109375" style="205" customWidth="1"/>
    <col min="5" max="5" width="8.7109375" style="205" customWidth="1"/>
    <col min="6" max="6" width="9.7109375" style="205" customWidth="1"/>
    <col min="7" max="7" width="11.140625" style="205" customWidth="1"/>
    <col min="8" max="8" width="9.7109375" style="205" customWidth="1"/>
    <col min="9" max="10" width="8.7109375" style="205" customWidth="1"/>
    <col min="11" max="11" width="1.28515625" style="205" customWidth="1"/>
    <col min="12" max="14" width="8.7109375" style="205" customWidth="1"/>
    <col min="15" max="15" width="9.42578125" style="205" customWidth="1"/>
    <col min="16" max="16" width="10" style="205" customWidth="1"/>
    <col min="17" max="17" width="3.7109375" style="205" customWidth="1"/>
    <col min="18" max="19" width="8.7109375" style="205" customWidth="1"/>
    <col min="20" max="20" width="10.85546875" style="205" customWidth="1"/>
    <col min="21" max="21" width="2.28515625" style="205" customWidth="1"/>
    <col min="22" max="22" width="8.7109375" style="205" customWidth="1"/>
    <col min="23" max="23" width="10.5703125" style="205" customWidth="1"/>
    <col min="24" max="24" width="2.28515625" style="205" customWidth="1"/>
    <col min="25" max="25" width="11.7109375" style="205" customWidth="1"/>
    <col min="26" max="26" width="9.140625" style="205" customWidth="1"/>
    <col min="27" max="27" width="8.7109375" style="205" customWidth="1"/>
    <col min="28" max="28" width="8.7109375" style="144" customWidth="1"/>
    <col min="29" max="29" width="7.28515625" style="144" customWidth="1"/>
    <col min="30" max="30" width="1" style="170" customWidth="1"/>
    <col min="31" max="31" width="6.85546875" style="421" hidden="1" customWidth="1"/>
    <col min="32" max="32" width="10.42578125" style="170" customWidth="1"/>
    <col min="33" max="33" width="10.140625" style="170" customWidth="1"/>
    <col min="34" max="34" width="0.140625" style="170" customWidth="1"/>
    <col min="35" max="36" width="9.140625" style="170" customWidth="1"/>
    <col min="37" max="16384" width="0" style="170" hidden="1"/>
  </cols>
  <sheetData>
    <row r="1" spans="1:34" ht="21.75" customHeight="1">
      <c r="A1" s="169"/>
      <c r="B1" s="78"/>
      <c r="C1" s="77" t="str">
        <f>"Driftredovisning "&amp;År&amp;", miljoner kr"</f>
        <v>Driftredovisning 2019, miljoner kr</v>
      </c>
      <c r="D1" s="78"/>
      <c r="E1" s="78"/>
      <c r="F1" s="169"/>
      <c r="G1" s="169"/>
      <c r="H1" s="169"/>
      <c r="I1" s="516" t="s">
        <v>466</v>
      </c>
      <c r="J1" s="517" t="str">
        <f>'Kn Information'!A2</f>
        <v>RIKSTOTAL</v>
      </c>
      <c r="K1" s="197"/>
      <c r="L1" s="169"/>
      <c r="M1" s="169"/>
      <c r="N1" s="169"/>
      <c r="O1" s="169"/>
      <c r="P1" s="169"/>
      <c r="Q1" s="169"/>
      <c r="R1" s="77" t="str">
        <f>"Driftredovisning "&amp;År&amp;", miljoner kr"</f>
        <v>Driftredovisning 2019, miljoner kr</v>
      </c>
      <c r="S1" s="169"/>
      <c r="T1" s="169"/>
      <c r="U1" s="169"/>
      <c r="V1" s="169"/>
      <c r="W1" s="169"/>
      <c r="X1" s="169"/>
      <c r="Y1" s="516" t="s">
        <v>466</v>
      </c>
      <c r="Z1" s="517" t="str">
        <f>'Kn Information'!A2</f>
        <v>RIKSTOTAL</v>
      </c>
      <c r="AA1" s="169"/>
      <c r="AB1" s="418"/>
      <c r="AC1" s="418"/>
      <c r="AD1" s="169"/>
      <c r="AE1" s="418"/>
      <c r="AF1" s="169"/>
      <c r="AG1" s="169"/>
    </row>
    <row r="2" spans="1:34" ht="12.75" customHeight="1">
      <c r="A2" s="2209"/>
      <c r="B2" s="2209"/>
      <c r="C2" s="2209"/>
      <c r="D2" s="2209"/>
      <c r="E2" s="2209"/>
      <c r="F2" s="2209"/>
      <c r="G2" s="2209"/>
      <c r="H2" s="2209"/>
      <c r="I2" s="2209"/>
      <c r="J2" s="2209"/>
      <c r="K2" s="2209"/>
      <c r="L2" s="2209"/>
      <c r="M2" s="2209"/>
      <c r="N2" s="2209"/>
      <c r="O2" s="2209"/>
      <c r="P2" s="2209"/>
      <c r="Q2" s="2209"/>
      <c r="R2" s="2209"/>
      <c r="S2" s="2209"/>
      <c r="T2" s="2209"/>
      <c r="U2" s="2209"/>
      <c r="V2" s="2209"/>
      <c r="W2" s="2209"/>
      <c r="X2" s="2209"/>
      <c r="Y2" s="4"/>
      <c r="Z2" s="2209"/>
      <c r="AA2" s="2209"/>
      <c r="AB2" s="2209"/>
      <c r="AC2" s="2209"/>
      <c r="AD2" s="2209"/>
      <c r="AE2" s="2209"/>
      <c r="AF2" s="2209"/>
      <c r="AG2" s="2209"/>
    </row>
    <row r="3" spans="1:34" s="200" customFormat="1" ht="12.75" customHeight="1" thickBot="1">
      <c r="A3" s="2209"/>
      <c r="B3" s="2209"/>
      <c r="C3" s="2209"/>
      <c r="D3" s="2209"/>
      <c r="E3" s="2209"/>
      <c r="F3" s="2209"/>
      <c r="G3" s="2209"/>
      <c r="H3" s="2209"/>
      <c r="I3" s="2209"/>
      <c r="J3" s="2209"/>
      <c r="K3" s="2209"/>
      <c r="L3" s="2209"/>
      <c r="M3" s="2209"/>
      <c r="N3" s="2209"/>
      <c r="O3" s="2209"/>
      <c r="P3" s="2209"/>
      <c r="Q3" s="2209"/>
      <c r="R3" s="2209"/>
      <c r="S3" s="2209"/>
      <c r="T3" s="2209"/>
      <c r="U3" s="2209"/>
      <c r="V3" s="2209"/>
      <c r="W3" s="2209"/>
      <c r="X3" s="2209"/>
      <c r="Y3" s="199" t="s">
        <v>145</v>
      </c>
      <c r="Z3" s="2209"/>
      <c r="AA3" s="2209"/>
      <c r="AB3" s="2209"/>
      <c r="AC3" s="2209"/>
      <c r="AD3" s="2209"/>
      <c r="AE3" s="2209"/>
      <c r="AF3" s="2209"/>
      <c r="AG3" s="2209"/>
    </row>
    <row r="4" spans="1:34" s="182" customFormat="1" ht="43.5" customHeight="1">
      <c r="A4" s="865" t="s">
        <v>208</v>
      </c>
      <c r="B4" s="866" t="s">
        <v>16</v>
      </c>
      <c r="C4" s="2466" t="s">
        <v>37</v>
      </c>
      <c r="D4" s="2467"/>
      <c r="E4" s="2468" t="s">
        <v>38</v>
      </c>
      <c r="F4" s="2469"/>
      <c r="G4" s="2469"/>
      <c r="H4" s="2470"/>
      <c r="I4" s="2473" t="s">
        <v>39</v>
      </c>
      <c r="J4" s="2474"/>
      <c r="K4" s="39"/>
      <c r="L4" s="2471" t="s">
        <v>146</v>
      </c>
      <c r="M4" s="2472"/>
      <c r="N4" s="2472"/>
      <c r="O4" s="2467"/>
      <c r="P4" s="939"/>
      <c r="Q4" s="73"/>
      <c r="R4" s="2471" t="s">
        <v>40</v>
      </c>
      <c r="S4" s="2492"/>
      <c r="T4" s="2493"/>
      <c r="U4" s="110"/>
      <c r="V4" s="1909" t="s">
        <v>148</v>
      </c>
      <c r="W4" s="959"/>
      <c r="X4" s="39"/>
      <c r="Y4" s="1611" t="s">
        <v>972</v>
      </c>
      <c r="Z4" s="2494" t="s">
        <v>1000</v>
      </c>
      <c r="AA4" s="2495"/>
      <c r="AB4" s="2496"/>
      <c r="AC4" s="2235" t="str">
        <f>"Förändring kostnader för eget åtagande "&amp;År-1&amp;"-"&amp;År&amp;" procent"</f>
        <v>Förändring kostnader för eget åtagande 2018-2019 procent</v>
      </c>
      <c r="AD4" s="2209"/>
      <c r="AE4" s="1215" t="str">
        <f>"Köp av verksamhet som andel av "</f>
        <v xml:space="preserve">Köp av verksamhet som andel av </v>
      </c>
      <c r="AF4" s="2295" t="s">
        <v>977</v>
      </c>
      <c r="AG4" s="2285" t="s">
        <v>978</v>
      </c>
      <c r="AH4" s="1970" t="s">
        <v>1058</v>
      </c>
    </row>
    <row r="5" spans="1:34" ht="47.25" customHeight="1">
      <c r="A5" s="1313"/>
      <c r="B5" s="1314"/>
      <c r="C5" s="1297" t="s">
        <v>199</v>
      </c>
      <c r="D5" s="895" t="s">
        <v>505</v>
      </c>
      <c r="E5" s="1391" t="s">
        <v>871</v>
      </c>
      <c r="F5" s="895" t="s">
        <v>800</v>
      </c>
      <c r="G5" s="896" t="s">
        <v>207</v>
      </c>
      <c r="H5" s="897" t="s">
        <v>789</v>
      </c>
      <c r="I5" s="898" t="s">
        <v>472</v>
      </c>
      <c r="J5" s="899" t="s">
        <v>506</v>
      </c>
      <c r="K5" s="39"/>
      <c r="L5" s="940" t="s">
        <v>544</v>
      </c>
      <c r="M5" s="941" t="s">
        <v>473</v>
      </c>
      <c r="N5" s="2511" t="s">
        <v>1113</v>
      </c>
      <c r="O5" s="2512"/>
      <c r="P5" s="942" t="s">
        <v>482</v>
      </c>
      <c r="Q5" s="48"/>
      <c r="R5" s="957" t="s">
        <v>708</v>
      </c>
      <c r="S5" s="897" t="s">
        <v>475</v>
      </c>
      <c r="T5" s="958" t="s">
        <v>476</v>
      </c>
      <c r="U5" s="33"/>
      <c r="V5" s="943"/>
      <c r="W5" s="960" t="s">
        <v>483</v>
      </c>
      <c r="X5" s="39"/>
      <c r="Y5" s="2506" t="s">
        <v>1167</v>
      </c>
      <c r="Z5" s="901" t="str">
        <f>"Netto-kostnader "&amp;År&amp;""</f>
        <v>Netto-kostnader 2019</v>
      </c>
      <c r="AA5" s="901" t="str">
        <f>"Kostnader för eget åtagande "&amp;År&amp;""</f>
        <v>Kostnader för eget åtagande 2019</v>
      </c>
      <c r="AB5" s="901" t="str">
        <f>"Kostnader för eget åtagande "&amp;År-1&amp;""</f>
        <v>Kostnader för eget åtagande 2018</v>
      </c>
      <c r="AC5" s="2236"/>
      <c r="AD5" s="2209"/>
      <c r="AE5" s="2266" t="str">
        <f>"verksamhetens kostnad för eget åtagande "&amp;År&amp;" procent"</f>
        <v>verksamhetens kostnad för eget åtagande 2019 procent</v>
      </c>
      <c r="AF5" s="2488" t="s">
        <v>979</v>
      </c>
      <c r="AG5" s="2486" t="s">
        <v>980</v>
      </c>
      <c r="AH5" s="2481" t="s">
        <v>1059</v>
      </c>
    </row>
    <row r="6" spans="1:34" ht="56.25" customHeight="1" thickBot="1">
      <c r="A6" s="868"/>
      <c r="B6" s="2093" t="s">
        <v>1168</v>
      </c>
      <c r="C6" s="2185" t="s">
        <v>1201</v>
      </c>
      <c r="D6" s="2186"/>
      <c r="E6" s="1381" t="s">
        <v>851</v>
      </c>
      <c r="F6" s="1381" t="s">
        <v>829</v>
      </c>
      <c r="G6" s="1436" t="s">
        <v>834</v>
      </c>
      <c r="H6" s="1381" t="s">
        <v>46</v>
      </c>
      <c r="I6" s="1382" t="s">
        <v>47</v>
      </c>
      <c r="J6" s="1383"/>
      <c r="K6" s="39"/>
      <c r="L6" s="1315"/>
      <c r="M6" s="1316"/>
      <c r="N6" s="1298" t="s">
        <v>872</v>
      </c>
      <c r="O6" s="1612" t="s">
        <v>873</v>
      </c>
      <c r="P6" s="944"/>
      <c r="Q6" s="73"/>
      <c r="R6" s="2116" t="s">
        <v>867</v>
      </c>
      <c r="S6" s="1613" t="s">
        <v>48</v>
      </c>
      <c r="T6" s="1384" t="s">
        <v>801</v>
      </c>
      <c r="U6" s="33"/>
      <c r="V6" s="868"/>
      <c r="W6" s="944"/>
      <c r="X6" s="39"/>
      <c r="Y6" s="2507"/>
      <c r="Z6" s="1650"/>
      <c r="AA6" s="1651"/>
      <c r="AB6" s="1652"/>
      <c r="AC6" s="2237"/>
      <c r="AD6" s="2209"/>
      <c r="AE6" s="2267"/>
      <c r="AF6" s="2489"/>
      <c r="AG6" s="2487"/>
      <c r="AH6" s="2482"/>
    </row>
    <row r="7" spans="1:34" ht="9.75" hidden="1" customHeight="1">
      <c r="A7" s="868"/>
      <c r="B7" s="1519"/>
      <c r="C7" s="1439"/>
      <c r="D7" s="1440"/>
      <c r="E7" s="1444"/>
      <c r="F7" s="1445"/>
      <c r="G7" s="1446"/>
      <c r="H7" s="1447"/>
      <c r="I7" s="1448"/>
      <c r="J7" s="1449"/>
      <c r="K7" s="33"/>
      <c r="L7" s="1301"/>
      <c r="M7" s="1302"/>
      <c r="N7" s="1299"/>
      <c r="O7" s="869"/>
      <c r="P7" s="945"/>
      <c r="Q7" s="48"/>
      <c r="R7" s="1470"/>
      <c r="S7" s="1471"/>
      <c r="T7" s="1472"/>
      <c r="U7" s="33"/>
      <c r="V7" s="943"/>
      <c r="W7" s="945"/>
      <c r="X7" s="33"/>
      <c r="Y7" s="1291"/>
      <c r="Z7" s="975"/>
      <c r="AA7" s="977"/>
      <c r="AB7" s="976"/>
      <c r="AC7" s="2236"/>
      <c r="AD7" s="2209"/>
      <c r="AE7" s="2267"/>
      <c r="AF7" s="2296"/>
      <c r="AG7" s="1610"/>
      <c r="AH7" s="1853"/>
    </row>
    <row r="8" spans="1:34" ht="12.75" hidden="1" customHeight="1">
      <c r="A8" s="870"/>
      <c r="B8" s="1441"/>
      <c r="C8" s="1442"/>
      <c r="D8" s="1443"/>
      <c r="E8" s="1450"/>
      <c r="F8" s="1451"/>
      <c r="G8" s="1452"/>
      <c r="H8" s="1453"/>
      <c r="I8" s="1454"/>
      <c r="J8" s="1455"/>
      <c r="K8" s="33"/>
      <c r="L8" s="943"/>
      <c r="M8" s="903"/>
      <c r="N8" s="1299"/>
      <c r="O8" s="869"/>
      <c r="P8" s="945"/>
      <c r="Q8" s="48"/>
      <c r="R8" s="1470"/>
      <c r="S8" s="1471"/>
      <c r="T8" s="1472"/>
      <c r="U8" s="33"/>
      <c r="V8" s="946"/>
      <c r="W8" s="945"/>
      <c r="X8" s="33"/>
      <c r="Y8" s="1291"/>
      <c r="Z8" s="978"/>
      <c r="AA8" s="979"/>
      <c r="AB8" s="902"/>
      <c r="AC8" s="2236"/>
      <c r="AD8" s="2209"/>
      <c r="AE8" s="2268"/>
      <c r="AF8" s="2296"/>
      <c r="AG8" s="1610"/>
      <c r="AH8" s="1853"/>
    </row>
    <row r="9" spans="1:34" ht="10.5" hidden="1" customHeight="1">
      <c r="A9" s="868"/>
      <c r="B9" s="1456"/>
      <c r="C9" s="1457"/>
      <c r="D9" s="1458"/>
      <c r="E9" s="1459"/>
      <c r="F9" s="1460"/>
      <c r="G9" s="1452"/>
      <c r="H9" s="1453"/>
      <c r="I9" s="1461"/>
      <c r="J9" s="1462"/>
      <c r="K9" s="11"/>
      <c r="L9" s="946"/>
      <c r="M9" s="903"/>
      <c r="N9" s="1208"/>
      <c r="O9" s="1216"/>
      <c r="P9" s="945"/>
      <c r="Q9" s="48"/>
      <c r="R9" s="1473"/>
      <c r="S9" s="1474"/>
      <c r="T9" s="1462"/>
      <c r="U9" s="11"/>
      <c r="V9" s="946"/>
      <c r="W9" s="961"/>
      <c r="X9" s="11"/>
      <c r="Y9" s="1291"/>
      <c r="Z9" s="978"/>
      <c r="AA9" s="978"/>
      <c r="AB9" s="902"/>
      <c r="AC9" s="2236"/>
      <c r="AD9" s="2209"/>
      <c r="AE9" s="2269"/>
      <c r="AF9" s="2296"/>
      <c r="AG9" s="1610"/>
      <c r="AH9" s="1853"/>
    </row>
    <row r="10" spans="1:34" ht="12" hidden="1" customHeight="1">
      <c r="A10" s="871"/>
      <c r="B10" s="1463"/>
      <c r="C10" s="1464"/>
      <c r="D10" s="1465"/>
      <c r="E10" s="1466"/>
      <c r="F10" s="1465"/>
      <c r="G10" s="1467"/>
      <c r="H10" s="1468"/>
      <c r="I10" s="1464"/>
      <c r="J10" s="1469"/>
      <c r="K10" s="11"/>
      <c r="L10" s="947"/>
      <c r="M10" s="904"/>
      <c r="N10" s="1064"/>
      <c r="O10" s="1300"/>
      <c r="P10" s="948"/>
      <c r="Q10" s="203"/>
      <c r="R10" s="1475"/>
      <c r="S10" s="1465"/>
      <c r="T10" s="1469"/>
      <c r="U10" s="111"/>
      <c r="V10" s="947"/>
      <c r="W10" s="962"/>
      <c r="X10" s="11"/>
      <c r="Y10" s="1663"/>
      <c r="Z10" s="1647"/>
      <c r="AA10" s="1648"/>
      <c r="AB10" s="1649"/>
      <c r="AC10" s="2238"/>
      <c r="AD10" s="2209"/>
      <c r="AE10" s="2270"/>
      <c r="AF10" s="2296"/>
      <c r="AG10" s="1610"/>
      <c r="AH10" s="1854"/>
    </row>
    <row r="11" spans="1:34" ht="39" customHeight="1" thickBot="1">
      <c r="A11" s="872"/>
      <c r="B11" s="873" t="s">
        <v>17</v>
      </c>
      <c r="C11" s="905"/>
      <c r="D11" s="906"/>
      <c r="E11" s="905"/>
      <c r="F11" s="907"/>
      <c r="G11" s="908"/>
      <c r="H11" s="909"/>
      <c r="I11" s="905"/>
      <c r="J11" s="910"/>
      <c r="K11" s="204"/>
      <c r="L11" s="949"/>
      <c r="M11" s="907"/>
      <c r="N11" s="906"/>
      <c r="O11" s="950"/>
      <c r="P11" s="910"/>
      <c r="Q11" s="204"/>
      <c r="R11" s="949"/>
      <c r="S11" s="907"/>
      <c r="T11" s="910"/>
      <c r="U11" s="204"/>
      <c r="V11" s="963"/>
      <c r="W11" s="964"/>
      <c r="X11" s="37"/>
      <c r="Y11" s="1662" t="s">
        <v>51</v>
      </c>
      <c r="Z11" s="2483"/>
      <c r="AA11" s="2484"/>
      <c r="AB11" s="2484"/>
      <c r="AC11" s="2485"/>
      <c r="AD11" s="2209"/>
      <c r="AE11" s="2271"/>
      <c r="AF11" s="2296"/>
      <c r="AG11" s="1610"/>
      <c r="AH11" s="1855"/>
    </row>
    <row r="12" spans="1:34" ht="11.25" customHeight="1">
      <c r="A12" s="874"/>
      <c r="B12" s="875" t="s">
        <v>49</v>
      </c>
      <c r="C12" s="911"/>
      <c r="D12" s="912"/>
      <c r="E12" s="911"/>
      <c r="F12" s="913"/>
      <c r="G12" s="914"/>
      <c r="H12" s="915"/>
      <c r="I12" s="911"/>
      <c r="J12" s="916"/>
      <c r="K12" s="204"/>
      <c r="L12" s="951"/>
      <c r="M12" s="913"/>
      <c r="N12" s="912"/>
      <c r="O12" s="952"/>
      <c r="P12" s="916"/>
      <c r="Q12" s="204"/>
      <c r="R12" s="951"/>
      <c r="S12" s="913"/>
      <c r="T12" s="916"/>
      <c r="U12" s="204"/>
      <c r="V12" s="965"/>
      <c r="W12" s="966"/>
      <c r="X12" s="30"/>
      <c r="Y12" s="985"/>
      <c r="Z12" s="980"/>
      <c r="AA12" s="980"/>
      <c r="AB12" s="981"/>
      <c r="AC12" s="2239"/>
      <c r="AD12" s="2209"/>
      <c r="AE12" s="2271"/>
      <c r="AF12" s="2296"/>
      <c r="AG12" s="1610"/>
      <c r="AH12" s="1856"/>
    </row>
    <row r="13" spans="1:34">
      <c r="A13" s="2131" t="s">
        <v>217</v>
      </c>
      <c r="B13" s="876" t="s">
        <v>50</v>
      </c>
      <c r="C13" s="20">
        <v>2229.4839999999999</v>
      </c>
      <c r="D13" s="21">
        <v>746.43</v>
      </c>
      <c r="E13" s="22">
        <v>57.149000000000001</v>
      </c>
      <c r="F13" s="20">
        <v>21.503</v>
      </c>
      <c r="G13" s="20">
        <v>330.90100000000001</v>
      </c>
      <c r="H13" s="21">
        <v>51.052999999999997</v>
      </c>
      <c r="I13" s="20">
        <v>18.7</v>
      </c>
      <c r="J13" s="100">
        <v>13.907</v>
      </c>
      <c r="K13" s="31"/>
      <c r="L13" s="103">
        <v>66.944999999999993</v>
      </c>
      <c r="M13" s="20">
        <v>221.27099999999999</v>
      </c>
      <c r="N13" s="21">
        <v>20.856999999999999</v>
      </c>
      <c r="O13" s="445">
        <v>125.233</v>
      </c>
      <c r="P13" s="372">
        <f>SUM(C13:O13)</f>
        <v>3903.433</v>
      </c>
      <c r="Q13" s="49"/>
      <c r="R13" s="103">
        <v>5.1269999999999998</v>
      </c>
      <c r="S13" s="20">
        <v>1.4119999999999999</v>
      </c>
      <c r="T13" s="100">
        <v>92.262</v>
      </c>
      <c r="U13" s="50"/>
      <c r="V13" s="113">
        <v>101.27800000000001</v>
      </c>
      <c r="W13" s="407">
        <f>SUM(R13:V13)</f>
        <v>200.07900000000001</v>
      </c>
      <c r="X13" s="57"/>
      <c r="Y13" s="1641">
        <v>3785.2289999999998</v>
      </c>
      <c r="Z13" s="1642"/>
      <c r="AA13" s="1643"/>
      <c r="AB13" s="1644"/>
      <c r="AC13" s="2240"/>
      <c r="AD13" s="2209"/>
      <c r="AE13" s="2272"/>
      <c r="AF13" s="2297">
        <v>3703.3380000000002</v>
      </c>
      <c r="AG13" s="2286">
        <v>3727.8069999999998</v>
      </c>
      <c r="AH13" s="1857">
        <f>W13-V13-(IF(AND(Motpart!$Y$9="",Motpart!$Z$9=""),0,IF(AND(Motpart!$Y$9=0,Motpart!$Z$9=0),0,((T13/$T$17)*(Motpart!$Y$9+Motpart!$Z$9)))))</f>
        <v>74.444997905926087</v>
      </c>
    </row>
    <row r="14" spans="1:34">
      <c r="A14" s="2131" t="s">
        <v>218</v>
      </c>
      <c r="B14" s="877" t="s">
        <v>52</v>
      </c>
      <c r="C14" s="23">
        <v>8.1880000000000006</v>
      </c>
      <c r="D14" s="21">
        <v>3.0409999999999999</v>
      </c>
      <c r="E14" s="25">
        <v>0.216</v>
      </c>
      <c r="F14" s="23">
        <v>0</v>
      </c>
      <c r="G14" s="23">
        <v>0.71599999999999997</v>
      </c>
      <c r="H14" s="24">
        <v>476.61</v>
      </c>
      <c r="I14" s="23">
        <v>0.245</v>
      </c>
      <c r="J14" s="101">
        <v>1.6E-2</v>
      </c>
      <c r="K14" s="31"/>
      <c r="L14" s="104">
        <v>-0.105</v>
      </c>
      <c r="M14" s="23">
        <v>2.0089999999999999</v>
      </c>
      <c r="N14" s="21">
        <v>0.47799999999999998</v>
      </c>
      <c r="O14" s="373">
        <v>0.249</v>
      </c>
      <c r="P14" s="372">
        <f>SUM(C14:O14)</f>
        <v>491.66300000000007</v>
      </c>
      <c r="Q14" s="49"/>
      <c r="R14" s="104">
        <v>0</v>
      </c>
      <c r="S14" s="23">
        <v>0</v>
      </c>
      <c r="T14" s="101">
        <v>1.014</v>
      </c>
      <c r="U14" s="50"/>
      <c r="V14" s="114">
        <v>2.2949999999999999</v>
      </c>
      <c r="W14" s="407">
        <f>SUM(R14:V14)</f>
        <v>3.3090000000000002</v>
      </c>
      <c r="X14" s="57"/>
      <c r="Y14" s="1514">
        <v>489.32</v>
      </c>
      <c r="Z14" s="1645"/>
      <c r="AA14" s="1646"/>
      <c r="AB14" s="1646"/>
      <c r="AC14" s="2241"/>
      <c r="AD14" s="2209"/>
      <c r="AE14" s="2272"/>
      <c r="AF14" s="2297">
        <v>488.35199999999998</v>
      </c>
      <c r="AG14" s="2286">
        <v>12.754</v>
      </c>
      <c r="AH14" s="1857">
        <f>W14-V14-(IF(AND(Motpart!$Y$9="",Motpart!$Z$9=""),0,IF(AND(Motpart!$Y$9=0,Motpart!$Z$9=0),0,((T14/$T$17)*(Motpart!$Y$9+Motpart!$Z$9)))))</f>
        <v>0.74631681381943893</v>
      </c>
    </row>
    <row r="15" spans="1:34">
      <c r="A15" s="2131" t="s">
        <v>219</v>
      </c>
      <c r="B15" s="877" t="s">
        <v>53</v>
      </c>
      <c r="C15" s="23">
        <v>137.953</v>
      </c>
      <c r="D15" s="21">
        <v>44.051000000000002</v>
      </c>
      <c r="E15" s="25">
        <v>3.4940000000000002</v>
      </c>
      <c r="F15" s="23">
        <v>4.7</v>
      </c>
      <c r="G15" s="23">
        <v>250.25700000000001</v>
      </c>
      <c r="H15" s="24">
        <v>1.9E-2</v>
      </c>
      <c r="I15" s="23">
        <v>3.2290000000000001</v>
      </c>
      <c r="J15" s="101">
        <v>5.6000000000000001E-2</v>
      </c>
      <c r="K15" s="31"/>
      <c r="L15" s="104">
        <v>2.8380000000000001</v>
      </c>
      <c r="M15" s="23">
        <v>8.4920000000000009</v>
      </c>
      <c r="N15" s="21">
        <v>1.7150000000000001</v>
      </c>
      <c r="O15" s="373">
        <v>15.893000000000001</v>
      </c>
      <c r="P15" s="372">
        <f>SUM(C15:O15)</f>
        <v>472.697</v>
      </c>
      <c r="Q15" s="49"/>
      <c r="R15" s="104">
        <v>5.585</v>
      </c>
      <c r="S15" s="23">
        <v>0</v>
      </c>
      <c r="T15" s="101">
        <v>11.3</v>
      </c>
      <c r="U15" s="50"/>
      <c r="V15" s="114">
        <v>2.0369999999999999</v>
      </c>
      <c r="W15" s="407">
        <f>SUM(R15:V15)</f>
        <v>18.922000000000001</v>
      </c>
      <c r="X15" s="57"/>
      <c r="Y15" s="1514">
        <v>470.40800000000002</v>
      </c>
      <c r="Z15" s="1645"/>
      <c r="AA15" s="1646"/>
      <c r="AB15" s="1646"/>
      <c r="AC15" s="2241"/>
      <c r="AD15" s="2209"/>
      <c r="AE15" s="2272"/>
      <c r="AF15" s="2297">
        <v>453.77699999999999</v>
      </c>
      <c r="AG15" s="2286">
        <v>465.94099999999997</v>
      </c>
      <c r="AH15" s="1857">
        <f>W15-V15-(IF(AND(Motpart!$Y$9="",Motpart!$Z$9=""),0,IF(AND(Motpart!$Y$9=0,Motpart!$Z$9=0),0,((T15/$T$17)*(Motpart!$Y$9+Motpart!$Z$9)))))</f>
        <v>13.901942797001636</v>
      </c>
    </row>
    <row r="16" spans="1:34">
      <c r="A16" s="2131" t="s">
        <v>220</v>
      </c>
      <c r="B16" s="877" t="s">
        <v>54</v>
      </c>
      <c r="C16" s="23">
        <v>1350.6579999999999</v>
      </c>
      <c r="D16" s="21">
        <v>469.51299999999998</v>
      </c>
      <c r="E16" s="25">
        <v>32.94</v>
      </c>
      <c r="F16" s="23">
        <v>178.74</v>
      </c>
      <c r="G16" s="23">
        <v>602.596</v>
      </c>
      <c r="H16" s="24">
        <v>78.844999999999999</v>
      </c>
      <c r="I16" s="23">
        <v>21.5</v>
      </c>
      <c r="J16" s="101">
        <v>9.5619999999999994</v>
      </c>
      <c r="K16" s="31"/>
      <c r="L16" s="104">
        <v>40.143000000000001</v>
      </c>
      <c r="M16" s="23">
        <v>236.87100000000001</v>
      </c>
      <c r="N16" s="21">
        <v>18.643999999999998</v>
      </c>
      <c r="O16" s="373">
        <v>84.278000000000006</v>
      </c>
      <c r="P16" s="372">
        <f>SUM(C16:O16)</f>
        <v>3124.2899999999995</v>
      </c>
      <c r="Q16" s="49"/>
      <c r="R16" s="104">
        <v>30.256</v>
      </c>
      <c r="S16" s="23">
        <v>0.151</v>
      </c>
      <c r="T16" s="101">
        <v>447.45800000000003</v>
      </c>
      <c r="U16" s="50"/>
      <c r="V16" s="114">
        <v>126.018</v>
      </c>
      <c r="W16" s="407">
        <f>SUM(R16:V16)</f>
        <v>603.88300000000004</v>
      </c>
      <c r="X16" s="57"/>
      <c r="Y16" s="1514">
        <v>2869.7440000000001</v>
      </c>
      <c r="Z16" s="1645"/>
      <c r="AA16" s="1646"/>
      <c r="AB16" s="1646"/>
      <c r="AC16" s="2241"/>
      <c r="AD16" s="2209"/>
      <c r="AE16" s="2272"/>
      <c r="AF16" s="2297">
        <v>2520.404</v>
      </c>
      <c r="AG16" s="2286">
        <v>2740.6819999999998</v>
      </c>
      <c r="AH16" s="1857">
        <f>W16-V16-(IF(AND(Motpart!$Y$9="",Motpart!$Z$9=""),0,IF(AND(Motpart!$Y$9=0,Motpart!$Z$9=0),0,((T16/$T$17)*(Motpart!$Y$9+Motpart!$Z$9)))))</f>
        <v>359.74174248325284</v>
      </c>
    </row>
    <row r="17" spans="1:34" ht="12.75" customHeight="1" thickBot="1">
      <c r="A17" s="2146" t="s">
        <v>221</v>
      </c>
      <c r="B17" s="877" t="s">
        <v>55</v>
      </c>
      <c r="C17" s="365">
        <f>SUM(C13:C16)</f>
        <v>3726.2829999999999</v>
      </c>
      <c r="D17" s="26">
        <f t="shared" ref="D17:O17" si="0">SUM(D13:D16)</f>
        <v>1263.0350000000001</v>
      </c>
      <c r="E17" s="375">
        <f t="shared" si="0"/>
        <v>93.799000000000007</v>
      </c>
      <c r="F17" s="365">
        <f t="shared" si="0"/>
        <v>204.94300000000001</v>
      </c>
      <c r="G17" s="365">
        <f t="shared" si="0"/>
        <v>1184.47</v>
      </c>
      <c r="H17" s="26">
        <f t="shared" si="0"/>
        <v>606.52700000000004</v>
      </c>
      <c r="I17" s="365">
        <f t="shared" si="0"/>
        <v>43.673999999999999</v>
      </c>
      <c r="J17" s="105">
        <f t="shared" si="0"/>
        <v>23.540999999999997</v>
      </c>
      <c r="K17" s="148"/>
      <c r="L17" s="374">
        <f>SUM(L13:L16)</f>
        <v>109.82099999999998</v>
      </c>
      <c r="M17" s="365">
        <f t="shared" si="0"/>
        <v>468.64299999999997</v>
      </c>
      <c r="N17" s="26">
        <f t="shared" si="0"/>
        <v>41.694000000000003</v>
      </c>
      <c r="O17" s="26">
        <f t="shared" si="0"/>
        <v>225.65300000000002</v>
      </c>
      <c r="P17" s="105">
        <f>SUM(P6:P16)</f>
        <v>7992.0830000000005</v>
      </c>
      <c r="Q17" s="49"/>
      <c r="R17" s="374">
        <f>SUM(R13:R16)</f>
        <v>40.968000000000004</v>
      </c>
      <c r="S17" s="365">
        <f>SUM(S13:S16)</f>
        <v>1.5629999999999999</v>
      </c>
      <c r="T17" s="105">
        <f>SUM(T13:T16)</f>
        <v>552.03399999999999</v>
      </c>
      <c r="U17" s="49"/>
      <c r="V17" s="117">
        <f>SUM(V13:V16)</f>
        <v>231.62800000000001</v>
      </c>
      <c r="W17" s="118">
        <f>SUM(W13:W16)</f>
        <v>826.19299999999998</v>
      </c>
      <c r="X17" s="57"/>
      <c r="Y17" s="987">
        <v>7614.6980000000003</v>
      </c>
      <c r="Z17" s="988">
        <f>(P17-W17)*1000/invanare</f>
        <v>693.85894423180468</v>
      </c>
      <c r="AA17" s="988">
        <f>Y17*1000/invanare</f>
        <v>737.31613448211385</v>
      </c>
      <c r="AB17" s="988">
        <v>698.81399999999996</v>
      </c>
      <c r="AC17" s="2242">
        <f>IF(ISERROR((AA17-AB17)/AB17)," ",((AA17-AB17)/AB17))</f>
        <v>5.5096398300712196E-2</v>
      </c>
      <c r="AD17" s="2209"/>
      <c r="AE17" s="2273"/>
      <c r="AF17" s="2298">
        <v>7165.8739999999998</v>
      </c>
      <c r="AG17" s="2287">
        <v>6948.9629999999997</v>
      </c>
      <c r="AH17" s="1857">
        <f>W17-V17-SUM(Motpart!Y9:Z9)</f>
        <v>448.83499999999992</v>
      </c>
    </row>
    <row r="18" spans="1:34" ht="37.5" customHeight="1" thickBot="1">
      <c r="A18" s="2147"/>
      <c r="B18" s="878" t="s">
        <v>56</v>
      </c>
      <c r="C18" s="917"/>
      <c r="D18" s="918"/>
      <c r="E18" s="917"/>
      <c r="F18" s="919"/>
      <c r="G18" s="919"/>
      <c r="H18" s="918"/>
      <c r="I18" s="919"/>
      <c r="J18" s="920"/>
      <c r="K18" s="31"/>
      <c r="L18" s="953"/>
      <c r="M18" s="919"/>
      <c r="N18" s="918"/>
      <c r="O18" s="918"/>
      <c r="P18" s="920"/>
      <c r="Q18" s="50"/>
      <c r="R18" s="953"/>
      <c r="S18" s="919"/>
      <c r="T18" s="920"/>
      <c r="U18" s="50"/>
      <c r="V18" s="967"/>
      <c r="W18" s="968"/>
      <c r="X18" s="31"/>
      <c r="Y18" s="1662" t="s">
        <v>998</v>
      </c>
      <c r="Z18" s="2483"/>
      <c r="AA18" s="2484"/>
      <c r="AB18" s="2484"/>
      <c r="AC18" s="2485"/>
      <c r="AD18" s="2209"/>
      <c r="AE18" s="2274"/>
      <c r="AF18" s="2299"/>
      <c r="AG18" s="2288"/>
      <c r="AH18" s="1858"/>
    </row>
    <row r="19" spans="1:34">
      <c r="A19" s="2131" t="s">
        <v>222</v>
      </c>
      <c r="B19" s="879" t="s">
        <v>57</v>
      </c>
      <c r="C19" s="20">
        <v>3981.759</v>
      </c>
      <c r="D19" s="21">
        <v>1545.84</v>
      </c>
      <c r="E19" s="20">
        <v>926.08199999999999</v>
      </c>
      <c r="F19" s="20">
        <v>141.63</v>
      </c>
      <c r="G19" s="20">
        <v>2049.6840000000002</v>
      </c>
      <c r="H19" s="21">
        <v>106.97199999999999</v>
      </c>
      <c r="I19" s="20">
        <v>806.553</v>
      </c>
      <c r="J19" s="100">
        <v>1056.383</v>
      </c>
      <c r="K19" s="31"/>
      <c r="L19" s="103">
        <v>429.93400000000003</v>
      </c>
      <c r="M19" s="20">
        <v>1287.7360000000001</v>
      </c>
      <c r="N19" s="21">
        <v>102.107</v>
      </c>
      <c r="O19" s="373">
        <v>306.23599999999999</v>
      </c>
      <c r="P19" s="372">
        <f>SUM(C19:O19)</f>
        <v>12740.916000000001</v>
      </c>
      <c r="Q19" s="49"/>
      <c r="R19" s="103">
        <v>2847.183</v>
      </c>
      <c r="S19" s="20">
        <v>324.995</v>
      </c>
      <c r="T19" s="100">
        <v>1823.5630000000001</v>
      </c>
      <c r="U19" s="50"/>
      <c r="V19" s="113">
        <v>2565.4929999999999</v>
      </c>
      <c r="W19" s="407">
        <f t="shared" ref="W19:W29" si="1">SUM(R19:V19)</f>
        <v>7561.2340000000004</v>
      </c>
      <c r="X19" s="57"/>
      <c r="Y19" s="987">
        <v>10118.647999999999</v>
      </c>
      <c r="Z19" s="1655"/>
      <c r="AA19" s="1656"/>
      <c r="AB19" s="1657"/>
      <c r="AC19" s="2243"/>
      <c r="AD19" s="2209"/>
      <c r="AE19" s="2274"/>
      <c r="AF19" s="2297">
        <v>5179.6719999999996</v>
      </c>
      <c r="AG19" s="2286">
        <v>9926.8179999999993</v>
      </c>
      <c r="AH19" s="1857">
        <f>W19-V19-(IF(AND(Motpart!$Y$10="",Motpart!$Z$10=""),0,IF(AND(Motpart!$Y$10=0,Motpart!$Z$10=0),0,((T19/$T$30)*(Motpart!$Y$10+Motpart!$Z$10)))))</f>
        <v>4900.6049225470852</v>
      </c>
    </row>
    <row r="20" spans="1:34">
      <c r="A20" s="2131" t="s">
        <v>223</v>
      </c>
      <c r="B20" s="877" t="s">
        <v>58</v>
      </c>
      <c r="C20" s="20">
        <v>541.69899999999996</v>
      </c>
      <c r="D20" s="21">
        <v>211.673</v>
      </c>
      <c r="E20" s="20">
        <v>45.655000000000001</v>
      </c>
      <c r="F20" s="20">
        <v>100.95099999999999</v>
      </c>
      <c r="G20" s="20">
        <v>550.83799999999997</v>
      </c>
      <c r="H20" s="21">
        <v>773.11699999999996</v>
      </c>
      <c r="I20" s="20">
        <v>32.601999999999997</v>
      </c>
      <c r="J20" s="100">
        <v>31.271000000000001</v>
      </c>
      <c r="K20" s="31"/>
      <c r="L20" s="104">
        <v>32.387</v>
      </c>
      <c r="M20" s="23">
        <v>95.724000000000004</v>
      </c>
      <c r="N20" s="21">
        <v>7.2050000000000001</v>
      </c>
      <c r="O20" s="373">
        <v>46.338000000000001</v>
      </c>
      <c r="P20" s="372">
        <f t="shared" ref="P20:P29" si="2">SUM(C20:O20)</f>
        <v>2469.4600000000005</v>
      </c>
      <c r="Q20" s="49"/>
      <c r="R20" s="104">
        <v>9.4600000000000009</v>
      </c>
      <c r="S20" s="23">
        <v>3.7160000000000002</v>
      </c>
      <c r="T20" s="101">
        <v>393.36399999999998</v>
      </c>
      <c r="U20" s="50"/>
      <c r="V20" s="114">
        <v>52.856999999999999</v>
      </c>
      <c r="W20" s="407">
        <f t="shared" si="1"/>
        <v>459.39699999999993</v>
      </c>
      <c r="X20" s="57"/>
      <c r="Y20" s="1007">
        <v>2400.018</v>
      </c>
      <c r="Z20" s="1655"/>
      <c r="AA20" s="1656"/>
      <c r="AB20" s="1657"/>
      <c r="AC20" s="2243"/>
      <c r="AD20" s="2209"/>
      <c r="AE20" s="2274"/>
      <c r="AF20" s="2297">
        <v>2010.0719999999999</v>
      </c>
      <c r="AG20" s="2286">
        <v>1542.5450000000001</v>
      </c>
      <c r="AH20" s="1857">
        <f>W20-V20-(IF(AND(Motpart!$Y$10="",Motpart!$Z$10=""),0,IF(AND(Motpart!$Y$10=0,Motpart!$Z$10=0),0,((T20/$T$30)*(Motpart!$Y$10+Motpart!$Z$10)))))</f>
        <v>386.0180284688883</v>
      </c>
    </row>
    <row r="21" spans="1:34">
      <c r="A21" s="2131" t="s">
        <v>673</v>
      </c>
      <c r="B21" s="877" t="s">
        <v>59</v>
      </c>
      <c r="C21" s="20">
        <v>123.79600000000001</v>
      </c>
      <c r="D21" s="21">
        <v>47.826999999999998</v>
      </c>
      <c r="E21" s="20">
        <v>3.2559999999999998</v>
      </c>
      <c r="F21" s="20">
        <v>9.3030000000000008</v>
      </c>
      <c r="G21" s="20">
        <v>30.335000000000001</v>
      </c>
      <c r="H21" s="21">
        <v>3.3380000000000001</v>
      </c>
      <c r="I21" s="20">
        <v>9.1690000000000005</v>
      </c>
      <c r="J21" s="100">
        <v>0.24399999999999999</v>
      </c>
      <c r="K21" s="31"/>
      <c r="L21" s="104">
        <v>5.4969999999999999</v>
      </c>
      <c r="M21" s="23">
        <v>21.896999999999998</v>
      </c>
      <c r="N21" s="21">
        <v>1.478</v>
      </c>
      <c r="O21" s="373">
        <v>6.9489999999999998</v>
      </c>
      <c r="P21" s="372">
        <f t="shared" si="2"/>
        <v>263.089</v>
      </c>
      <c r="Q21" s="49"/>
      <c r="R21" s="104">
        <v>1.3280000000000001</v>
      </c>
      <c r="S21" s="23">
        <v>1.4E-2</v>
      </c>
      <c r="T21" s="101">
        <v>88.081000000000003</v>
      </c>
      <c r="U21" s="50"/>
      <c r="V21" s="114">
        <v>8.5410000000000004</v>
      </c>
      <c r="W21" s="407">
        <f t="shared" si="1"/>
        <v>97.963999999999999</v>
      </c>
      <c r="X21" s="57"/>
      <c r="Y21" s="1007">
        <v>249.5</v>
      </c>
      <c r="Z21" s="1655"/>
      <c r="AA21" s="1656"/>
      <c r="AB21" s="1657"/>
      <c r="AC21" s="2243"/>
      <c r="AD21" s="2209"/>
      <c r="AE21" s="2274"/>
      <c r="AF21" s="2297">
        <v>165.131</v>
      </c>
      <c r="AG21" s="2286">
        <v>241.91300000000001</v>
      </c>
      <c r="AH21" s="1857">
        <f>W21-V21-(IF(AND(Motpart!$Y$10="",Motpart!$Z$10=""),0,IF(AND(Motpart!$Y$10=0,Motpart!$Z$10=0),0,((T21/$T$30)*(Motpart!$Y$10+Motpart!$Z$10)))))</f>
        <v>84.827775794348639</v>
      </c>
    </row>
    <row r="22" spans="1:34">
      <c r="A22" s="2131" t="s">
        <v>224</v>
      </c>
      <c r="B22" s="877" t="s">
        <v>60</v>
      </c>
      <c r="C22" s="20">
        <v>165.28299999999999</v>
      </c>
      <c r="D22" s="21">
        <v>63.86</v>
      </c>
      <c r="E22" s="20">
        <v>63.497</v>
      </c>
      <c r="F22" s="20">
        <v>130.51300000000001</v>
      </c>
      <c r="G22" s="20">
        <v>171.238</v>
      </c>
      <c r="H22" s="21">
        <v>249.45699999999999</v>
      </c>
      <c r="I22" s="20">
        <v>11.385999999999999</v>
      </c>
      <c r="J22" s="100">
        <v>35.643999999999998</v>
      </c>
      <c r="K22" s="31"/>
      <c r="L22" s="104">
        <v>31.004999999999999</v>
      </c>
      <c r="M22" s="23">
        <v>35.048999999999999</v>
      </c>
      <c r="N22" s="21">
        <v>3.1970000000000001</v>
      </c>
      <c r="O22" s="373">
        <v>18.997</v>
      </c>
      <c r="P22" s="372">
        <f t="shared" si="2"/>
        <v>979.12599999999998</v>
      </c>
      <c r="Q22" s="49"/>
      <c r="R22" s="104">
        <v>61.244999999999997</v>
      </c>
      <c r="S22" s="23">
        <v>28.484999999999999</v>
      </c>
      <c r="T22" s="101">
        <v>114.18899999999999</v>
      </c>
      <c r="U22" s="50"/>
      <c r="V22" s="114">
        <v>17.765000000000001</v>
      </c>
      <c r="W22" s="407">
        <f t="shared" si="1"/>
        <v>221.68399999999997</v>
      </c>
      <c r="X22" s="57"/>
      <c r="Y22" s="1007">
        <v>953.62400000000002</v>
      </c>
      <c r="Z22" s="1658"/>
      <c r="AA22" s="1656"/>
      <c r="AB22" s="1657"/>
      <c r="AC22" s="2243"/>
      <c r="AD22" s="2209"/>
      <c r="AE22" s="2274"/>
      <c r="AF22" s="2297">
        <v>757.45699999999999</v>
      </c>
      <c r="AG22" s="2286">
        <v>581.40099999999995</v>
      </c>
      <c r="AH22" s="1857">
        <f>W22-V22-(IF(AND(Motpart!$Y$10="",Motpart!$Z$10=""),0,IF(AND(Motpart!$Y$10=0,Motpart!$Z$10=0),0,((T22/$T$30)*(Motpart!$Y$10+Motpart!$Z$10)))))</f>
        <v>197.96171004167613</v>
      </c>
    </row>
    <row r="23" spans="1:34">
      <c r="A23" s="2131" t="s">
        <v>225</v>
      </c>
      <c r="B23" s="885" t="s">
        <v>869</v>
      </c>
      <c r="C23" s="20">
        <v>1863.848</v>
      </c>
      <c r="D23" s="21">
        <v>745.83600000000001</v>
      </c>
      <c r="E23" s="20">
        <v>4088.614</v>
      </c>
      <c r="F23" s="20">
        <v>3216.9969999999998</v>
      </c>
      <c r="G23" s="20">
        <v>1591.46</v>
      </c>
      <c r="H23" s="21">
        <v>719.86400000000003</v>
      </c>
      <c r="I23" s="20">
        <v>122.572</v>
      </c>
      <c r="J23" s="100">
        <v>4817.8</v>
      </c>
      <c r="K23" s="31"/>
      <c r="L23" s="104">
        <v>274.96600000000001</v>
      </c>
      <c r="M23" s="23">
        <v>2469.9009999999998</v>
      </c>
      <c r="N23" s="21">
        <v>66.869</v>
      </c>
      <c r="O23" s="373">
        <v>444.39299999999997</v>
      </c>
      <c r="P23" s="372">
        <f t="shared" si="2"/>
        <v>20423.12</v>
      </c>
      <c r="Q23" s="49"/>
      <c r="R23" s="104">
        <v>3629.8809999999999</v>
      </c>
      <c r="S23" s="23">
        <v>21.091999999999999</v>
      </c>
      <c r="T23" s="101">
        <v>2750.31</v>
      </c>
      <c r="U23" s="50"/>
      <c r="V23" s="114">
        <v>2972.2350000000001</v>
      </c>
      <c r="W23" s="407">
        <f t="shared" si="1"/>
        <v>9373.518</v>
      </c>
      <c r="X23" s="57"/>
      <c r="Y23" s="1007">
        <v>17357.558000000001</v>
      </c>
      <c r="Z23" s="1658"/>
      <c r="AA23" s="1656"/>
      <c r="AB23" s="1657"/>
      <c r="AC23" s="2243"/>
      <c r="AD23" s="2209"/>
      <c r="AE23" s="2274"/>
      <c r="AF23" s="2297">
        <v>11049.6</v>
      </c>
      <c r="AG23" s="2286">
        <v>13514.016</v>
      </c>
      <c r="AH23" s="1857">
        <f>W23-V23-(IF(AND(Motpart!$Y$10="",Motpart!$Z$10=""),0,IF(AND(Motpart!$Y$10=0,Motpart!$Z$10=0),0,((T23/$T$30)*(Motpart!$Y$10+Motpart!$Z$10)))))</f>
        <v>6257.7981271551744</v>
      </c>
    </row>
    <row r="24" spans="1:34">
      <c r="A24" s="2131" t="s">
        <v>226</v>
      </c>
      <c r="B24" s="877" t="s">
        <v>19</v>
      </c>
      <c r="C24" s="20">
        <v>1020.995</v>
      </c>
      <c r="D24" s="21">
        <v>398.45499999999998</v>
      </c>
      <c r="E24" s="20">
        <v>600.71199999999999</v>
      </c>
      <c r="F24" s="20">
        <v>975.95600000000002</v>
      </c>
      <c r="G24" s="20">
        <v>418.22300000000001</v>
      </c>
      <c r="H24" s="21">
        <v>18.382000000000001</v>
      </c>
      <c r="I24" s="20">
        <v>32.463999999999999</v>
      </c>
      <c r="J24" s="100">
        <v>915.37900000000002</v>
      </c>
      <c r="K24" s="31"/>
      <c r="L24" s="104">
        <v>92.600999999999999</v>
      </c>
      <c r="M24" s="23">
        <v>1291.3820000000001</v>
      </c>
      <c r="N24" s="21">
        <v>24.126000000000001</v>
      </c>
      <c r="O24" s="373">
        <v>123.089</v>
      </c>
      <c r="P24" s="372">
        <f t="shared" si="2"/>
        <v>5911.7639999999992</v>
      </c>
      <c r="Q24" s="49"/>
      <c r="R24" s="104">
        <v>18.317</v>
      </c>
      <c r="S24" s="23">
        <v>6.3689999999999998</v>
      </c>
      <c r="T24" s="101">
        <v>428.077</v>
      </c>
      <c r="U24" s="50"/>
      <c r="V24" s="114">
        <v>933.096</v>
      </c>
      <c r="W24" s="407">
        <f t="shared" si="1"/>
        <v>1385.8589999999999</v>
      </c>
      <c r="X24" s="57"/>
      <c r="Y24" s="1007">
        <v>4961.08</v>
      </c>
      <c r="Z24" s="1658"/>
      <c r="AA24" s="1656"/>
      <c r="AB24" s="1657"/>
      <c r="AC24" s="2243"/>
      <c r="AD24" s="2209"/>
      <c r="AE24" s="2274"/>
      <c r="AF24" s="2297">
        <v>4525.9229999999998</v>
      </c>
      <c r="AG24" s="2286">
        <v>3984.3490000000002</v>
      </c>
      <c r="AH24" s="1857">
        <f>W24-V24-(IF(AND(Motpart!$Y$10="",Motpart!$Z$10=""),0,IF(AND(Motpart!$Y$10=0,Motpart!$Z$10=0),0,((T24/$T$30)*(Motpart!$Y$10+Motpart!$Z$10)))))</f>
        <v>430.43003611127682</v>
      </c>
    </row>
    <row r="25" spans="1:34">
      <c r="A25" s="2131" t="s">
        <v>227</v>
      </c>
      <c r="B25" s="877" t="s">
        <v>62</v>
      </c>
      <c r="C25" s="20">
        <v>1304.866</v>
      </c>
      <c r="D25" s="21">
        <v>511.42200000000003</v>
      </c>
      <c r="E25" s="20">
        <v>35.042999999999999</v>
      </c>
      <c r="F25" s="20">
        <v>135.28299999999999</v>
      </c>
      <c r="G25" s="20">
        <v>188.46299999999999</v>
      </c>
      <c r="H25" s="21">
        <v>10.497999999999999</v>
      </c>
      <c r="I25" s="20">
        <v>36.259</v>
      </c>
      <c r="J25" s="100">
        <v>10.356999999999999</v>
      </c>
      <c r="K25" s="31"/>
      <c r="L25" s="104">
        <v>56.398000000000003</v>
      </c>
      <c r="M25" s="23">
        <v>187.14500000000001</v>
      </c>
      <c r="N25" s="21">
        <v>15.073</v>
      </c>
      <c r="O25" s="373">
        <v>73.665000000000006</v>
      </c>
      <c r="P25" s="372">
        <f t="shared" si="2"/>
        <v>2564.4719999999998</v>
      </c>
      <c r="Q25" s="49"/>
      <c r="R25" s="104">
        <v>932.84400000000005</v>
      </c>
      <c r="S25" s="23">
        <v>0.87</v>
      </c>
      <c r="T25" s="101">
        <v>115.571</v>
      </c>
      <c r="U25" s="50"/>
      <c r="V25" s="114">
        <v>241.71</v>
      </c>
      <c r="W25" s="407">
        <f t="shared" si="1"/>
        <v>1290.9950000000001</v>
      </c>
      <c r="X25" s="57"/>
      <c r="Y25" s="1007">
        <v>2304.8670000000002</v>
      </c>
      <c r="Z25" s="1642"/>
      <c r="AA25" s="1656"/>
      <c r="AB25" s="1657"/>
      <c r="AC25" s="2243"/>
      <c r="AD25" s="2209"/>
      <c r="AE25" s="2274"/>
      <c r="AF25" s="2297">
        <v>1273.4849999999999</v>
      </c>
      <c r="AG25" s="2286">
        <v>2176.991</v>
      </c>
      <c r="AH25" s="1857">
        <f>W25-V25-(IF(AND(Motpart!$Y$10="",Motpart!$Z$10=""),0,IF(AND(Motpart!$Y$10=0,Motpart!$Z$10=0),0,((T25/$T$30)*(Motpart!$Y$10+Motpart!$Z$10)))))</f>
        <v>1043.2556104986168</v>
      </c>
    </row>
    <row r="26" spans="1:34">
      <c r="A26" s="2131" t="s">
        <v>228</v>
      </c>
      <c r="B26" s="877" t="s">
        <v>63</v>
      </c>
      <c r="C26" s="20">
        <v>525.18899999999996</v>
      </c>
      <c r="D26" s="21">
        <v>205.078</v>
      </c>
      <c r="E26" s="20">
        <v>205.077</v>
      </c>
      <c r="F26" s="20">
        <v>48.484999999999999</v>
      </c>
      <c r="G26" s="20">
        <v>426.88900000000001</v>
      </c>
      <c r="H26" s="21">
        <v>52.165999999999997</v>
      </c>
      <c r="I26" s="20">
        <v>17.085999999999999</v>
      </c>
      <c r="J26" s="100">
        <v>59.878999999999998</v>
      </c>
      <c r="K26" s="31"/>
      <c r="L26" s="104">
        <v>25.635000000000002</v>
      </c>
      <c r="M26" s="23">
        <v>136.67699999999999</v>
      </c>
      <c r="N26" s="21">
        <v>5.59</v>
      </c>
      <c r="O26" s="373">
        <v>57.414999999999999</v>
      </c>
      <c r="P26" s="372">
        <f t="shared" si="2"/>
        <v>1765.1659999999995</v>
      </c>
      <c r="Q26" s="49"/>
      <c r="R26" s="104">
        <v>60.35</v>
      </c>
      <c r="S26" s="23">
        <v>2.6619999999999999</v>
      </c>
      <c r="T26" s="101">
        <v>527.60400000000004</v>
      </c>
      <c r="U26" s="50"/>
      <c r="V26" s="114">
        <v>81.725999999999999</v>
      </c>
      <c r="W26" s="407">
        <f t="shared" si="1"/>
        <v>672.34199999999998</v>
      </c>
      <c r="X26" s="57"/>
      <c r="Y26" s="1007">
        <v>1662.2239999999999</v>
      </c>
      <c r="Z26" s="1659"/>
      <c r="AA26" s="1646"/>
      <c r="AB26" s="1646"/>
      <c r="AC26" s="2241"/>
      <c r="AD26" s="2209"/>
      <c r="AE26" s="2274"/>
      <c r="AF26" s="2297">
        <v>1092.837</v>
      </c>
      <c r="AG26" s="2286">
        <v>1582.8009999999999</v>
      </c>
      <c r="AH26" s="1857">
        <f>W26-V26-(IF(AND(Motpart!$Y$10="",Motpart!$Z$10=""),0,IF(AND(Motpart!$Y$10=0,Motpart!$Z$10=0),0,((T26/$T$30)*(Motpart!$Y$10+Motpart!$Z$10)))))</f>
        <v>563.09066909096759</v>
      </c>
    </row>
    <row r="27" spans="1:34">
      <c r="A27" s="2131" t="s">
        <v>229</v>
      </c>
      <c r="B27" s="877" t="s">
        <v>64</v>
      </c>
      <c r="C27" s="20">
        <v>124.22</v>
      </c>
      <c r="D27" s="21">
        <v>48.209000000000003</v>
      </c>
      <c r="E27" s="20">
        <v>3.0289999999999999</v>
      </c>
      <c r="F27" s="20">
        <v>12.885999999999999</v>
      </c>
      <c r="G27" s="20">
        <v>30.693000000000001</v>
      </c>
      <c r="H27" s="21">
        <v>0.19500000000000001</v>
      </c>
      <c r="I27" s="20">
        <v>1.361</v>
      </c>
      <c r="J27" s="100">
        <v>0.45</v>
      </c>
      <c r="K27" s="31"/>
      <c r="L27" s="104">
        <v>7.0670000000000002</v>
      </c>
      <c r="M27" s="23">
        <v>23.25</v>
      </c>
      <c r="N27" s="21">
        <v>3.0129999999999999</v>
      </c>
      <c r="O27" s="373">
        <v>7.7850000000000001</v>
      </c>
      <c r="P27" s="372">
        <f t="shared" si="2"/>
        <v>262.15800000000002</v>
      </c>
      <c r="Q27" s="49"/>
      <c r="R27" s="104">
        <v>205.322</v>
      </c>
      <c r="S27" s="23">
        <v>0.03</v>
      </c>
      <c r="T27" s="101">
        <v>16.768999999999998</v>
      </c>
      <c r="U27" s="50"/>
      <c r="V27" s="114">
        <v>12.62</v>
      </c>
      <c r="W27" s="407">
        <f t="shared" si="1"/>
        <v>234.74100000000001</v>
      </c>
      <c r="X27" s="57"/>
      <c r="Y27" s="1007">
        <v>246.05600000000001</v>
      </c>
      <c r="Z27" s="1645"/>
      <c r="AA27" s="1646"/>
      <c r="AB27" s="1646"/>
      <c r="AC27" s="2241"/>
      <c r="AD27" s="2209"/>
      <c r="AE27" s="2274"/>
      <c r="AF27" s="2297">
        <v>27.411999999999999</v>
      </c>
      <c r="AG27" s="2286">
        <v>236.46299999999999</v>
      </c>
      <c r="AH27" s="1857">
        <f>W27-V27-(IF(AND(Motpart!$Y$10="",Motpart!$Z$10=""),0,IF(AND(Motpart!$Y$10=0,Motpart!$Z$10=0),0,((T27/$T$30)*(Motpart!$Y$10+Motpart!$Z$10)))))</f>
        <v>221.24615395255995</v>
      </c>
    </row>
    <row r="28" spans="1:34">
      <c r="A28" s="2131" t="s">
        <v>230</v>
      </c>
      <c r="B28" s="877" t="s">
        <v>20</v>
      </c>
      <c r="C28" s="20">
        <v>1528.413</v>
      </c>
      <c r="D28" s="21">
        <v>600.30600000000004</v>
      </c>
      <c r="E28" s="20">
        <v>165.07599999999999</v>
      </c>
      <c r="F28" s="20">
        <v>4102.2910000000002</v>
      </c>
      <c r="G28" s="20">
        <v>354.75299999999999</v>
      </c>
      <c r="H28" s="21">
        <v>1109.4269999999999</v>
      </c>
      <c r="I28" s="20">
        <v>116.15900000000001</v>
      </c>
      <c r="J28" s="100">
        <v>195.62799999999999</v>
      </c>
      <c r="K28" s="31"/>
      <c r="L28" s="104">
        <v>194.99199999999999</v>
      </c>
      <c r="M28" s="23">
        <v>128.209</v>
      </c>
      <c r="N28" s="21">
        <v>30.431000000000001</v>
      </c>
      <c r="O28" s="373">
        <v>97.450999999999993</v>
      </c>
      <c r="P28" s="372">
        <f t="shared" si="2"/>
        <v>8623.1359999999986</v>
      </c>
      <c r="Q28" s="49"/>
      <c r="R28" s="104">
        <v>148.49</v>
      </c>
      <c r="S28" s="23">
        <v>35.997999999999998</v>
      </c>
      <c r="T28" s="101">
        <v>448.93400000000003</v>
      </c>
      <c r="U28" s="50"/>
      <c r="V28" s="114">
        <v>124.706</v>
      </c>
      <c r="W28" s="407">
        <f t="shared" si="1"/>
        <v>758.12800000000004</v>
      </c>
      <c r="X28" s="57"/>
      <c r="Y28" s="1007">
        <v>8388.2639999999992</v>
      </c>
      <c r="Z28" s="1645"/>
      <c r="AA28" s="1646"/>
      <c r="AB28" s="1646"/>
      <c r="AC28" s="2241"/>
      <c r="AD28" s="2209"/>
      <c r="AE28" s="2274"/>
      <c r="AF28" s="2297">
        <v>7865.018</v>
      </c>
      <c r="AG28" s="2286">
        <v>3286.7280000000001</v>
      </c>
      <c r="AH28" s="1857">
        <f>W28-V28-(IF(AND(Motpart!$Y$10="",Motpart!$Z$10=""),0,IF(AND(Motpart!$Y$10=0,Motpart!$Z$10=0),0,((T28/$T$30)*(Motpart!$Y$10+Motpart!$Z$10)))))</f>
        <v>610.00091731996815</v>
      </c>
    </row>
    <row r="29" spans="1:34">
      <c r="A29" s="2131" t="s">
        <v>231</v>
      </c>
      <c r="B29" s="877" t="s">
        <v>65</v>
      </c>
      <c r="C29" s="20">
        <v>190.643</v>
      </c>
      <c r="D29" s="21">
        <v>73.58</v>
      </c>
      <c r="E29" s="20">
        <v>18.329000000000001</v>
      </c>
      <c r="F29" s="20">
        <v>20.614999999999998</v>
      </c>
      <c r="G29" s="20">
        <v>234.48599999999999</v>
      </c>
      <c r="H29" s="21">
        <v>6.5469999999999997</v>
      </c>
      <c r="I29" s="20">
        <v>2.5680000000000001</v>
      </c>
      <c r="J29" s="100">
        <v>18.526</v>
      </c>
      <c r="K29" s="31"/>
      <c r="L29" s="104">
        <v>6.625</v>
      </c>
      <c r="M29" s="23">
        <v>44.750999999999998</v>
      </c>
      <c r="N29" s="21">
        <v>2.3730000000000002</v>
      </c>
      <c r="O29" s="373">
        <v>21.635000000000002</v>
      </c>
      <c r="P29" s="372">
        <f t="shared" si="2"/>
        <v>640.678</v>
      </c>
      <c r="Q29" s="49"/>
      <c r="R29" s="104">
        <v>14.901999999999999</v>
      </c>
      <c r="S29" s="23">
        <v>3.238</v>
      </c>
      <c r="T29" s="101">
        <v>381.767</v>
      </c>
      <c r="U29" s="50"/>
      <c r="V29" s="114">
        <v>39.116</v>
      </c>
      <c r="W29" s="407">
        <f t="shared" si="1"/>
        <v>439.02299999999997</v>
      </c>
      <c r="X29" s="57"/>
      <c r="Y29" s="1007">
        <v>581.65200000000004</v>
      </c>
      <c r="Z29" s="1653"/>
      <c r="AA29" s="1654"/>
      <c r="AB29" s="1654"/>
      <c r="AC29" s="2244"/>
      <c r="AD29" s="2209"/>
      <c r="AE29" s="2274"/>
      <c r="AF29" s="2297">
        <v>201.63800000000001</v>
      </c>
      <c r="AG29" s="2286">
        <v>574.39400000000001</v>
      </c>
      <c r="AH29" s="1857">
        <f>W29-V29-(IF(AND(Motpart!$Y$10="",Motpart!$Z$10=""),0,IF(AND(Motpart!$Y$10=0,Motpart!$Z$10=0),0,((T29/$T$30)*(Motpart!$Y$10+Motpart!$Z$10)))))</f>
        <v>379.99004901943772</v>
      </c>
    </row>
    <row r="30" spans="1:34" ht="12.75" customHeight="1" thickBot="1">
      <c r="A30" s="2146" t="s">
        <v>232</v>
      </c>
      <c r="B30" s="877" t="s">
        <v>66</v>
      </c>
      <c r="C30" s="365">
        <f t="shared" ref="C30:M30" si="3">SUM(C19:C29)</f>
        <v>11370.710999999999</v>
      </c>
      <c r="D30" s="26">
        <f t="shared" si="3"/>
        <v>4452.0859999999993</v>
      </c>
      <c r="E30" s="26">
        <f t="shared" si="3"/>
        <v>6154.3700000000008</v>
      </c>
      <c r="F30" s="376">
        <f t="shared" si="3"/>
        <v>8894.91</v>
      </c>
      <c r="G30" s="377">
        <f t="shared" si="3"/>
        <v>6047.0619999999999</v>
      </c>
      <c r="H30" s="378">
        <f t="shared" si="3"/>
        <v>3049.9630000000002</v>
      </c>
      <c r="I30" s="365">
        <f t="shared" si="3"/>
        <v>1188.1790000000001</v>
      </c>
      <c r="J30" s="105">
        <f t="shared" si="3"/>
        <v>7141.5609999999997</v>
      </c>
      <c r="K30" s="148"/>
      <c r="L30" s="374">
        <f>SUM(L19:L29)</f>
        <v>1157.107</v>
      </c>
      <c r="M30" s="365">
        <f t="shared" si="3"/>
        <v>5721.7210000000005</v>
      </c>
      <c r="N30" s="26">
        <f t="shared" ref="N30:W30" si="4">SUM(N19:N29)</f>
        <v>261.46199999999999</v>
      </c>
      <c r="O30" s="26">
        <f t="shared" si="4"/>
        <v>1203.953</v>
      </c>
      <c r="P30" s="105">
        <f t="shared" si="4"/>
        <v>56643.084999999992</v>
      </c>
      <c r="Q30" s="49"/>
      <c r="R30" s="374">
        <f t="shared" si="4"/>
        <v>7929.3220000000001</v>
      </c>
      <c r="S30" s="365">
        <f t="shared" si="4"/>
        <v>427.46899999999999</v>
      </c>
      <c r="T30" s="105">
        <f t="shared" si="4"/>
        <v>7088.2290000000003</v>
      </c>
      <c r="U30" s="49"/>
      <c r="V30" s="117">
        <f t="shared" si="4"/>
        <v>7049.8649999999989</v>
      </c>
      <c r="W30" s="118">
        <f t="shared" si="4"/>
        <v>22494.885000000002</v>
      </c>
      <c r="X30" s="57"/>
      <c r="Y30" s="1661">
        <v>49223.491000000002</v>
      </c>
      <c r="Z30" s="988">
        <f>(P30-W30)*1000/invanare</f>
        <v>3306.5026115969558</v>
      </c>
      <c r="AA30" s="988">
        <f>Y30*1000/invanare</f>
        <v>4766.2131984531916</v>
      </c>
      <c r="AB30" s="988">
        <v>4663.8450000000003</v>
      </c>
      <c r="AC30" s="2242">
        <f>IF(ISERROR((AA30-AB30)/AB30)," ",((AA30-AB30)/AB30))</f>
        <v>2.1949314021626216E-2</v>
      </c>
      <c r="AD30" s="2209"/>
      <c r="AE30" s="2275">
        <f>IF(ISERROR(F30/(AA30/1000*invanare)),"",(F30/(AA30/100000*invanare)))</f>
        <v>18.070457456989388</v>
      </c>
      <c r="AF30" s="2297">
        <v>34148.249000000003</v>
      </c>
      <c r="AG30" s="2287">
        <v>37648.411999999997</v>
      </c>
      <c r="AH30" s="1859">
        <f>W30-V30-SUM(Motpart!Y10:Z10)</f>
        <v>15075.224000000004</v>
      </c>
    </row>
    <row r="31" spans="1:34" ht="37.5" customHeight="1" thickBot="1">
      <c r="A31" s="2141"/>
      <c r="B31" s="880" t="s">
        <v>67</v>
      </c>
      <c r="C31" s="921"/>
      <c r="D31" s="922"/>
      <c r="E31" s="923"/>
      <c r="F31" s="924"/>
      <c r="G31" s="925"/>
      <c r="H31" s="926"/>
      <c r="I31" s="925"/>
      <c r="J31" s="927"/>
      <c r="K31" s="31"/>
      <c r="L31" s="954"/>
      <c r="M31" s="925"/>
      <c r="N31" s="922"/>
      <c r="O31" s="922"/>
      <c r="P31" s="927"/>
      <c r="Q31" s="50"/>
      <c r="R31" s="954"/>
      <c r="S31" s="925"/>
      <c r="T31" s="927"/>
      <c r="U31" s="50"/>
      <c r="V31" s="969"/>
      <c r="W31" s="970"/>
      <c r="X31" s="31"/>
      <c r="Y31" s="1662" t="s">
        <v>995</v>
      </c>
      <c r="Z31" s="2508"/>
      <c r="AA31" s="2484"/>
      <c r="AB31" s="2484"/>
      <c r="AC31" s="2485"/>
      <c r="AD31" s="2209"/>
      <c r="AE31" s="2274">
        <f>IF(ISERROR(F30/(AA30/1000*invanare)),"",(SUM(Motpart!D10,Motpart!F10)/(AA30/100000*invanare)))</f>
        <v>7.3393351966848508</v>
      </c>
      <c r="AF31" s="2300"/>
      <c r="AG31" s="2289"/>
      <c r="AH31" s="1860"/>
    </row>
    <row r="32" spans="1:34" ht="9" customHeight="1">
      <c r="A32" s="2148"/>
      <c r="B32" s="881" t="s">
        <v>68</v>
      </c>
      <c r="C32" s="928"/>
      <c r="D32" s="929"/>
      <c r="E32" s="930"/>
      <c r="F32" s="931"/>
      <c r="G32" s="932"/>
      <c r="H32" s="933"/>
      <c r="I32" s="932"/>
      <c r="J32" s="934"/>
      <c r="K32" s="31"/>
      <c r="L32" s="955"/>
      <c r="M32" s="932"/>
      <c r="N32" s="929"/>
      <c r="O32" s="929"/>
      <c r="P32" s="934"/>
      <c r="Q32" s="50"/>
      <c r="R32" s="955"/>
      <c r="S32" s="932"/>
      <c r="T32" s="934"/>
      <c r="U32" s="50"/>
      <c r="V32" s="971"/>
      <c r="W32" s="972"/>
      <c r="X32" s="31"/>
      <c r="Y32" s="1513"/>
      <c r="Z32" s="982"/>
      <c r="AA32" s="983"/>
      <c r="AB32" s="984"/>
      <c r="AC32" s="2245"/>
      <c r="AD32" s="2209"/>
      <c r="AE32" s="2274"/>
      <c r="AF32" s="2301"/>
      <c r="AG32" s="2290"/>
      <c r="AH32" s="1861"/>
    </row>
    <row r="33" spans="1:34" ht="12" customHeight="1">
      <c r="A33" s="2131" t="s">
        <v>233</v>
      </c>
      <c r="B33" s="879" t="s">
        <v>69</v>
      </c>
      <c r="C33" s="20">
        <v>6.9480000000000004</v>
      </c>
      <c r="D33" s="21">
        <v>2.6989999999999998</v>
      </c>
      <c r="E33" s="453">
        <v>0.58099999999999996</v>
      </c>
      <c r="F33" s="454">
        <v>1.2330000000000001</v>
      </c>
      <c r="G33" s="20">
        <v>7.7949999999999999</v>
      </c>
      <c r="H33" s="455">
        <v>459.904</v>
      </c>
      <c r="I33" s="20">
        <v>5.7160000000000002</v>
      </c>
      <c r="J33" s="100">
        <v>0.104</v>
      </c>
      <c r="K33" s="31"/>
      <c r="L33" s="103">
        <v>15.031000000000001</v>
      </c>
      <c r="M33" s="20">
        <v>13.426</v>
      </c>
      <c r="N33" s="21">
        <v>1.655</v>
      </c>
      <c r="O33" s="373">
        <v>1.6279999999999999</v>
      </c>
      <c r="P33" s="372">
        <f>SUM(C33:O33)</f>
        <v>516.72</v>
      </c>
      <c r="Q33" s="49"/>
      <c r="R33" s="103">
        <v>0.29199999999999998</v>
      </c>
      <c r="S33" s="20">
        <v>0.76700000000000002</v>
      </c>
      <c r="T33" s="100">
        <v>3.3370000000000002</v>
      </c>
      <c r="U33" s="50"/>
      <c r="V33" s="113">
        <v>12.462</v>
      </c>
      <c r="W33" s="407">
        <f>SUM(R33:V33)</f>
        <v>16.858000000000001</v>
      </c>
      <c r="X33" s="57"/>
      <c r="Y33" s="987">
        <v>504.149</v>
      </c>
      <c r="Z33" s="982"/>
      <c r="AA33" s="982"/>
      <c r="AB33" s="982"/>
      <c r="AC33" s="2246"/>
      <c r="AD33" s="2209"/>
      <c r="AE33" s="2274"/>
      <c r="AF33" s="2297">
        <v>499.86399999999998</v>
      </c>
      <c r="AG33" s="2286">
        <v>43.125999999999998</v>
      </c>
      <c r="AH33" s="1857">
        <f>W33-V33-(IF(AND(Motpart!$Y$11="",Motpart!$Z$11=""),0,IF(AND(Motpart!$Y$11=0,Motpart!$Z$11=0),0,((T33/$T$37)*(Motpart!$Y$11+Motpart!$Z$11)))))</f>
        <v>4.3503961915767535</v>
      </c>
    </row>
    <row r="34" spans="1:34">
      <c r="A34" s="2131" t="s">
        <v>234</v>
      </c>
      <c r="B34" s="877" t="s">
        <v>70</v>
      </c>
      <c r="C34" s="20">
        <v>1247.3910000000001</v>
      </c>
      <c r="D34" s="21">
        <v>481.80599999999998</v>
      </c>
      <c r="E34" s="20">
        <v>219.41800000000001</v>
      </c>
      <c r="F34" s="20">
        <v>151.12</v>
      </c>
      <c r="G34" s="20">
        <v>868.80499999999995</v>
      </c>
      <c r="H34" s="24">
        <v>1226.884</v>
      </c>
      <c r="I34" s="23">
        <v>289.69400000000002</v>
      </c>
      <c r="J34" s="101">
        <v>102.125</v>
      </c>
      <c r="K34" s="31"/>
      <c r="L34" s="104">
        <v>632.25400000000002</v>
      </c>
      <c r="M34" s="23">
        <v>437.95</v>
      </c>
      <c r="N34" s="21">
        <v>14.605</v>
      </c>
      <c r="O34" s="373">
        <v>119.486</v>
      </c>
      <c r="P34" s="372">
        <f>SUM(C34:O34)</f>
        <v>5791.5379999999996</v>
      </c>
      <c r="Q34" s="49"/>
      <c r="R34" s="104">
        <v>113.51</v>
      </c>
      <c r="S34" s="23">
        <v>71.948999999999998</v>
      </c>
      <c r="T34" s="101">
        <v>806.81200000000001</v>
      </c>
      <c r="U34" s="50"/>
      <c r="V34" s="114">
        <v>431.34899999999999</v>
      </c>
      <c r="W34" s="407">
        <f>SUM(R34:V34)</f>
        <v>1423.62</v>
      </c>
      <c r="X34" s="57"/>
      <c r="Y34" s="1007">
        <v>5351.9409999999998</v>
      </c>
      <c r="Z34" s="982"/>
      <c r="AA34" s="982"/>
      <c r="AB34" s="982"/>
      <c r="AC34" s="2246"/>
      <c r="AD34" s="2209"/>
      <c r="AE34" s="2274"/>
      <c r="AF34" s="2297">
        <v>4367.9120000000003</v>
      </c>
      <c r="AG34" s="2286">
        <v>3982.1759999999999</v>
      </c>
      <c r="AH34" s="1857">
        <f>W34-V34-(IF(AND(Motpart!$Y$11="",Motpart!$Z$11=""),0,IF(AND(Motpart!$Y$11=0,Motpart!$Z$11=0),0,((T34/$T$37)*(Motpart!$Y$11+Motpart!$Z$11)))))</f>
        <v>981.2450186150503</v>
      </c>
    </row>
    <row r="35" spans="1:34">
      <c r="A35" s="2131" t="s">
        <v>235</v>
      </c>
      <c r="B35" s="877" t="s">
        <v>71</v>
      </c>
      <c r="C35" s="20">
        <v>1919.6659999999999</v>
      </c>
      <c r="D35" s="21">
        <v>744.99900000000002</v>
      </c>
      <c r="E35" s="23">
        <v>586.822</v>
      </c>
      <c r="F35" s="23">
        <v>42.606000000000002</v>
      </c>
      <c r="G35" s="23">
        <v>464.755</v>
      </c>
      <c r="H35" s="24">
        <v>7.6660000000000004</v>
      </c>
      <c r="I35" s="23">
        <v>331.78300000000002</v>
      </c>
      <c r="J35" s="101">
        <v>104.736</v>
      </c>
      <c r="K35" s="31"/>
      <c r="L35" s="104">
        <v>590.85799999999995</v>
      </c>
      <c r="M35" s="23">
        <v>395.791</v>
      </c>
      <c r="N35" s="21">
        <v>34.162999999999997</v>
      </c>
      <c r="O35" s="373">
        <v>161.655</v>
      </c>
      <c r="P35" s="372">
        <f>SUM(C35:O35)</f>
        <v>5385.5</v>
      </c>
      <c r="Q35" s="49"/>
      <c r="R35" s="104">
        <v>50.281999999999996</v>
      </c>
      <c r="S35" s="23">
        <v>6.9950000000000001</v>
      </c>
      <c r="T35" s="101">
        <v>359.06900000000002</v>
      </c>
      <c r="U35" s="50"/>
      <c r="V35" s="114">
        <v>336.34699999999998</v>
      </c>
      <c r="W35" s="407">
        <f>SUM(R35:V35)</f>
        <v>752.69299999999998</v>
      </c>
      <c r="X35" s="57"/>
      <c r="Y35" s="1007">
        <v>5042.0969999999998</v>
      </c>
      <c r="Z35" s="982"/>
      <c r="AA35" s="982"/>
      <c r="AB35" s="982"/>
      <c r="AC35" s="2246"/>
      <c r="AD35" s="2209"/>
      <c r="AE35" s="2274"/>
      <c r="AF35" s="2297">
        <v>4632.8019999999997</v>
      </c>
      <c r="AG35" s="2286">
        <v>4998.8739999999998</v>
      </c>
      <c r="AH35" s="1857">
        <f>W35-V35-(IF(AND(Motpart!$Y$11="",Motpart!$Z$11=""),0,IF(AND(Motpart!$Y$11=0,Motpart!$Z$11=0),0,((T35/$T$37)*(Motpart!$Y$11+Motpart!$Z$11)))))</f>
        <v>411.43892361800209</v>
      </c>
    </row>
    <row r="36" spans="1:34">
      <c r="A36" s="2131" t="s">
        <v>236</v>
      </c>
      <c r="B36" s="877" t="s">
        <v>72</v>
      </c>
      <c r="C36" s="20">
        <v>1697.3489999999999</v>
      </c>
      <c r="D36" s="21">
        <v>657.08399999999995</v>
      </c>
      <c r="E36" s="23">
        <v>74.084999999999994</v>
      </c>
      <c r="F36" s="23">
        <v>77.795000000000002</v>
      </c>
      <c r="G36" s="23">
        <v>183.72499999999999</v>
      </c>
      <c r="H36" s="24">
        <v>14.756</v>
      </c>
      <c r="I36" s="23">
        <v>98.978999999999999</v>
      </c>
      <c r="J36" s="101">
        <v>24.097000000000001</v>
      </c>
      <c r="K36" s="31"/>
      <c r="L36" s="104">
        <v>217.411</v>
      </c>
      <c r="M36" s="23">
        <v>288.96300000000002</v>
      </c>
      <c r="N36" s="21">
        <v>18.661999999999999</v>
      </c>
      <c r="O36" s="373">
        <v>101.58199999999999</v>
      </c>
      <c r="P36" s="372">
        <f>SUM(C36:O36)</f>
        <v>3454.4879999999998</v>
      </c>
      <c r="Q36" s="49"/>
      <c r="R36" s="104">
        <v>248.523</v>
      </c>
      <c r="S36" s="23">
        <v>2.7250000000000001</v>
      </c>
      <c r="T36" s="101">
        <v>184.203</v>
      </c>
      <c r="U36" s="50"/>
      <c r="V36" s="114">
        <v>280.35899999999998</v>
      </c>
      <c r="W36" s="407">
        <f>SUM(R36:V36)</f>
        <v>715.81</v>
      </c>
      <c r="X36" s="57"/>
      <c r="Y36" s="1007">
        <v>3171.0189999999998</v>
      </c>
      <c r="Z36" s="989">
        <f>(P36-W36)*1000/invanare</f>
        <v>265.18076968399885</v>
      </c>
      <c r="AA36" s="989">
        <f>Y36*1000/inv7_15</f>
        <v>2877.1393548750025</v>
      </c>
      <c r="AB36" s="989">
        <v>2878.2730000000001</v>
      </c>
      <c r="AC36" s="2247">
        <f>IF(ISERROR((AA36-AB36)/AB36)," ",((AA36-AB36)/AB36))</f>
        <v>-3.9386296053142152E-4</v>
      </c>
      <c r="AD36" s="2209"/>
      <c r="AE36" s="2274"/>
      <c r="AF36" s="2297">
        <v>2738.6909999999998</v>
      </c>
      <c r="AG36" s="2286">
        <v>3081.5970000000002</v>
      </c>
      <c r="AH36" s="1857">
        <f>W36-V36-(IF(AND(Motpart!$Y$11="",Motpart!$Z$11=""),0,IF(AND(Motpart!$Y$11=0,Motpart!$Z$11=0),0,((T36/$T$37)*(Motpart!$Y$11+Motpart!$Z$11)))))</f>
        <v>432.93366157537082</v>
      </c>
    </row>
    <row r="37" spans="1:34">
      <c r="A37" s="2131" t="s">
        <v>237</v>
      </c>
      <c r="B37" s="877" t="s">
        <v>73</v>
      </c>
      <c r="C37" s="365">
        <f t="shared" ref="C37:M37" si="5">SUM(C33:C36)</f>
        <v>4871.3540000000003</v>
      </c>
      <c r="D37" s="26">
        <f t="shared" si="5"/>
        <v>1886.5879999999997</v>
      </c>
      <c r="E37" s="365">
        <f t="shared" si="5"/>
        <v>880.90600000000006</v>
      </c>
      <c r="F37" s="365">
        <f t="shared" si="5"/>
        <v>272.75400000000002</v>
      </c>
      <c r="G37" s="365">
        <f t="shared" si="5"/>
        <v>1525.08</v>
      </c>
      <c r="H37" s="26">
        <f t="shared" si="5"/>
        <v>1709.21</v>
      </c>
      <c r="I37" s="365">
        <f t="shared" si="5"/>
        <v>726.17200000000003</v>
      </c>
      <c r="J37" s="105">
        <f t="shared" si="5"/>
        <v>231.06200000000001</v>
      </c>
      <c r="K37" s="148"/>
      <c r="L37" s="374">
        <f>SUM(L33:L36)</f>
        <v>1455.5540000000001</v>
      </c>
      <c r="M37" s="365">
        <f t="shared" si="5"/>
        <v>1136.1299999999999</v>
      </c>
      <c r="N37" s="26">
        <f t="shared" ref="N37:W37" si="6">SUM(N33:N36)</f>
        <v>69.085000000000008</v>
      </c>
      <c r="O37" s="26">
        <f t="shared" si="6"/>
        <v>384.351</v>
      </c>
      <c r="P37" s="105">
        <f t="shared" si="6"/>
        <v>15148.245999999999</v>
      </c>
      <c r="Q37" s="49"/>
      <c r="R37" s="374">
        <f t="shared" si="6"/>
        <v>412.60699999999997</v>
      </c>
      <c r="S37" s="365">
        <f t="shared" si="6"/>
        <v>82.435999999999993</v>
      </c>
      <c r="T37" s="105">
        <f t="shared" si="6"/>
        <v>1353.421</v>
      </c>
      <c r="U37" s="49"/>
      <c r="V37" s="117">
        <f t="shared" si="6"/>
        <v>1060.5169999999998</v>
      </c>
      <c r="W37" s="118">
        <f t="shared" si="6"/>
        <v>2908.9809999999998</v>
      </c>
      <c r="X37" s="57"/>
      <c r="Y37" s="987">
        <v>14069.248</v>
      </c>
      <c r="Z37" s="990">
        <f>(P37-W37)*1000/invanare</f>
        <v>1185.1038030270183</v>
      </c>
      <c r="AA37" s="991">
        <f>Y37*1000/invanare</f>
        <v>1362.2974345706436</v>
      </c>
      <c r="AB37" s="991">
        <v>1336.4369999999999</v>
      </c>
      <c r="AC37" s="2248">
        <f>IF(ISERROR((AA37-AB37)/AB37)," ",((AA37-AB37)/AB37))</f>
        <v>1.9350283306017232E-2</v>
      </c>
      <c r="AD37" s="2209"/>
      <c r="AE37" s="2274"/>
      <c r="AF37" s="2297">
        <v>12239.263000000001</v>
      </c>
      <c r="AG37" s="2286">
        <v>12105.767</v>
      </c>
      <c r="AH37" s="1857">
        <f>W37-V37-SUM(Motpart!Y11:Z11)</f>
        <v>1829.9679999999998</v>
      </c>
    </row>
    <row r="38" spans="1:34" ht="9" customHeight="1">
      <c r="A38" s="2148"/>
      <c r="B38" s="881" t="s">
        <v>74</v>
      </c>
      <c r="C38" s="935"/>
      <c r="D38" s="936"/>
      <c r="E38" s="937"/>
      <c r="F38" s="937"/>
      <c r="G38" s="937"/>
      <c r="H38" s="936"/>
      <c r="I38" s="937"/>
      <c r="J38" s="938"/>
      <c r="K38" s="31"/>
      <c r="L38" s="956"/>
      <c r="M38" s="937"/>
      <c r="N38" s="936"/>
      <c r="O38" s="936"/>
      <c r="P38" s="938"/>
      <c r="Q38" s="50"/>
      <c r="R38" s="956"/>
      <c r="S38" s="937"/>
      <c r="T38" s="938"/>
      <c r="U38" s="50"/>
      <c r="V38" s="973"/>
      <c r="W38" s="974"/>
      <c r="X38" s="31"/>
      <c r="Y38" s="1513"/>
      <c r="Z38" s="982"/>
      <c r="AA38" s="983"/>
      <c r="AB38" s="984"/>
      <c r="AC38" s="2245"/>
      <c r="AD38" s="2209"/>
      <c r="AE38" s="2274"/>
      <c r="AF38" s="2297">
        <f t="shared" ref="AF38" si="7">P38-W38</f>
        <v>0</v>
      </c>
      <c r="AG38" s="2286">
        <f t="shared" ref="AG38:AG62" si="8">P38-F38-H38-V38</f>
        <v>0</v>
      </c>
      <c r="AH38" s="1857"/>
    </row>
    <row r="39" spans="1:34" ht="11.25" customHeight="1">
      <c r="A39" s="2131" t="s">
        <v>238</v>
      </c>
      <c r="B39" s="879" t="s">
        <v>75</v>
      </c>
      <c r="C39" s="20">
        <v>372.38600000000002</v>
      </c>
      <c r="D39" s="21">
        <v>144.488</v>
      </c>
      <c r="E39" s="20">
        <v>71.97</v>
      </c>
      <c r="F39" s="20">
        <v>81.518000000000001</v>
      </c>
      <c r="G39" s="20">
        <v>166.292</v>
      </c>
      <c r="H39" s="21">
        <v>1609.789</v>
      </c>
      <c r="I39" s="20">
        <v>59.247</v>
      </c>
      <c r="J39" s="100">
        <v>30.047000000000001</v>
      </c>
      <c r="K39" s="31"/>
      <c r="L39" s="103">
        <v>206.733</v>
      </c>
      <c r="M39" s="20">
        <v>177.62799999999999</v>
      </c>
      <c r="N39" s="21">
        <v>11.24</v>
      </c>
      <c r="O39" s="373">
        <v>33.404000000000003</v>
      </c>
      <c r="P39" s="372">
        <f>SUM(C39:O39)</f>
        <v>2964.7420000000002</v>
      </c>
      <c r="Q39" s="49"/>
      <c r="R39" s="103">
        <v>18.524000000000001</v>
      </c>
      <c r="S39" s="20">
        <v>22.722000000000001</v>
      </c>
      <c r="T39" s="100">
        <v>211.952</v>
      </c>
      <c r="U39" s="50"/>
      <c r="V39" s="113">
        <v>139.58799999999999</v>
      </c>
      <c r="W39" s="407">
        <f>SUM(R39:V39)</f>
        <v>392.786</v>
      </c>
      <c r="X39" s="57"/>
      <c r="Y39" s="1007">
        <v>2780.0610000000001</v>
      </c>
      <c r="Z39" s="1664"/>
      <c r="AA39" s="1665"/>
      <c r="AB39" s="1665"/>
      <c r="AC39" s="2249"/>
      <c r="AD39" s="2209"/>
      <c r="AE39" s="2274"/>
      <c r="AF39" s="2297">
        <v>2571.9720000000002</v>
      </c>
      <c r="AG39" s="2286">
        <v>1133.846</v>
      </c>
      <c r="AH39" s="1857">
        <f>W39-V39-(IF(AND(Motpart!$Y$12="",Motpart!$Z$12=""),0,IF(AND(Motpart!$Y$12=0,Motpart!$Z$12=0),0,((T39/$T$42)*(Motpart!$Y$12+Motpart!$Z$12)))))</f>
        <v>250.28141470933409</v>
      </c>
    </row>
    <row r="40" spans="1:34">
      <c r="A40" s="2131" t="s">
        <v>239</v>
      </c>
      <c r="B40" s="877" t="s">
        <v>76</v>
      </c>
      <c r="C40" s="20">
        <v>2004.6020000000001</v>
      </c>
      <c r="D40" s="21">
        <v>780.33699999999999</v>
      </c>
      <c r="E40" s="23">
        <v>1298.9469999999999</v>
      </c>
      <c r="F40" s="23">
        <v>522.18899999999996</v>
      </c>
      <c r="G40" s="23">
        <v>937.60900000000004</v>
      </c>
      <c r="H40" s="24">
        <v>311.43400000000003</v>
      </c>
      <c r="I40" s="23">
        <v>1509.779</v>
      </c>
      <c r="J40" s="101">
        <v>1170.491</v>
      </c>
      <c r="K40" s="31"/>
      <c r="L40" s="104">
        <v>4485.0330000000004</v>
      </c>
      <c r="M40" s="23">
        <v>1061.796</v>
      </c>
      <c r="N40" s="21">
        <v>57.244</v>
      </c>
      <c r="O40" s="373">
        <v>373.74299999999999</v>
      </c>
      <c r="P40" s="372">
        <f>SUM(C40:O40)</f>
        <v>14513.204000000003</v>
      </c>
      <c r="Q40" s="49"/>
      <c r="R40" s="104">
        <v>921.97199999999998</v>
      </c>
      <c r="S40" s="23">
        <v>405.84300000000002</v>
      </c>
      <c r="T40" s="101">
        <v>1104.7560000000001</v>
      </c>
      <c r="U40" s="50"/>
      <c r="V40" s="114">
        <v>1621.2170000000001</v>
      </c>
      <c r="W40" s="407">
        <f>SUM(R40:V40)</f>
        <v>4053.788</v>
      </c>
      <c r="X40" s="57"/>
      <c r="Y40" s="1007">
        <v>12873.953</v>
      </c>
      <c r="Z40" s="1664"/>
      <c r="AA40" s="1665"/>
      <c r="AB40" s="1665"/>
      <c r="AC40" s="2249"/>
      <c r="AD40" s="2209"/>
      <c r="AE40" s="2274"/>
      <c r="AF40" s="2297">
        <v>10459.41</v>
      </c>
      <c r="AG40" s="2286">
        <v>12058.352000000001</v>
      </c>
      <c r="AH40" s="1857">
        <f>W40-V40-(IF(AND(Motpart!$Y$12="",Motpart!$Z$12=""),0,IF(AND(Motpart!$Y$12=0,Motpart!$Z$12=0),0,((T40/$T$42)*(Motpart!$Y$12+Motpart!$Z$12)))))</f>
        <v>2417.3689018863943</v>
      </c>
    </row>
    <row r="41" spans="1:34">
      <c r="A41" s="2131" t="s">
        <v>240</v>
      </c>
      <c r="B41" s="877" t="s">
        <v>77</v>
      </c>
      <c r="C41" s="20">
        <v>1242.7819999999999</v>
      </c>
      <c r="D41" s="21">
        <v>485.673</v>
      </c>
      <c r="E41" s="23">
        <v>125.22199999999999</v>
      </c>
      <c r="F41" s="23">
        <v>148.89099999999999</v>
      </c>
      <c r="G41" s="23">
        <v>206.4</v>
      </c>
      <c r="H41" s="24">
        <v>63.201999999999998</v>
      </c>
      <c r="I41" s="23">
        <v>117.777</v>
      </c>
      <c r="J41" s="101">
        <v>17.170999999999999</v>
      </c>
      <c r="K41" s="31"/>
      <c r="L41" s="104">
        <v>261.93599999999998</v>
      </c>
      <c r="M41" s="23">
        <v>286.142</v>
      </c>
      <c r="N41" s="21">
        <v>13.776</v>
      </c>
      <c r="O41" s="373">
        <v>84.763000000000005</v>
      </c>
      <c r="P41" s="372">
        <f>SUM(C41:O41)</f>
        <v>3053.7349999999997</v>
      </c>
      <c r="Q41" s="49"/>
      <c r="R41" s="104">
        <v>28.456</v>
      </c>
      <c r="S41" s="23">
        <v>7.726</v>
      </c>
      <c r="T41" s="101">
        <v>162.51599999999999</v>
      </c>
      <c r="U41" s="50"/>
      <c r="V41" s="114">
        <v>286.79000000000002</v>
      </c>
      <c r="W41" s="407">
        <f>SUM(R41:V41)</f>
        <v>485.488</v>
      </c>
      <c r="X41" s="57"/>
      <c r="Y41" s="1007">
        <v>2766.212</v>
      </c>
      <c r="Z41" s="1664"/>
      <c r="AA41" s="1665"/>
      <c r="AB41" s="1665"/>
      <c r="AC41" s="2249"/>
      <c r="AD41" s="2209"/>
      <c r="AE41" s="2274"/>
      <c r="AF41" s="2297">
        <v>2568.2750000000001</v>
      </c>
      <c r="AG41" s="2286">
        <v>2554.8719999999998</v>
      </c>
      <c r="AH41" s="1857">
        <f>W41-V41-(IF(AND(Motpart!$Y$12="",Motpart!$Z$12=""),0,IF(AND(Motpart!$Y$12=0,Motpart!$Z$12=0),0,((T41/$T$42)*(Motpart!$Y$12+Motpart!$Z$12)))))</f>
        <v>196.46168340427141</v>
      </c>
    </row>
    <row r="42" spans="1:34">
      <c r="A42" s="2131" t="s">
        <v>241</v>
      </c>
      <c r="B42" s="877" t="s">
        <v>78</v>
      </c>
      <c r="C42" s="365">
        <f t="shared" ref="C42:W42" si="9">SUM(C39:C41)</f>
        <v>3619.7700000000004</v>
      </c>
      <c r="D42" s="26">
        <f t="shared" si="9"/>
        <v>1410.498</v>
      </c>
      <c r="E42" s="365">
        <f t="shared" si="9"/>
        <v>1496.1389999999999</v>
      </c>
      <c r="F42" s="365">
        <f t="shared" si="9"/>
        <v>752.59799999999996</v>
      </c>
      <c r="G42" s="365">
        <f t="shared" si="9"/>
        <v>1310.3010000000002</v>
      </c>
      <c r="H42" s="26">
        <f t="shared" si="9"/>
        <v>1984.425</v>
      </c>
      <c r="I42" s="365">
        <f t="shared" si="9"/>
        <v>1686.8030000000001</v>
      </c>
      <c r="J42" s="105">
        <f t="shared" si="9"/>
        <v>1217.7090000000001</v>
      </c>
      <c r="K42" s="148"/>
      <c r="L42" s="374">
        <f>SUM(L39:L41)</f>
        <v>4953.7020000000002</v>
      </c>
      <c r="M42" s="365">
        <f t="shared" si="9"/>
        <v>1525.566</v>
      </c>
      <c r="N42" s="26">
        <f t="shared" si="9"/>
        <v>82.259999999999991</v>
      </c>
      <c r="O42" s="26">
        <f t="shared" si="9"/>
        <v>491.90999999999997</v>
      </c>
      <c r="P42" s="372">
        <f>SUM(C42:O42)</f>
        <v>20531.680999999997</v>
      </c>
      <c r="Q42" s="49"/>
      <c r="R42" s="374">
        <f t="shared" si="9"/>
        <v>968.952</v>
      </c>
      <c r="S42" s="365">
        <f t="shared" si="9"/>
        <v>436.291</v>
      </c>
      <c r="T42" s="105">
        <f t="shared" si="9"/>
        <v>1479.2240000000002</v>
      </c>
      <c r="U42" s="49"/>
      <c r="V42" s="117">
        <f t="shared" si="9"/>
        <v>2047.595</v>
      </c>
      <c r="W42" s="118">
        <f t="shared" si="9"/>
        <v>4932.0619999999999</v>
      </c>
      <c r="X42" s="57"/>
      <c r="Y42" s="987">
        <v>18463.774000000001</v>
      </c>
      <c r="Z42" s="990">
        <f>(P42-W42)*1000/invanare</f>
        <v>1510.4802292190361</v>
      </c>
      <c r="AA42" s="991">
        <f>Y42*1000/invanare</f>
        <v>1787.8106884385118</v>
      </c>
      <c r="AB42" s="991">
        <v>1759.7919999999999</v>
      </c>
      <c r="AC42" s="2248">
        <f>IF(ISERROR((AA42-AB42)/AB42)," ",((AA42-AB42)/AB42))</f>
        <v>1.5921590982634223E-2</v>
      </c>
      <c r="AD42" s="2209"/>
      <c r="AE42" s="2274"/>
      <c r="AF42" s="2297">
        <v>15599.673000000001</v>
      </c>
      <c r="AG42" s="2286">
        <v>15747.099</v>
      </c>
      <c r="AH42" s="1857">
        <f>W42-V42-SUM(Motpart!Y12:Z12)</f>
        <v>2864.1119999999996</v>
      </c>
    </row>
    <row r="43" spans="1:34" ht="12.75" customHeight="1" thickBot="1">
      <c r="A43" s="2144" t="s">
        <v>242</v>
      </c>
      <c r="B43" s="882" t="s">
        <v>79</v>
      </c>
      <c r="C43" s="379">
        <f>SUM(C37,C42)</f>
        <v>8491.1239999999998</v>
      </c>
      <c r="D43" s="380">
        <f t="shared" ref="D43:P43" si="10">SUM(D37,D42)</f>
        <v>3297.0859999999998</v>
      </c>
      <c r="E43" s="379">
        <f t="shared" si="10"/>
        <v>2377.0450000000001</v>
      </c>
      <c r="F43" s="379">
        <f t="shared" si="10"/>
        <v>1025.3519999999999</v>
      </c>
      <c r="G43" s="379">
        <f t="shared" si="10"/>
        <v>2835.3810000000003</v>
      </c>
      <c r="H43" s="380">
        <f t="shared" si="10"/>
        <v>3693.6350000000002</v>
      </c>
      <c r="I43" s="379">
        <f t="shared" si="10"/>
        <v>2412.9750000000004</v>
      </c>
      <c r="J43" s="381">
        <f t="shared" si="10"/>
        <v>1448.7710000000002</v>
      </c>
      <c r="K43" s="148"/>
      <c r="L43" s="382">
        <f>SUM(L37,L42)</f>
        <v>6409.2560000000003</v>
      </c>
      <c r="M43" s="379">
        <f t="shared" si="10"/>
        <v>2661.6959999999999</v>
      </c>
      <c r="N43" s="380">
        <f t="shared" si="10"/>
        <v>151.345</v>
      </c>
      <c r="O43" s="380">
        <f t="shared" si="10"/>
        <v>876.26099999999997</v>
      </c>
      <c r="P43" s="381">
        <f t="shared" si="10"/>
        <v>35679.926999999996</v>
      </c>
      <c r="Q43" s="49"/>
      <c r="R43" s="382">
        <f>SUM(R37,R42)</f>
        <v>1381.559</v>
      </c>
      <c r="S43" s="379">
        <f>SUM(S37,S42)</f>
        <v>518.72699999999998</v>
      </c>
      <c r="T43" s="381">
        <f>SUM(T37,T42)</f>
        <v>2832.6450000000004</v>
      </c>
      <c r="U43" s="49"/>
      <c r="V43" s="409">
        <f>SUM(V37,V42)</f>
        <v>3108.1120000000001</v>
      </c>
      <c r="W43" s="408">
        <f>SUM(W37,W42)</f>
        <v>7841.0429999999997</v>
      </c>
      <c r="X43" s="57"/>
      <c r="Y43" s="1014">
        <v>32533.016</v>
      </c>
      <c r="Z43" s="992"/>
      <c r="AA43" s="993"/>
      <c r="AB43" s="994"/>
      <c r="AC43" s="2250"/>
      <c r="AD43" s="2209"/>
      <c r="AE43" s="2276"/>
      <c r="AF43" s="2298">
        <v>27838.935000000001</v>
      </c>
      <c r="AG43" s="2287">
        <v>27852.867999999999</v>
      </c>
      <c r="AH43" s="1859">
        <f>AH37+AH42</f>
        <v>4694.08</v>
      </c>
    </row>
    <row r="44" spans="1:34" ht="48" customHeight="1" thickBot="1">
      <c r="A44" s="2148"/>
      <c r="B44" s="883" t="s">
        <v>80</v>
      </c>
      <c r="C44" s="996"/>
      <c r="D44" s="997"/>
      <c r="E44" s="998"/>
      <c r="F44" s="998"/>
      <c r="G44" s="998"/>
      <c r="H44" s="997"/>
      <c r="I44" s="998"/>
      <c r="J44" s="999"/>
      <c r="K44" s="32"/>
      <c r="L44" s="483"/>
      <c r="M44" s="484"/>
      <c r="N44" s="477"/>
      <c r="O44" s="477"/>
      <c r="P44" s="479"/>
      <c r="Q44" s="206"/>
      <c r="R44" s="483"/>
      <c r="S44" s="478"/>
      <c r="T44" s="479"/>
      <c r="U44" s="206"/>
      <c r="V44" s="487"/>
      <c r="W44" s="488"/>
      <c r="X44" s="32"/>
      <c r="Y44" s="1662" t="s">
        <v>996</v>
      </c>
      <c r="Z44" s="2483"/>
      <c r="AA44" s="2484"/>
      <c r="AB44" s="2484"/>
      <c r="AC44" s="2485"/>
      <c r="AD44" s="2209"/>
      <c r="AE44" s="2274"/>
      <c r="AF44" s="2302"/>
      <c r="AG44" s="2289"/>
      <c r="AH44" s="1860"/>
    </row>
    <row r="45" spans="1:34" ht="39.75" customHeight="1">
      <c r="A45" s="2149" t="s">
        <v>393</v>
      </c>
      <c r="B45" s="884" t="s">
        <v>548</v>
      </c>
      <c r="C45" s="1000"/>
      <c r="D45" s="1001"/>
      <c r="E45" s="1002"/>
      <c r="F45" s="1002"/>
      <c r="G45" s="1002"/>
      <c r="H45" s="1001"/>
      <c r="I45" s="1002"/>
      <c r="J45" s="1003"/>
      <c r="K45" s="32"/>
      <c r="L45" s="485"/>
      <c r="M45" s="486"/>
      <c r="N45" s="480"/>
      <c r="O45" s="480"/>
      <c r="P45" s="482"/>
      <c r="Q45" s="206"/>
      <c r="R45" s="485"/>
      <c r="S45" s="481"/>
      <c r="T45" s="482"/>
      <c r="U45" s="206"/>
      <c r="V45" s="489"/>
      <c r="W45" s="490"/>
      <c r="X45" s="32"/>
      <c r="Y45" s="1674"/>
      <c r="Z45" s="2509" t="s">
        <v>999</v>
      </c>
      <c r="AA45" s="2510"/>
      <c r="AB45" s="1683"/>
      <c r="AC45" s="2251"/>
      <c r="AD45" s="2209"/>
      <c r="AE45" s="2274"/>
      <c r="AF45" s="2303"/>
      <c r="AG45" s="2290"/>
      <c r="AH45" s="1861"/>
    </row>
    <row r="46" spans="1:34">
      <c r="A46" s="2131" t="s">
        <v>243</v>
      </c>
      <c r="B46" s="879" t="s">
        <v>81</v>
      </c>
      <c r="C46" s="20">
        <v>226.08699999999999</v>
      </c>
      <c r="D46" s="21">
        <v>88.168999999999997</v>
      </c>
      <c r="E46" s="20">
        <v>11.47</v>
      </c>
      <c r="F46" s="20">
        <v>17.614999999999998</v>
      </c>
      <c r="G46" s="20">
        <v>21.236000000000001</v>
      </c>
      <c r="H46" s="21">
        <v>0.40200000000000002</v>
      </c>
      <c r="I46" s="20">
        <v>34.600999999999999</v>
      </c>
      <c r="J46" s="100">
        <v>1.645</v>
      </c>
      <c r="K46" s="31"/>
      <c r="L46" s="103">
        <v>45.131</v>
      </c>
      <c r="M46" s="20">
        <v>84.590999999999994</v>
      </c>
      <c r="N46" s="21">
        <v>2.9740000000000002</v>
      </c>
      <c r="O46" s="373">
        <v>14.4</v>
      </c>
      <c r="P46" s="372">
        <f>SUM(C46:O46)</f>
        <v>548.32100000000003</v>
      </c>
      <c r="Q46" s="49"/>
      <c r="R46" s="103">
        <v>1.7050000000000001</v>
      </c>
      <c r="S46" s="20">
        <v>3.1789999999999998</v>
      </c>
      <c r="T46" s="100">
        <v>26.981000000000002</v>
      </c>
      <c r="U46" s="50"/>
      <c r="V46" s="113">
        <v>69.564999999999998</v>
      </c>
      <c r="W46" s="407">
        <f t="shared" ref="W46:W51" si="11">SUM(R46:V46)</f>
        <v>101.43</v>
      </c>
      <c r="X46" s="57"/>
      <c r="Y46" s="987">
        <v>477.149</v>
      </c>
      <c r="Z46" s="1642"/>
      <c r="AA46" s="1656"/>
      <c r="AB46" s="1657"/>
      <c r="AC46" s="2243"/>
      <c r="AD46" s="2209"/>
      <c r="AE46" s="2274"/>
      <c r="AF46" s="2297">
        <v>446.89600000000002</v>
      </c>
      <c r="AG46" s="2286">
        <v>460.74200000000002</v>
      </c>
      <c r="AH46" s="1857">
        <f>W46-V46-(IF(AND(Motpart!$Y$16="",Motpart!$Z$16=""),0,IF(AND(Motpart!$Y$16=0,Motpart!$Z$16=0),0,((T46/($T$46+$T$49))*(Motpart!$Y$16+Motpart!$Z$16)))))</f>
        <v>30.478730732701717</v>
      </c>
    </row>
    <row r="47" spans="1:34">
      <c r="A47" s="2131" t="s">
        <v>244</v>
      </c>
      <c r="B47" s="877" t="s">
        <v>82</v>
      </c>
      <c r="C47" s="20">
        <v>33958.228000000003</v>
      </c>
      <c r="D47" s="21">
        <v>13241.958000000001</v>
      </c>
      <c r="E47" s="23">
        <v>1944.1179999999999</v>
      </c>
      <c r="F47" s="23">
        <v>16149.297</v>
      </c>
      <c r="G47" s="23">
        <v>1984.912</v>
      </c>
      <c r="H47" s="24">
        <v>8.8849999999999998</v>
      </c>
      <c r="I47" s="23">
        <v>2402.5360000000001</v>
      </c>
      <c r="J47" s="101">
        <v>372.197</v>
      </c>
      <c r="K47" s="31"/>
      <c r="L47" s="104">
        <v>5230.0010000000002</v>
      </c>
      <c r="M47" s="23">
        <v>12729.703</v>
      </c>
      <c r="N47" s="21">
        <v>361.99200000000002</v>
      </c>
      <c r="O47" s="373">
        <v>2089.835</v>
      </c>
      <c r="P47" s="372">
        <f>SUM(C47:O47)</f>
        <v>90473.662000000011</v>
      </c>
      <c r="Q47" s="49"/>
      <c r="R47" s="1918">
        <v>4884.2190000000001</v>
      </c>
      <c r="S47" s="1919">
        <v>21.023</v>
      </c>
      <c r="T47" s="224">
        <v>5943.732</v>
      </c>
      <c r="U47" s="50"/>
      <c r="V47" s="114">
        <v>8893.9</v>
      </c>
      <c r="W47" s="407">
        <f t="shared" si="11"/>
        <v>19742.874</v>
      </c>
      <c r="X47" s="57"/>
      <c r="Y47" s="987">
        <v>81191.726999999999</v>
      </c>
      <c r="Z47" s="1659"/>
      <c r="AA47" s="1646"/>
      <c r="AB47" s="1646"/>
      <c r="AC47" s="2241"/>
      <c r="AD47" s="2209"/>
      <c r="AE47" s="2274"/>
      <c r="AF47" s="2297">
        <v>70730.797999999995</v>
      </c>
      <c r="AG47" s="2286">
        <v>65421.586000000003</v>
      </c>
      <c r="AH47" s="1857">
        <f>W47-V47-SUM(Motpart!Y13:Z13)</f>
        <v>10460.929</v>
      </c>
    </row>
    <row r="48" spans="1:34">
      <c r="A48" s="2131" t="s">
        <v>245</v>
      </c>
      <c r="B48" s="877" t="s">
        <v>83</v>
      </c>
      <c r="C48" s="23">
        <v>385.55900000000003</v>
      </c>
      <c r="D48" s="21">
        <v>149.13200000000001</v>
      </c>
      <c r="E48" s="23">
        <v>7.9329999999999998</v>
      </c>
      <c r="F48" s="23">
        <v>641.553</v>
      </c>
      <c r="G48" s="23">
        <v>47.822000000000003</v>
      </c>
      <c r="H48" s="24">
        <v>0.42799999999999999</v>
      </c>
      <c r="I48" s="27">
        <v>4.93</v>
      </c>
      <c r="J48" s="101">
        <v>0.88800000000000001</v>
      </c>
      <c r="K48" s="31"/>
      <c r="L48" s="104">
        <v>13.121</v>
      </c>
      <c r="M48" s="23">
        <v>129.16900000000001</v>
      </c>
      <c r="N48" s="21">
        <v>3.746</v>
      </c>
      <c r="O48" s="373">
        <v>18.738</v>
      </c>
      <c r="P48" s="372">
        <f>SUM(C48:O48)</f>
        <v>1403.0190000000007</v>
      </c>
      <c r="Q48" s="49"/>
      <c r="R48" s="1918">
        <v>73.700999999999993</v>
      </c>
      <c r="S48" s="1919">
        <v>0.10199999999999999</v>
      </c>
      <c r="T48" s="224">
        <v>61.082000000000001</v>
      </c>
      <c r="U48" s="50"/>
      <c r="V48" s="114">
        <v>119.938</v>
      </c>
      <c r="W48" s="407">
        <f t="shared" si="11"/>
        <v>254.82299999999998</v>
      </c>
      <c r="X48" s="57"/>
      <c r="Y48" s="1007">
        <v>1277.8420000000001</v>
      </c>
      <c r="Z48" s="1645"/>
      <c r="AA48" s="1646"/>
      <c r="AB48" s="1646"/>
      <c r="AC48" s="2241"/>
      <c r="AD48" s="2209"/>
      <c r="AE48" s="2277">
        <f>(SUM(I51:L51))*1000/invanare</f>
        <v>1015.866142620509</v>
      </c>
      <c r="AF48" s="2297">
        <v>1148.2090000000001</v>
      </c>
      <c r="AG48" s="2286">
        <v>641.11199999999997</v>
      </c>
      <c r="AH48" s="1857">
        <f>W48-V48-SUM(Motpart!Y14:Z14)</f>
        <v>129.62799999999999</v>
      </c>
    </row>
    <row r="49" spans="1:34">
      <c r="A49" s="2131" t="s">
        <v>246</v>
      </c>
      <c r="B49" s="879" t="s">
        <v>84</v>
      </c>
      <c r="C49" s="20">
        <v>121.36199999999999</v>
      </c>
      <c r="D49" s="21">
        <v>47.65</v>
      </c>
      <c r="E49" s="20">
        <v>10.946</v>
      </c>
      <c r="F49" s="20">
        <v>58.142000000000003</v>
      </c>
      <c r="G49" s="20">
        <v>7.6909999999999998</v>
      </c>
      <c r="H49" s="21">
        <v>0.25900000000000001</v>
      </c>
      <c r="I49" s="20">
        <v>1.698</v>
      </c>
      <c r="J49" s="100">
        <v>0.33700000000000002</v>
      </c>
      <c r="K49" s="31"/>
      <c r="L49" s="103">
        <v>18.620999999999999</v>
      </c>
      <c r="M49" s="20">
        <v>99.165000000000006</v>
      </c>
      <c r="N49" s="21">
        <v>3.4279999999999999</v>
      </c>
      <c r="O49" s="373">
        <v>8.173</v>
      </c>
      <c r="P49" s="372">
        <f>SUM(C49:O49)</f>
        <v>377.47199999999998</v>
      </c>
      <c r="Q49" s="49"/>
      <c r="R49" s="1920">
        <v>37.655999999999999</v>
      </c>
      <c r="S49" s="1921">
        <v>0</v>
      </c>
      <c r="T49" s="227">
        <v>16.187999999999999</v>
      </c>
      <c r="U49" s="50"/>
      <c r="V49" s="113">
        <v>86.003</v>
      </c>
      <c r="W49" s="407">
        <f t="shared" si="11"/>
        <v>139.84699999999998</v>
      </c>
      <c r="X49" s="57"/>
      <c r="Y49" s="1007">
        <v>290.858</v>
      </c>
      <c r="Z49" s="1645"/>
      <c r="AA49" s="1646"/>
      <c r="AB49" s="1646"/>
      <c r="AC49" s="2241"/>
      <c r="AD49" s="2209"/>
      <c r="AE49" s="2277">
        <f>(R51)*1000/invanare</f>
        <v>776.12683850993687</v>
      </c>
      <c r="AF49" s="2297">
        <v>237.625</v>
      </c>
      <c r="AG49" s="2286">
        <v>233.06700000000001</v>
      </c>
      <c r="AH49" s="1857">
        <f>W49-V49-(IF(AND(Motpart!$Y$16="",Motpart!$Z$16=""),0,IF(AND(Motpart!$Y$16=0,Motpart!$Z$16=0),0,((T49/($T$49+$T$46))*(Motpart!$Y$16+Motpart!$Z$16)))))</f>
        <v>53.012269267298272</v>
      </c>
    </row>
    <row r="50" spans="1:34">
      <c r="A50" s="2131" t="s">
        <v>247</v>
      </c>
      <c r="B50" s="877" t="s">
        <v>85</v>
      </c>
      <c r="C50" s="20">
        <v>8991.5419999999995</v>
      </c>
      <c r="D50" s="21">
        <v>3510.2829999999999</v>
      </c>
      <c r="E50" s="23">
        <v>341.89299999999997</v>
      </c>
      <c r="F50" s="23">
        <v>2425.3890000000001</v>
      </c>
      <c r="G50" s="23">
        <v>434.03</v>
      </c>
      <c r="H50" s="24">
        <v>2.5510000000000002</v>
      </c>
      <c r="I50" s="27">
        <v>615.66700000000003</v>
      </c>
      <c r="J50" s="101">
        <v>63.322000000000003</v>
      </c>
      <c r="K50" s="31"/>
      <c r="L50" s="104">
        <v>1686.7529999999999</v>
      </c>
      <c r="M50" s="23">
        <v>3872.3780000000002</v>
      </c>
      <c r="N50" s="21">
        <v>95.962000000000003</v>
      </c>
      <c r="O50" s="373">
        <v>560.09</v>
      </c>
      <c r="P50" s="372">
        <f>SUM(C50:O50)</f>
        <v>22599.86</v>
      </c>
      <c r="Q50" s="49"/>
      <c r="R50" s="1918">
        <v>3018.2379999999998</v>
      </c>
      <c r="S50" s="1919">
        <v>2.0329999999999999</v>
      </c>
      <c r="T50" s="224">
        <v>1544.4949999999999</v>
      </c>
      <c r="U50" s="50"/>
      <c r="V50" s="114">
        <v>2793.77</v>
      </c>
      <c r="W50" s="407">
        <f t="shared" si="11"/>
        <v>7358.5360000000001</v>
      </c>
      <c r="X50" s="57"/>
      <c r="Y50" s="1007">
        <v>19642.804</v>
      </c>
      <c r="Z50" s="1645"/>
      <c r="AA50" s="1646"/>
      <c r="AB50" s="1646"/>
      <c r="AC50" s="2241"/>
      <c r="AD50" s="2209"/>
      <c r="AE50" s="2274"/>
      <c r="AF50" s="2297">
        <v>15241.313</v>
      </c>
      <c r="AG50" s="2286">
        <v>17378.155999999999</v>
      </c>
      <c r="AH50" s="1857">
        <f>W50-V50-SUM(Motpart!Y15:Z15)</f>
        <v>4401.4739999999993</v>
      </c>
    </row>
    <row r="51" spans="1:34" ht="13.5" thickBot="1">
      <c r="A51" s="2131" t="s">
        <v>248</v>
      </c>
      <c r="B51" s="885" t="s">
        <v>771</v>
      </c>
      <c r="C51" s="365">
        <f t="shared" ref="C51:M51" si="12">SUM(C46:C50)</f>
        <v>43682.778000000006</v>
      </c>
      <c r="D51" s="26">
        <f t="shared" si="12"/>
        <v>17037.191999999999</v>
      </c>
      <c r="E51" s="365">
        <f t="shared" si="12"/>
        <v>2316.3599999999997</v>
      </c>
      <c r="F51" s="365">
        <f t="shared" si="12"/>
        <v>19291.995999999999</v>
      </c>
      <c r="G51" s="365">
        <f t="shared" si="12"/>
        <v>2495.6909999999998</v>
      </c>
      <c r="H51" s="26">
        <f t="shared" si="12"/>
        <v>12.525</v>
      </c>
      <c r="I51" s="365">
        <f t="shared" si="12"/>
        <v>3059.4319999999998</v>
      </c>
      <c r="J51" s="105">
        <f t="shared" si="12"/>
        <v>438.38899999999995</v>
      </c>
      <c r="K51" s="148"/>
      <c r="L51" s="374">
        <f>SUM(L46:L50)</f>
        <v>6993.6270000000004</v>
      </c>
      <c r="M51" s="365">
        <f t="shared" si="12"/>
        <v>16915.006000000001</v>
      </c>
      <c r="N51" s="26">
        <f t="shared" ref="N51:V51" si="13">SUM(N46:N50)</f>
        <v>468.10199999999998</v>
      </c>
      <c r="O51" s="26">
        <f t="shared" si="13"/>
        <v>2691.2359999999999</v>
      </c>
      <c r="P51" s="105">
        <f t="shared" si="13"/>
        <v>115402.334</v>
      </c>
      <c r="Q51" s="49"/>
      <c r="R51" s="374">
        <f t="shared" si="13"/>
        <v>8015.5190000000002</v>
      </c>
      <c r="S51" s="365">
        <f t="shared" si="13"/>
        <v>26.337</v>
      </c>
      <c r="T51" s="105">
        <f>SUM(T46:T50)</f>
        <v>7592.4780000000001</v>
      </c>
      <c r="U51" s="49"/>
      <c r="V51" s="117">
        <f t="shared" si="13"/>
        <v>11963.176000000001</v>
      </c>
      <c r="W51" s="407">
        <f t="shared" si="11"/>
        <v>27597.510000000002</v>
      </c>
      <c r="X51" s="57"/>
      <c r="Y51" s="987">
        <v>102880.395</v>
      </c>
      <c r="Z51" s="1678">
        <f>(P51-W51)*1000/invanare</f>
        <v>8501.9673033076742</v>
      </c>
      <c r="AA51" s="1679">
        <f>Y51*1000/invanare</f>
        <v>9961.7050020096649</v>
      </c>
      <c r="AB51" s="1679">
        <v>9747.1360000000004</v>
      </c>
      <c r="AC51" s="2252">
        <f>IF(ISERROR((AA51-AB51)/AB51)," ",((AA51-AB51)/AB51))</f>
        <v>2.2013543466477176E-2</v>
      </c>
      <c r="AD51" s="2209"/>
      <c r="AE51" s="2278">
        <f>IF(ISERROR(F51/(AA51/1000*invanare)),"",(F51/(AA51/100000*invanare)))</f>
        <v>18.751868128033529</v>
      </c>
      <c r="AF51" s="2297">
        <v>87804.86</v>
      </c>
      <c r="AG51" s="2286">
        <v>84134.673999999999</v>
      </c>
      <c r="AH51" s="1857">
        <f>W51-V51-SUM(Motpart!Y13:Z16)</f>
        <v>15075.522000000001</v>
      </c>
    </row>
    <row r="52" spans="1:34" ht="44.25" customHeight="1" thickBot="1">
      <c r="A52" s="2150"/>
      <c r="B52" s="883" t="s">
        <v>86</v>
      </c>
      <c r="C52" s="476"/>
      <c r="D52" s="475"/>
      <c r="E52" s="473"/>
      <c r="F52" s="473"/>
      <c r="G52" s="473"/>
      <c r="H52" s="475"/>
      <c r="I52" s="473"/>
      <c r="J52" s="474"/>
      <c r="K52" s="31"/>
      <c r="L52" s="472"/>
      <c r="M52" s="473"/>
      <c r="N52" s="475"/>
      <c r="O52" s="491"/>
      <c r="P52" s="474"/>
      <c r="Q52" s="50"/>
      <c r="R52" s="472"/>
      <c r="S52" s="473"/>
      <c r="T52" s="474"/>
      <c r="U52" s="50"/>
      <c r="V52" s="470"/>
      <c r="W52" s="471"/>
      <c r="X52" s="31"/>
      <c r="Y52" s="1662" t="s">
        <v>624</v>
      </c>
      <c r="Z52" s="2483"/>
      <c r="AA52" s="2484"/>
      <c r="AB52" s="2484"/>
      <c r="AC52" s="2485"/>
      <c r="AD52" s="2209"/>
      <c r="AE52" s="2274">
        <f>IF(ISERROR(F51/(AA51/1000*invanare)),"",(SUM(Motpart!D13:D16,Motpart!F13:F16)/(AA51/100000*invanare)))</f>
        <v>18.102236096585752</v>
      </c>
      <c r="AF52" s="2304"/>
      <c r="AG52" s="2291"/>
      <c r="AH52" s="1862"/>
    </row>
    <row r="53" spans="1:34">
      <c r="A53" s="2131" t="s">
        <v>400</v>
      </c>
      <c r="B53" s="869" t="s">
        <v>486</v>
      </c>
      <c r="C53" s="20">
        <v>3195.2289999999998</v>
      </c>
      <c r="D53" s="21">
        <v>1238.931</v>
      </c>
      <c r="E53" s="20">
        <v>180.28</v>
      </c>
      <c r="F53" s="20">
        <v>924.87199999999996</v>
      </c>
      <c r="G53" s="20">
        <v>326.91500000000002</v>
      </c>
      <c r="H53" s="21">
        <v>1.5669999999999999</v>
      </c>
      <c r="I53" s="20">
        <v>382.26400000000001</v>
      </c>
      <c r="J53" s="100">
        <v>42.920999999999999</v>
      </c>
      <c r="K53" s="31"/>
      <c r="L53" s="103">
        <v>751.52</v>
      </c>
      <c r="M53" s="20">
        <v>1558.98</v>
      </c>
      <c r="N53" s="21">
        <v>36.503</v>
      </c>
      <c r="O53" s="373">
        <v>211.40199999999999</v>
      </c>
      <c r="P53" s="372">
        <f>SUM(C53:O53)</f>
        <v>8851.384</v>
      </c>
      <c r="Q53" s="49"/>
      <c r="R53" s="103">
        <v>0.93100000000000005</v>
      </c>
      <c r="S53" s="20">
        <v>1.4359999999999999</v>
      </c>
      <c r="T53" s="100">
        <v>422.63600000000002</v>
      </c>
      <c r="U53" s="50"/>
      <c r="V53" s="113">
        <v>1135.22</v>
      </c>
      <c r="W53" s="407">
        <f>SUM(R53:V53)</f>
        <v>1560.223</v>
      </c>
      <c r="X53" s="57"/>
      <c r="Y53" s="1514">
        <v>7669.5550000000003</v>
      </c>
      <c r="Z53" s="1935"/>
      <c r="AA53" s="1936"/>
      <c r="AB53" s="1937"/>
      <c r="AC53" s="2253"/>
      <c r="AD53" s="2209"/>
      <c r="AE53" s="2274"/>
      <c r="AF53" s="2303">
        <v>7291.1620000000003</v>
      </c>
      <c r="AG53" s="2290">
        <v>6789.7359999999999</v>
      </c>
      <c r="AH53" s="1861">
        <f>W53-V53-SUM(Motpart!Y17:Z17)</f>
        <v>378.37899999999991</v>
      </c>
    </row>
    <row r="54" spans="1:34">
      <c r="A54" s="2131" t="s">
        <v>485</v>
      </c>
      <c r="B54" s="867" t="s">
        <v>382</v>
      </c>
      <c r="C54" s="20">
        <v>52760.847999999998</v>
      </c>
      <c r="D54" s="21">
        <v>20552.019</v>
      </c>
      <c r="E54" s="23">
        <v>4154.5950000000003</v>
      </c>
      <c r="F54" s="23">
        <v>18917.106</v>
      </c>
      <c r="G54" s="23">
        <v>8528.4840000000004</v>
      </c>
      <c r="H54" s="24">
        <v>46.853999999999999</v>
      </c>
      <c r="I54" s="23">
        <v>3763.3359999999998</v>
      </c>
      <c r="J54" s="101">
        <v>1024.3910000000001</v>
      </c>
      <c r="K54" s="31"/>
      <c r="L54" s="104">
        <v>9384.8269999999993</v>
      </c>
      <c r="M54" s="23">
        <v>21435.238000000001</v>
      </c>
      <c r="N54" s="21">
        <v>573.53899999999999</v>
      </c>
      <c r="O54" s="373">
        <v>3622.83</v>
      </c>
      <c r="P54" s="372">
        <f>SUM(C54:O54)</f>
        <v>144764.06699999998</v>
      </c>
      <c r="Q54" s="49"/>
      <c r="R54" s="104">
        <v>46.512999999999998</v>
      </c>
      <c r="S54" s="23">
        <v>29.059000000000001</v>
      </c>
      <c r="T54" s="101">
        <v>13454.018</v>
      </c>
      <c r="U54" s="50"/>
      <c r="V54" s="114">
        <v>15707.939</v>
      </c>
      <c r="W54" s="407">
        <f>SUM(R54:V54)</f>
        <v>29237.529000000002</v>
      </c>
      <c r="X54" s="57"/>
      <c r="Y54" s="1514">
        <v>127595.73299999999</v>
      </c>
      <c r="Z54" s="1675"/>
      <c r="AA54" s="1676"/>
      <c r="AB54" s="1938"/>
      <c r="AC54" s="2240"/>
      <c r="AD54" s="2209"/>
      <c r="AE54" s="2274"/>
      <c r="AF54" s="2297">
        <v>115526.54700000001</v>
      </c>
      <c r="AG54" s="2286">
        <v>110092.167</v>
      </c>
      <c r="AH54" s="1861">
        <f>W54-V54-SUM(Motpart!Y18:Z18)</f>
        <v>12069.198000000002</v>
      </c>
    </row>
    <row r="55" spans="1:34">
      <c r="A55" s="2131" t="s">
        <v>249</v>
      </c>
      <c r="B55" s="885" t="s">
        <v>625</v>
      </c>
      <c r="C55" s="20">
        <v>2803.6970000000001</v>
      </c>
      <c r="D55" s="21">
        <v>1089.3209999999999</v>
      </c>
      <c r="E55" s="23">
        <v>91.164000000000001</v>
      </c>
      <c r="F55" s="23">
        <v>637.79200000000003</v>
      </c>
      <c r="G55" s="23">
        <v>679.346</v>
      </c>
      <c r="H55" s="24">
        <v>0.93200000000000005</v>
      </c>
      <c r="I55" s="23">
        <v>97.69</v>
      </c>
      <c r="J55" s="101">
        <v>17.943000000000001</v>
      </c>
      <c r="K55" s="31"/>
      <c r="L55" s="104">
        <v>313.36</v>
      </c>
      <c r="M55" s="23">
        <v>811.72500000000002</v>
      </c>
      <c r="N55" s="21">
        <v>26.837</v>
      </c>
      <c r="O55" s="373">
        <v>170.59800000000001</v>
      </c>
      <c r="P55" s="372">
        <f>SUM(C55:O55)</f>
        <v>6740.4049999999997</v>
      </c>
      <c r="Q55" s="49"/>
      <c r="R55" s="104">
        <v>5.2750000000000004</v>
      </c>
      <c r="S55" s="23">
        <v>0.25900000000000001</v>
      </c>
      <c r="T55" s="101">
        <v>465.46600000000001</v>
      </c>
      <c r="U55" s="50"/>
      <c r="V55" s="114">
        <v>594.28</v>
      </c>
      <c r="W55" s="407">
        <f>SUM(R55:V55)</f>
        <v>1065.28</v>
      </c>
      <c r="X55" s="57"/>
      <c r="Y55" s="1514">
        <v>5838.2780000000002</v>
      </c>
      <c r="Z55" s="1675"/>
      <c r="AA55" s="1676"/>
      <c r="AB55" s="1938"/>
      <c r="AC55" s="2240"/>
      <c r="AD55" s="2209"/>
      <c r="AE55" s="2274"/>
      <c r="AF55" s="2297">
        <v>5675.1390000000001</v>
      </c>
      <c r="AG55" s="2286">
        <v>5507.4139999999998</v>
      </c>
      <c r="AH55" s="1861">
        <f>W55-V55-SUM(Motpart!Y19:Z19)</f>
        <v>163.13300000000004</v>
      </c>
    </row>
    <row r="56" spans="1:34">
      <c r="A56" s="2131" t="s">
        <v>250</v>
      </c>
      <c r="B56" s="877" t="s">
        <v>87</v>
      </c>
      <c r="C56" s="20">
        <v>13992.698</v>
      </c>
      <c r="D56" s="21">
        <v>5458.9250000000002</v>
      </c>
      <c r="E56" s="23">
        <v>1449.9670000000001</v>
      </c>
      <c r="F56" s="23">
        <v>21332.955999999998</v>
      </c>
      <c r="G56" s="23">
        <v>3369.123</v>
      </c>
      <c r="H56" s="24">
        <v>261.65800000000002</v>
      </c>
      <c r="I56" s="23">
        <v>1175.404</v>
      </c>
      <c r="J56" s="101">
        <v>335.94400000000002</v>
      </c>
      <c r="K56" s="31"/>
      <c r="L56" s="104">
        <v>2908.7489999999998</v>
      </c>
      <c r="M56" s="23">
        <v>5362.442</v>
      </c>
      <c r="N56" s="21">
        <v>182.33199999999999</v>
      </c>
      <c r="O56" s="373">
        <v>931.601</v>
      </c>
      <c r="P56" s="372">
        <f>SUM(C56:O56)</f>
        <v>56761.799000000021</v>
      </c>
      <c r="Q56" s="49"/>
      <c r="R56" s="104">
        <v>52.204000000000001</v>
      </c>
      <c r="S56" s="23">
        <v>34.026000000000003</v>
      </c>
      <c r="T56" s="101">
        <v>11035.857</v>
      </c>
      <c r="U56" s="50"/>
      <c r="V56" s="114">
        <v>3737.7350000000001</v>
      </c>
      <c r="W56" s="407">
        <f>SUM(R56:V56)</f>
        <v>14859.822</v>
      </c>
      <c r="X56" s="57"/>
      <c r="Y56" s="1514">
        <v>45624.800999999999</v>
      </c>
      <c r="Z56" s="1316"/>
      <c r="AA56" s="1677"/>
      <c r="AB56" s="768"/>
      <c r="AC56" s="2240"/>
      <c r="AD56" s="2209"/>
      <c r="AE56" s="2274"/>
      <c r="AF56" s="2297">
        <v>41901.998</v>
      </c>
      <c r="AG56" s="2286">
        <v>31429.464</v>
      </c>
      <c r="AH56" s="1861">
        <f>W56-V56-SUM(Motpart!Y20:Z20)</f>
        <v>3722.8009999999995</v>
      </c>
    </row>
    <row r="57" spans="1:34">
      <c r="A57" s="2131" t="s">
        <v>251</v>
      </c>
      <c r="B57" s="877" t="s">
        <v>88</v>
      </c>
      <c r="C57" s="20">
        <v>1236.825</v>
      </c>
      <c r="D57" s="21">
        <v>484.93</v>
      </c>
      <c r="E57" s="23">
        <v>57.353999999999999</v>
      </c>
      <c r="F57" s="23">
        <v>1092.3109999999999</v>
      </c>
      <c r="G57" s="23">
        <v>323.315</v>
      </c>
      <c r="H57" s="24">
        <v>2.6760000000000002</v>
      </c>
      <c r="I57" s="23">
        <v>64.171000000000006</v>
      </c>
      <c r="J57" s="101">
        <v>8.1549999999999994</v>
      </c>
      <c r="K57" s="31"/>
      <c r="L57" s="104">
        <v>169.38900000000001</v>
      </c>
      <c r="M57" s="23">
        <v>326.76499999999999</v>
      </c>
      <c r="N57" s="21">
        <v>11.833</v>
      </c>
      <c r="O57" s="373">
        <v>72.033000000000001</v>
      </c>
      <c r="P57" s="372">
        <f>SUM(C57:O57)</f>
        <v>3849.7570000000001</v>
      </c>
      <c r="Q57" s="49"/>
      <c r="R57" s="104">
        <v>3.7770000000000001</v>
      </c>
      <c r="S57" s="23">
        <v>1.248</v>
      </c>
      <c r="T57" s="101">
        <v>717.39400000000001</v>
      </c>
      <c r="U57" s="50"/>
      <c r="V57" s="114">
        <v>221.84800000000001</v>
      </c>
      <c r="W57" s="407">
        <f>SUM(R57:V57)</f>
        <v>944.26700000000005</v>
      </c>
      <c r="X57" s="57"/>
      <c r="Y57" s="1007">
        <v>3027.44</v>
      </c>
      <c r="Z57" s="1316"/>
      <c r="AA57" s="1643"/>
      <c r="AB57" s="768"/>
      <c r="AC57" s="2240"/>
      <c r="AD57" s="2209"/>
      <c r="AE57" s="2274"/>
      <c r="AF57" s="2297">
        <v>2905.4839999999999</v>
      </c>
      <c r="AG57" s="2286">
        <v>2532.9279999999999</v>
      </c>
      <c r="AH57" s="1861">
        <f>W57-V57-SUM(Motpart!Y21:Z21)</f>
        <v>121.947</v>
      </c>
    </row>
    <row r="58" spans="1:34">
      <c r="A58" s="2131" t="s">
        <v>252</v>
      </c>
      <c r="B58" s="877" t="s">
        <v>89</v>
      </c>
      <c r="C58" s="365">
        <f t="shared" ref="C58:J58" si="14">SUM(C53:C57)</f>
        <v>73989.296999999991</v>
      </c>
      <c r="D58" s="26">
        <f t="shared" si="14"/>
        <v>28824.126</v>
      </c>
      <c r="E58" s="365">
        <f t="shared" si="14"/>
        <v>5933.36</v>
      </c>
      <c r="F58" s="365">
        <f t="shared" si="14"/>
        <v>42905.036999999997</v>
      </c>
      <c r="G58" s="365">
        <f t="shared" si="14"/>
        <v>13227.183000000001</v>
      </c>
      <c r="H58" s="26">
        <f t="shared" si="14"/>
        <v>313.68700000000001</v>
      </c>
      <c r="I58" s="365">
        <f t="shared" si="14"/>
        <v>5482.8649999999998</v>
      </c>
      <c r="J58" s="105">
        <f t="shared" si="14"/>
        <v>1429.354</v>
      </c>
      <c r="K58" s="148"/>
      <c r="L58" s="374">
        <f>SUM(L53:L57)</f>
        <v>13527.844999999999</v>
      </c>
      <c r="M58" s="365">
        <f>SUM(M53:M57)</f>
        <v>29495.149999999998</v>
      </c>
      <c r="N58" s="26">
        <f>SUM(N53:N57)</f>
        <v>831.04399999999998</v>
      </c>
      <c r="O58" s="26">
        <f>SUM(O53:O57)</f>
        <v>5008.4639999999999</v>
      </c>
      <c r="P58" s="105">
        <f>SUM(P53:P57)</f>
        <v>220967.41200000001</v>
      </c>
      <c r="Q58" s="49"/>
      <c r="R58" s="374">
        <f>SUM(R53:R57)</f>
        <v>108.7</v>
      </c>
      <c r="S58" s="365">
        <f>SUM(S53:S57)</f>
        <v>66.028000000000006</v>
      </c>
      <c r="T58" s="105">
        <f>SUM(T53:T57)</f>
        <v>26095.370999999999</v>
      </c>
      <c r="U58" s="49"/>
      <c r="V58" s="117">
        <f>SUM(V53:V57)</f>
        <v>21397.022000000001</v>
      </c>
      <c r="W58" s="118">
        <f>SUM(W53:W57)</f>
        <v>47667.120999999999</v>
      </c>
      <c r="X58" s="57"/>
      <c r="Y58" s="1680">
        <v>189755.82199999999</v>
      </c>
      <c r="Z58" s="1658"/>
      <c r="AA58" s="1643"/>
      <c r="AB58" s="1644"/>
      <c r="AC58" s="2240"/>
      <c r="AD58" s="2209"/>
      <c r="AE58" s="2274"/>
      <c r="AF58" s="2297">
        <v>173300.33799999999</v>
      </c>
      <c r="AG58" s="2286">
        <v>156351.709</v>
      </c>
      <c r="AH58" s="1857">
        <f>W58-V58-SUM(Motpart!Y17:Z21)</f>
        <v>16455.457999999999</v>
      </c>
    </row>
    <row r="59" spans="1:34" ht="13.5" customHeight="1">
      <c r="A59" s="2151"/>
      <c r="B59" s="886" t="s">
        <v>90</v>
      </c>
      <c r="C59" s="493"/>
      <c r="D59" s="494"/>
      <c r="E59" s="495"/>
      <c r="F59" s="496"/>
      <c r="G59" s="495"/>
      <c r="H59" s="497"/>
      <c r="I59" s="495"/>
      <c r="J59" s="498"/>
      <c r="K59" s="32"/>
      <c r="L59" s="499"/>
      <c r="M59" s="495"/>
      <c r="N59" s="494"/>
      <c r="O59" s="494"/>
      <c r="P59" s="498"/>
      <c r="Q59" s="206"/>
      <c r="R59" s="499"/>
      <c r="S59" s="495"/>
      <c r="T59" s="498"/>
      <c r="U59" s="206"/>
      <c r="V59" s="500"/>
      <c r="W59" s="501"/>
      <c r="X59" s="32"/>
      <c r="Y59" s="1681"/>
      <c r="Z59" s="1682"/>
      <c r="AA59" s="1682"/>
      <c r="AB59" s="1682"/>
      <c r="AC59" s="2254"/>
      <c r="AD59" s="2209"/>
      <c r="AE59" s="2274"/>
      <c r="AF59" s="2297"/>
      <c r="AG59" s="2286"/>
      <c r="AH59" s="1857"/>
    </row>
    <row r="60" spans="1:34">
      <c r="A60" s="2152" t="s">
        <v>493</v>
      </c>
      <c r="B60" s="887" t="s">
        <v>383</v>
      </c>
      <c r="C60" s="492">
        <v>562.63699999999994</v>
      </c>
      <c r="D60" s="21">
        <v>215.577</v>
      </c>
      <c r="E60" s="20">
        <v>26.167000000000002</v>
      </c>
      <c r="F60" s="20">
        <v>512.37199999999996</v>
      </c>
      <c r="G60" s="20">
        <v>54.009</v>
      </c>
      <c r="H60" s="21">
        <v>3.972</v>
      </c>
      <c r="I60" s="20">
        <v>41.584000000000003</v>
      </c>
      <c r="J60" s="100">
        <v>6.8730000000000002</v>
      </c>
      <c r="K60" s="31"/>
      <c r="L60" s="103">
        <v>76.945999999999998</v>
      </c>
      <c r="M60" s="20">
        <v>128.23599999999999</v>
      </c>
      <c r="N60" s="21">
        <v>6.0540000000000003</v>
      </c>
      <c r="O60" s="373">
        <v>30.896000000000001</v>
      </c>
      <c r="P60" s="372">
        <f>SUM(C60:O60)</f>
        <v>1665.3230000000001</v>
      </c>
      <c r="Q60" s="49"/>
      <c r="R60" s="103">
        <v>0.83099999999999996</v>
      </c>
      <c r="S60" s="20">
        <v>0.83799999999999997</v>
      </c>
      <c r="T60" s="100">
        <v>179.78100000000001</v>
      </c>
      <c r="U60" s="50"/>
      <c r="V60" s="113">
        <v>102.991</v>
      </c>
      <c r="W60" s="407">
        <f t="shared" ref="W60:W66" si="15">SUM(R60:V60)</f>
        <v>284.44100000000003</v>
      </c>
      <c r="X60" s="57"/>
      <c r="Y60" s="1007">
        <v>1498.752</v>
      </c>
      <c r="Z60" s="1658"/>
      <c r="AA60" s="1643"/>
      <c r="AB60" s="1644"/>
      <c r="AC60" s="2240"/>
      <c r="AD60" s="2209"/>
      <c r="AE60" s="2274"/>
      <c r="AF60" s="2297">
        <v>1380.896</v>
      </c>
      <c r="AG60" s="2286">
        <v>1045.9870000000001</v>
      </c>
      <c r="AH60" s="1857">
        <f>W60-V60-SUM(Motpart!Y22:Z22)</f>
        <v>117.86500000000004</v>
      </c>
    </row>
    <row r="61" spans="1:34">
      <c r="A61" s="2146" t="s">
        <v>494</v>
      </c>
      <c r="B61" s="888" t="s">
        <v>384</v>
      </c>
      <c r="C61" s="22">
        <v>1519.021</v>
      </c>
      <c r="D61" s="21">
        <v>587.88300000000004</v>
      </c>
      <c r="E61" s="20">
        <v>109.63500000000001</v>
      </c>
      <c r="F61" s="20">
        <v>2074.7440000000001</v>
      </c>
      <c r="G61" s="20">
        <v>239.48699999999999</v>
      </c>
      <c r="H61" s="21">
        <v>13.467000000000001</v>
      </c>
      <c r="I61" s="20">
        <v>135.89099999999999</v>
      </c>
      <c r="J61" s="100">
        <v>18.602</v>
      </c>
      <c r="K61" s="502"/>
      <c r="L61" s="103">
        <v>211.352</v>
      </c>
      <c r="M61" s="20">
        <v>472.38200000000001</v>
      </c>
      <c r="N61" s="21">
        <v>21.056000000000001</v>
      </c>
      <c r="O61" s="373">
        <v>95.381</v>
      </c>
      <c r="P61" s="372">
        <f>SUM(C61:O61)</f>
        <v>5498.9009999999989</v>
      </c>
      <c r="Q61" s="49"/>
      <c r="R61" s="104">
        <v>30.704999999999998</v>
      </c>
      <c r="S61" s="23">
        <v>2.008</v>
      </c>
      <c r="T61" s="101">
        <v>2177.4899999999998</v>
      </c>
      <c r="U61" s="50"/>
      <c r="V61" s="114">
        <v>319.44200000000001</v>
      </c>
      <c r="W61" s="407">
        <f t="shared" si="15"/>
        <v>2529.645</v>
      </c>
      <c r="X61" s="57"/>
      <c r="Y61" s="1007">
        <v>4761.1989999999996</v>
      </c>
      <c r="Z61" s="1642"/>
      <c r="AA61" s="1643"/>
      <c r="AB61" s="1644"/>
      <c r="AC61" s="2240"/>
      <c r="AD61" s="2209"/>
      <c r="AE61" s="2274"/>
      <c r="AF61" s="2297">
        <v>2969.252</v>
      </c>
      <c r="AG61" s="2286">
        <v>3091.252</v>
      </c>
      <c r="AH61" s="1857">
        <f>W61-V61-SUM(Motpart!Y23:Z23)</f>
        <v>1791.94</v>
      </c>
    </row>
    <row r="62" spans="1:34" ht="13.5" customHeight="1">
      <c r="A62" s="2148"/>
      <c r="B62" s="883" t="s">
        <v>21</v>
      </c>
      <c r="C62" s="476"/>
      <c r="D62" s="475"/>
      <c r="E62" s="473"/>
      <c r="F62" s="496"/>
      <c r="G62" s="473"/>
      <c r="H62" s="497"/>
      <c r="I62" s="473"/>
      <c r="J62" s="474"/>
      <c r="K62" s="502"/>
      <c r="L62" s="472"/>
      <c r="M62" s="473"/>
      <c r="N62" s="475"/>
      <c r="O62" s="475"/>
      <c r="P62" s="474"/>
      <c r="Q62" s="50"/>
      <c r="R62" s="472"/>
      <c r="S62" s="473"/>
      <c r="T62" s="474"/>
      <c r="U62" s="50"/>
      <c r="V62" s="470"/>
      <c r="W62" s="471"/>
      <c r="X62" s="31"/>
      <c r="Y62" s="1513"/>
      <c r="Z62" s="1659"/>
      <c r="AA62" s="1646"/>
      <c r="AB62" s="1646"/>
      <c r="AC62" s="2241"/>
      <c r="AD62" s="2209"/>
      <c r="AE62" s="2274"/>
      <c r="AF62" s="2297"/>
      <c r="AG62" s="2286">
        <f t="shared" si="8"/>
        <v>0</v>
      </c>
      <c r="AH62" s="1857"/>
    </row>
    <row r="63" spans="1:34">
      <c r="A63" s="2131" t="s">
        <v>253</v>
      </c>
      <c r="B63" s="891" t="s">
        <v>884</v>
      </c>
      <c r="C63" s="20">
        <v>149.81</v>
      </c>
      <c r="D63" s="21">
        <v>57.2</v>
      </c>
      <c r="E63" s="20">
        <v>6.0709999999999997</v>
      </c>
      <c r="F63" s="20">
        <v>24.548999999999999</v>
      </c>
      <c r="G63" s="20">
        <v>11.093999999999999</v>
      </c>
      <c r="H63" s="21">
        <v>7.2999999999999995E-2</v>
      </c>
      <c r="I63" s="20">
        <v>8.7629999999999999</v>
      </c>
      <c r="J63" s="100">
        <v>0.80600000000000005</v>
      </c>
      <c r="K63" s="31"/>
      <c r="L63" s="103">
        <v>21.475000000000001</v>
      </c>
      <c r="M63" s="20">
        <v>34.847000000000001</v>
      </c>
      <c r="N63" s="21">
        <v>1.774</v>
      </c>
      <c r="O63" s="373">
        <v>8.2550000000000008</v>
      </c>
      <c r="P63" s="372">
        <f>SUM(C63:O63)</f>
        <v>324.71699999999998</v>
      </c>
      <c r="Q63" s="49"/>
      <c r="R63" s="103">
        <v>0.15</v>
      </c>
      <c r="S63" s="20">
        <v>4.2000000000000003E-2</v>
      </c>
      <c r="T63" s="100">
        <v>22.221</v>
      </c>
      <c r="U63" s="50"/>
      <c r="V63" s="113">
        <v>36.402000000000001</v>
      </c>
      <c r="W63" s="407">
        <f t="shared" si="15"/>
        <v>58.814999999999998</v>
      </c>
      <c r="X63" s="57"/>
      <c r="Y63" s="987">
        <v>275.98200000000003</v>
      </c>
      <c r="Z63" s="1645"/>
      <c r="AA63" s="1646"/>
      <c r="AB63" s="1646"/>
      <c r="AC63" s="2241"/>
      <c r="AD63" s="2209"/>
      <c r="AE63" s="2274"/>
      <c r="AF63" s="2297">
        <v>265.91300000000001</v>
      </c>
      <c r="AG63" s="2286">
        <v>263.70499999999998</v>
      </c>
      <c r="AH63" s="1857">
        <f>W63-V63-SUM(Motpart!Y24:Z24)</f>
        <v>10.063999999999997</v>
      </c>
    </row>
    <row r="64" spans="1:34">
      <c r="A64" s="2131" t="s">
        <v>254</v>
      </c>
      <c r="B64" s="877" t="s">
        <v>91</v>
      </c>
      <c r="C64" s="20">
        <v>311.89999999999998</v>
      </c>
      <c r="D64" s="21">
        <v>121.399</v>
      </c>
      <c r="E64" s="23">
        <v>36.779000000000003</v>
      </c>
      <c r="F64" s="23">
        <v>118.16200000000001</v>
      </c>
      <c r="G64" s="23">
        <v>153.274</v>
      </c>
      <c r="H64" s="24">
        <v>68.301000000000002</v>
      </c>
      <c r="I64" s="23">
        <v>78.403000000000006</v>
      </c>
      <c r="J64" s="101">
        <v>13.715999999999999</v>
      </c>
      <c r="K64" s="31"/>
      <c r="L64" s="104">
        <v>85.551000000000002</v>
      </c>
      <c r="M64" s="23">
        <v>47.972000000000001</v>
      </c>
      <c r="N64" s="21">
        <v>4.51</v>
      </c>
      <c r="O64" s="373">
        <v>23.663</v>
      </c>
      <c r="P64" s="372">
        <f>SUM(C64:O64)</f>
        <v>1063.6300000000001</v>
      </c>
      <c r="Q64" s="49"/>
      <c r="R64" s="104">
        <v>1.996</v>
      </c>
      <c r="S64" s="23">
        <v>10.753</v>
      </c>
      <c r="T64" s="101">
        <v>617.15099999999995</v>
      </c>
      <c r="U64" s="50"/>
      <c r="V64" s="114">
        <v>36.447000000000003</v>
      </c>
      <c r="W64" s="407">
        <f t="shared" si="15"/>
        <v>666.34699999999998</v>
      </c>
      <c r="X64" s="57"/>
      <c r="Y64" s="1007">
        <v>1002.155</v>
      </c>
      <c r="Z64" s="1645"/>
      <c r="AA64" s="1646"/>
      <c r="AB64" s="1646"/>
      <c r="AC64" s="2241"/>
      <c r="AD64" s="2209"/>
      <c r="AE64" s="2274"/>
      <c r="AF64" s="2297">
        <v>397.28199999999998</v>
      </c>
      <c r="AG64" s="2286">
        <v>840.72299999999996</v>
      </c>
      <c r="AH64" s="1857">
        <f>W64-V64-(IF(AND(Motpart!$Y$25="",Motpart!$Z$25=""),0,IF(AND(Motpart!$Y$25=0,Motpart!$Z$25=0),0,((T64/($T$64+$T$65+$T$66))*(Motpart!$Y$25+Motpart!$Z$25)))))</f>
        <v>588.46851458068227</v>
      </c>
    </row>
    <row r="65" spans="1:34">
      <c r="A65" s="2131" t="s">
        <v>255</v>
      </c>
      <c r="B65" s="877" t="s">
        <v>96</v>
      </c>
      <c r="C65" s="20">
        <v>1566.162</v>
      </c>
      <c r="D65" s="21">
        <v>602.09400000000005</v>
      </c>
      <c r="E65" s="23">
        <v>62.868000000000002</v>
      </c>
      <c r="F65" s="23">
        <v>1081.347</v>
      </c>
      <c r="G65" s="23">
        <v>123.593</v>
      </c>
      <c r="H65" s="24">
        <v>1.0840000000000001</v>
      </c>
      <c r="I65" s="23">
        <v>89.805000000000007</v>
      </c>
      <c r="J65" s="101">
        <v>13.891999999999999</v>
      </c>
      <c r="K65" s="31"/>
      <c r="L65" s="104">
        <v>190.04499999999999</v>
      </c>
      <c r="M65" s="23">
        <v>357.53699999999998</v>
      </c>
      <c r="N65" s="21">
        <v>26.774000000000001</v>
      </c>
      <c r="O65" s="373">
        <v>82.542000000000002</v>
      </c>
      <c r="P65" s="372">
        <f>SUM(C65:O65)</f>
        <v>4197.7430000000004</v>
      </c>
      <c r="Q65" s="49"/>
      <c r="R65" s="104">
        <v>3.109</v>
      </c>
      <c r="S65" s="23">
        <v>0.311</v>
      </c>
      <c r="T65" s="101">
        <v>1143.0909999999999</v>
      </c>
      <c r="U65" s="50"/>
      <c r="V65" s="114">
        <v>339.09199999999998</v>
      </c>
      <c r="W65" s="407">
        <f t="shared" si="15"/>
        <v>1485.6030000000001</v>
      </c>
      <c r="X65" s="57"/>
      <c r="Y65" s="1007">
        <v>3760.8209999999999</v>
      </c>
      <c r="Z65" s="1645"/>
      <c r="AA65" s="1646"/>
      <c r="AB65" s="1646"/>
      <c r="AC65" s="2241"/>
      <c r="AD65" s="2209"/>
      <c r="AE65" s="2274"/>
      <c r="AF65" s="2297">
        <v>2712.134</v>
      </c>
      <c r="AG65" s="2286">
        <v>2776.2049999999999</v>
      </c>
      <c r="AH65" s="1857">
        <f>W65-V65-(IF(AND(Motpart!$Y$25="",Motpart!$Z$25=""),0,IF(AND(Motpart!$Y$25=0,Motpart!$Z$25=0),0,((T65/($T$64+$T$65+$T$66))*(Motpart!$Y$25+Motpart!$Z$25)))))</f>
        <v>1069.7713396908482</v>
      </c>
    </row>
    <row r="66" spans="1:34">
      <c r="A66" s="2131" t="s">
        <v>256</v>
      </c>
      <c r="B66" s="885" t="s">
        <v>960</v>
      </c>
      <c r="C66" s="20">
        <v>124.16800000000001</v>
      </c>
      <c r="D66" s="21">
        <v>47.216999999999999</v>
      </c>
      <c r="E66" s="23">
        <v>10.291</v>
      </c>
      <c r="F66" s="23">
        <v>9.3870000000000005</v>
      </c>
      <c r="G66" s="23">
        <v>52.387999999999998</v>
      </c>
      <c r="H66" s="24">
        <v>1.508</v>
      </c>
      <c r="I66" s="23">
        <v>5.8490000000000002</v>
      </c>
      <c r="J66" s="101">
        <v>0.92300000000000004</v>
      </c>
      <c r="K66" s="31"/>
      <c r="L66" s="104">
        <v>24.196999999999999</v>
      </c>
      <c r="M66" s="23">
        <v>10.932</v>
      </c>
      <c r="N66" s="21">
        <v>1.0660000000000001</v>
      </c>
      <c r="O66" s="373">
        <v>6.2320000000000002</v>
      </c>
      <c r="P66" s="372">
        <f>SUM(C66:O66)</f>
        <v>294.15800000000002</v>
      </c>
      <c r="Q66" s="49"/>
      <c r="R66" s="104">
        <v>4.1790000000000003</v>
      </c>
      <c r="S66" s="23">
        <v>1.0740000000000001</v>
      </c>
      <c r="T66" s="101">
        <v>205.20099999999999</v>
      </c>
      <c r="U66" s="50"/>
      <c r="V66" s="114">
        <v>36.728999999999999</v>
      </c>
      <c r="W66" s="407">
        <f t="shared" si="15"/>
        <v>247.18299999999999</v>
      </c>
      <c r="X66" s="57"/>
      <c r="Y66" s="1007">
        <v>248.321</v>
      </c>
      <c r="Z66" s="900" t="s">
        <v>97</v>
      </c>
      <c r="AA66" s="983"/>
      <c r="AB66" s="984"/>
      <c r="AC66" s="2245"/>
      <c r="AD66" s="2209"/>
      <c r="AE66" s="2274"/>
      <c r="AF66" s="2297">
        <v>46.991</v>
      </c>
      <c r="AG66" s="2286">
        <v>246.54599999999999</v>
      </c>
      <c r="AH66" s="1857">
        <f>W66-V66-(IF(AND(Motpart!$Y$25="",Motpart!$Z$25=""),0,IF(AND(Motpart!$Y$25=0,Motpart!$Z$25=0),0,((T66/($T$64+$T$65+$T$66))*(Motpart!$Y$25+Motpart!$Z$25)))))</f>
        <v>196.67814572846936</v>
      </c>
    </row>
    <row r="67" spans="1:34">
      <c r="A67" s="2131" t="s">
        <v>257</v>
      </c>
      <c r="B67" s="877" t="s">
        <v>22</v>
      </c>
      <c r="C67" s="365">
        <f>SUM(C58,C60:C61,C63:C66)</f>
        <v>78222.994999999981</v>
      </c>
      <c r="D67" s="26">
        <f t="shared" ref="D67:J67" si="16">SUM(D58,D60:D61,D63:D66)</f>
        <v>30455.496000000006</v>
      </c>
      <c r="E67" s="534">
        <f t="shared" si="16"/>
        <v>6185.1710000000012</v>
      </c>
      <c r="F67" s="365">
        <f t="shared" si="16"/>
        <v>46725.597999999998</v>
      </c>
      <c r="G67" s="365">
        <f t="shared" si="16"/>
        <v>13861.028</v>
      </c>
      <c r="H67" s="365">
        <f t="shared" si="16"/>
        <v>402.09199999999993</v>
      </c>
      <c r="I67" s="365">
        <f t="shared" si="16"/>
        <v>5843.16</v>
      </c>
      <c r="J67" s="105">
        <f t="shared" si="16"/>
        <v>1484.1660000000002</v>
      </c>
      <c r="K67" s="148"/>
      <c r="L67" s="374">
        <f>SUM(L58,L60:L61,L63:L66)</f>
        <v>14137.411</v>
      </c>
      <c r="M67" s="365">
        <f>SUM(M58,M60:M61,M63:M66)</f>
        <v>30547.056000000004</v>
      </c>
      <c r="N67" s="26">
        <f>SUM(N58,N60:N61,N63:N66)</f>
        <v>892.27800000000002</v>
      </c>
      <c r="O67" s="377">
        <f>SUM(O58,O60:O61,O63:O66)</f>
        <v>5255.433</v>
      </c>
      <c r="P67" s="105">
        <f>SUM(P58,P60:P61,P63:P66)</f>
        <v>234011.88400000002</v>
      </c>
      <c r="Q67" s="49"/>
      <c r="R67" s="374">
        <f>SUM(R58,R60:R61,R63:R66)</f>
        <v>149.67000000000002</v>
      </c>
      <c r="S67" s="365">
        <f>SUM(S58,S60:S61,S63:S66)</f>
        <v>81.054000000000002</v>
      </c>
      <c r="T67" s="105">
        <f>SUM(T58,T60:T61,T63:T66)</f>
        <v>30440.306000000004</v>
      </c>
      <c r="U67" s="49"/>
      <c r="V67" s="117">
        <f>SUM(V58,V60:V61,V63:V66)</f>
        <v>22268.125</v>
      </c>
      <c r="W67" s="118">
        <f>SUM(W58,W60:W61,W63:W66)</f>
        <v>52939.154999999999</v>
      </c>
      <c r="X67" s="57"/>
      <c r="Y67" s="987">
        <v>201303.09299999999</v>
      </c>
      <c r="Z67" s="990">
        <f>(P67-W67)*1000/invanare</f>
        <v>17532.913925989891</v>
      </c>
      <c r="AA67" s="991">
        <f>Y67*1000/invanare</f>
        <v>19491.780027264835</v>
      </c>
      <c r="AB67" s="991">
        <v>18866.422999999999</v>
      </c>
      <c r="AC67" s="2255">
        <f>IF(ISERROR((AA67-AB67)/AB67)," ",((AA67-AB67)/AB67))</f>
        <v>3.3146560281450056E-2</v>
      </c>
      <c r="AD67" s="2209"/>
      <c r="AE67" s="2278">
        <f>IF(ISERROR(F67/(AA67/1000*invanare)),"",(F67/(AA67/100000*invanare)))</f>
        <v>23.211564861549341</v>
      </c>
      <c r="AF67" s="2297">
        <v>181072.821</v>
      </c>
      <c r="AG67" s="2286">
        <v>164616.136</v>
      </c>
      <c r="AH67" s="1857">
        <f>W67-V67-SUM(Motpart!Y17:Z25)</f>
        <v>20230.245000000003</v>
      </c>
    </row>
    <row r="68" spans="1:34" ht="12.75" customHeight="1" thickBot="1">
      <c r="A68" s="2144" t="s">
        <v>258</v>
      </c>
      <c r="B68" s="882" t="s">
        <v>98</v>
      </c>
      <c r="C68" s="379">
        <f t="shared" ref="C68:J68" si="17">SUM(C51,C67)</f>
        <v>121905.77299999999</v>
      </c>
      <c r="D68" s="380">
        <f t="shared" si="17"/>
        <v>47492.688000000009</v>
      </c>
      <c r="E68" s="379">
        <f t="shared" si="17"/>
        <v>8501.5310000000009</v>
      </c>
      <c r="F68" s="379">
        <f t="shared" si="17"/>
        <v>66017.593999999997</v>
      </c>
      <c r="G68" s="379">
        <f t="shared" si="17"/>
        <v>16356.719000000001</v>
      </c>
      <c r="H68" s="380">
        <f t="shared" si="17"/>
        <v>414.6169999999999</v>
      </c>
      <c r="I68" s="379">
        <f t="shared" si="17"/>
        <v>8902.5920000000006</v>
      </c>
      <c r="J68" s="381">
        <f t="shared" si="17"/>
        <v>1922.5550000000001</v>
      </c>
      <c r="K68" s="148"/>
      <c r="L68" s="382">
        <f>SUM(L51,L67)</f>
        <v>21131.038</v>
      </c>
      <c r="M68" s="379">
        <f>SUM(M51,M67)</f>
        <v>47462.062000000005</v>
      </c>
      <c r="N68" s="380">
        <f>SUM(N51,N67)</f>
        <v>1360.38</v>
      </c>
      <c r="O68" s="380">
        <f>SUM(O51,O67)</f>
        <v>7946.6689999999999</v>
      </c>
      <c r="P68" s="381">
        <f>SUM(P51,P67)</f>
        <v>349414.21799999999</v>
      </c>
      <c r="Q68" s="49"/>
      <c r="R68" s="382">
        <f>SUM(R51,R67)</f>
        <v>8165.1890000000003</v>
      </c>
      <c r="S68" s="379">
        <f>SUM(S51,S67)</f>
        <v>107.39100000000001</v>
      </c>
      <c r="T68" s="381">
        <f>SUM(T51,T67)</f>
        <v>38032.784000000007</v>
      </c>
      <c r="U68" s="49"/>
      <c r="V68" s="409">
        <f>SUM(V51,V67)</f>
        <v>34231.300999999999</v>
      </c>
      <c r="W68" s="408">
        <f>SUM(W51,W67)</f>
        <v>80536.665000000008</v>
      </c>
      <c r="X68" s="57"/>
      <c r="Y68" s="1014">
        <v>304183.44099999999</v>
      </c>
      <c r="Z68" s="992"/>
      <c r="AA68" s="993"/>
      <c r="AB68" s="994"/>
      <c r="AC68" s="2250"/>
      <c r="AD68" s="2209"/>
      <c r="AE68" s="2276">
        <f>IF(ISERROR(F67/(AA67/1000*invanare)),"",(SUM(Motpart!D17:D25,Motpart!F17:F25)/(AA67/100000*invanare)))</f>
        <v>15.912759472602836</v>
      </c>
      <c r="AF68" s="2298">
        <v>268877.66600000003</v>
      </c>
      <c r="AG68" s="2287">
        <v>248750.788</v>
      </c>
      <c r="AH68" s="1859">
        <f>SUM(AH51,AH58,AH60:AH61,AH63:AH66)</f>
        <v>35305.767</v>
      </c>
    </row>
    <row r="69" spans="1:34" ht="17.25" customHeight="1">
      <c r="A69" s="2148"/>
      <c r="B69" s="883" t="s">
        <v>99</v>
      </c>
      <c r="C69" s="503"/>
      <c r="D69" s="504"/>
      <c r="E69" s="505"/>
      <c r="F69" s="505"/>
      <c r="G69" s="505"/>
      <c r="H69" s="504"/>
      <c r="I69" s="505"/>
      <c r="J69" s="506"/>
      <c r="K69" s="38"/>
      <c r="L69" s="507"/>
      <c r="M69" s="505"/>
      <c r="N69" s="504"/>
      <c r="O69" s="504"/>
      <c r="P69" s="508"/>
      <c r="Q69" s="51"/>
      <c r="R69" s="507"/>
      <c r="S69" s="505"/>
      <c r="T69" s="506"/>
      <c r="U69" s="51"/>
      <c r="V69" s="509"/>
      <c r="W69" s="510"/>
      <c r="X69" s="38"/>
      <c r="Y69" s="1515"/>
      <c r="Z69" s="1669"/>
      <c r="AA69" s="1670"/>
      <c r="AB69" s="1671"/>
      <c r="AC69" s="2256"/>
      <c r="AD69" s="2209"/>
      <c r="AE69" s="2274"/>
      <c r="AF69" s="2299"/>
      <c r="AG69" s="2288"/>
      <c r="AH69" s="1858"/>
    </row>
    <row r="70" spans="1:34">
      <c r="A70" s="2131" t="s">
        <v>259</v>
      </c>
      <c r="B70" s="879" t="s">
        <v>100</v>
      </c>
      <c r="C70" s="20">
        <v>86.058999999999997</v>
      </c>
      <c r="D70" s="21">
        <v>34.244999999999997</v>
      </c>
      <c r="E70" s="20">
        <v>6.89</v>
      </c>
      <c r="F70" s="20">
        <v>48.051000000000002</v>
      </c>
      <c r="G70" s="20">
        <v>37.380000000000003</v>
      </c>
      <c r="H70" s="21">
        <v>2.3E-2</v>
      </c>
      <c r="I70" s="20">
        <v>1.6679999999999999</v>
      </c>
      <c r="J70" s="100">
        <v>0.48199999999999998</v>
      </c>
      <c r="K70" s="31"/>
      <c r="L70" s="103">
        <v>8.3219999999999992</v>
      </c>
      <c r="M70" s="20">
        <v>128.28899999999999</v>
      </c>
      <c r="N70" s="21">
        <v>0</v>
      </c>
      <c r="O70" s="373">
        <v>4.32</v>
      </c>
      <c r="P70" s="372">
        <f>SUM(C70:O70)</f>
        <v>355.72899999999998</v>
      </c>
      <c r="Q70" s="49"/>
      <c r="R70" s="103">
        <v>14.884</v>
      </c>
      <c r="S70" s="20">
        <v>0.14699999999999999</v>
      </c>
      <c r="T70" s="100">
        <v>34.762999999999998</v>
      </c>
      <c r="U70" s="50"/>
      <c r="V70" s="113">
        <v>123.702</v>
      </c>
      <c r="W70" s="407">
        <f>SUM(R70:V70)</f>
        <v>173.49599999999998</v>
      </c>
      <c r="X70" s="57"/>
      <c r="Y70" s="987">
        <v>222.21</v>
      </c>
      <c r="Z70" s="1672"/>
      <c r="AA70" s="1666"/>
      <c r="AB70" s="1666"/>
      <c r="AC70" s="2257"/>
      <c r="AD70" s="2209"/>
      <c r="AE70" s="2274"/>
      <c r="AF70" s="2297">
        <v>182.23599999999999</v>
      </c>
      <c r="AG70" s="2286">
        <v>183.95400000000001</v>
      </c>
      <c r="AH70" s="1857">
        <f>W70-V70-(IF(AND(Motpart!$Y$26="",Motpart!$Z$26=""),0,IF(AND(Motpart!$Y$26=0,Motpart!$Z$26=0),0,((T70/($T$70+$T$71))*(Motpart!$Y$26+Motpart!$Z$26)))))</f>
        <v>42.097585828735525</v>
      </c>
    </row>
    <row r="71" spans="1:34" ht="21" customHeight="1" thickBot="1">
      <c r="A71" s="2131" t="s">
        <v>260</v>
      </c>
      <c r="B71" s="1913" t="s">
        <v>1088</v>
      </c>
      <c r="C71" s="23">
        <v>668.38599999999997</v>
      </c>
      <c r="D71" s="21">
        <v>265.745</v>
      </c>
      <c r="E71" s="23">
        <v>355.24</v>
      </c>
      <c r="F71" s="23">
        <v>265.113</v>
      </c>
      <c r="G71" s="23">
        <v>254.34899999999999</v>
      </c>
      <c r="H71" s="24">
        <v>0.83499999999999996</v>
      </c>
      <c r="I71" s="23">
        <v>8.5990000000000002</v>
      </c>
      <c r="J71" s="101">
        <v>23.907</v>
      </c>
      <c r="K71" s="31"/>
      <c r="L71" s="104">
        <v>94.108000000000004</v>
      </c>
      <c r="M71" s="23">
        <v>160.411</v>
      </c>
      <c r="N71" s="21">
        <v>0.998</v>
      </c>
      <c r="O71" s="373">
        <v>38.273000000000003</v>
      </c>
      <c r="P71" s="372">
        <f>SUM(C71:O71)</f>
        <v>2135.9639999999999</v>
      </c>
      <c r="Q71" s="49"/>
      <c r="R71" s="104">
        <v>51.043999999999997</v>
      </c>
      <c r="S71" s="23">
        <v>0.86799999999999999</v>
      </c>
      <c r="T71" s="101">
        <v>362.16699999999997</v>
      </c>
      <c r="U71" s="50"/>
      <c r="V71" s="114">
        <v>144.71100000000001</v>
      </c>
      <c r="W71" s="995">
        <f>SUM(R71:V71)</f>
        <v>558.79</v>
      </c>
      <c r="X71" s="57"/>
      <c r="Y71" s="1007">
        <v>1913.194</v>
      </c>
      <c r="Z71" s="1667"/>
      <c r="AA71" s="1668"/>
      <c r="AB71" s="1668"/>
      <c r="AC71" s="2258"/>
      <c r="AD71" s="2209"/>
      <c r="AE71" s="2274"/>
      <c r="AF71" s="2297">
        <v>1577.1769999999999</v>
      </c>
      <c r="AG71" s="2286">
        <v>1725.309</v>
      </c>
      <c r="AH71" s="1857">
        <f>W71-V71-(IF(AND(Motpart!$Y$26="",Motpart!$Z$26=""),0,IF(AND(Motpart!$Y$26=0,Motpart!$Z$26=0),0,((T71/($T$70+$T$71))*(Motpart!$Y$26+Motpart!$Z$26)))))</f>
        <v>333.89641417126438</v>
      </c>
    </row>
    <row r="72" spans="1:34" ht="36" customHeight="1" thickBot="1">
      <c r="A72" s="2153"/>
      <c r="B72" s="1673" t="s">
        <v>102</v>
      </c>
      <c r="C72" s="476"/>
      <c r="D72" s="475"/>
      <c r="E72" s="473"/>
      <c r="F72" s="473"/>
      <c r="G72" s="473"/>
      <c r="H72" s="475"/>
      <c r="I72" s="473"/>
      <c r="J72" s="474"/>
      <c r="K72" s="31"/>
      <c r="L72" s="472"/>
      <c r="M72" s="473"/>
      <c r="N72" s="475"/>
      <c r="O72" s="475"/>
      <c r="P72" s="474"/>
      <c r="Q72" s="50"/>
      <c r="R72" s="472"/>
      <c r="S72" s="473"/>
      <c r="T72" s="474"/>
      <c r="U72" s="50"/>
      <c r="V72" s="470"/>
      <c r="W72" s="471"/>
      <c r="X72" s="31"/>
      <c r="Y72" s="1662" t="s">
        <v>1001</v>
      </c>
      <c r="Z72" s="2483"/>
      <c r="AA72" s="2484"/>
      <c r="AB72" s="2484"/>
      <c r="AC72" s="2485"/>
      <c r="AD72" s="2209"/>
      <c r="AE72" s="2279">
        <f>IF(ISERROR((F73+F74)/((AA73+AA74)/1000*invanare)),"",((F73+F74)/((AA73+AA74)/100000*invanare)))</f>
        <v>16.714726140263799</v>
      </c>
      <c r="AF72" s="2297"/>
      <c r="AG72" s="2286"/>
      <c r="AH72" s="1857"/>
    </row>
    <row r="73" spans="1:34">
      <c r="A73" s="2131" t="s">
        <v>443</v>
      </c>
      <c r="B73" s="885" t="s">
        <v>496</v>
      </c>
      <c r="C73" s="20">
        <v>57734.864999999998</v>
      </c>
      <c r="D73" s="21">
        <v>22419.078000000001</v>
      </c>
      <c r="E73" s="20">
        <v>3933.9940000000001</v>
      </c>
      <c r="F73" s="20">
        <v>20578.592000000001</v>
      </c>
      <c r="G73" s="20">
        <v>5025.2920000000004</v>
      </c>
      <c r="H73" s="21">
        <v>970.62300000000005</v>
      </c>
      <c r="I73" s="20">
        <v>4354.9809999999998</v>
      </c>
      <c r="J73" s="100">
        <v>597.38199999999995</v>
      </c>
      <c r="K73" s="31"/>
      <c r="L73" s="103">
        <v>5859.16</v>
      </c>
      <c r="M73" s="20">
        <v>19790.286</v>
      </c>
      <c r="N73" s="21">
        <v>610.29999999999995</v>
      </c>
      <c r="O73" s="373">
        <v>3414.86</v>
      </c>
      <c r="P73" s="372">
        <f>SUM(C73:O73)</f>
        <v>145289.413</v>
      </c>
      <c r="Q73" s="49"/>
      <c r="R73" s="1920">
        <v>5234.4369999999999</v>
      </c>
      <c r="S73" s="20">
        <v>4392.1949999999997</v>
      </c>
      <c r="T73" s="100">
        <v>6662.0680000000002</v>
      </c>
      <c r="U73" s="50"/>
      <c r="V73" s="113">
        <v>15639.107</v>
      </c>
      <c r="W73" s="407">
        <f>SUM(R73:V73)</f>
        <v>31927.807000000001</v>
      </c>
      <c r="X73" s="57"/>
      <c r="Y73" s="987">
        <v>129380.09</v>
      </c>
      <c r="Z73" s="990">
        <f>(P73-W73)*1000/invanare</f>
        <v>10976.579916183729</v>
      </c>
      <c r="AA73" s="991">
        <f>Y73*1000/invanare</f>
        <v>12527.618014233525</v>
      </c>
      <c r="AB73" s="1005">
        <v>12346.6</v>
      </c>
      <c r="AC73" s="2248">
        <f>IF(ISERROR((AA73-AB73)/AB73)," ",((AA73-AB73)/AB73))</f>
        <v>1.4661365415055546E-2</v>
      </c>
      <c r="AD73" s="2209"/>
      <c r="AE73" s="2278"/>
      <c r="AF73" s="2297">
        <v>113361.617</v>
      </c>
      <c r="AG73" s="2286">
        <v>108101.08900000001</v>
      </c>
      <c r="AH73" s="1857">
        <f>W73-V73-SUM(Motpart!Y27:Z27)</f>
        <v>16018.484</v>
      </c>
    </row>
    <row r="74" spans="1:34" ht="18.75">
      <c r="A74" s="2131" t="s">
        <v>442</v>
      </c>
      <c r="B74" s="889" t="s">
        <v>378</v>
      </c>
      <c r="C74" s="20">
        <v>5904.5479999999998</v>
      </c>
      <c r="D74" s="21">
        <v>2269.7280000000001</v>
      </c>
      <c r="E74" s="20">
        <v>285.07299999999998</v>
      </c>
      <c r="F74" s="20">
        <v>3524.5320000000002</v>
      </c>
      <c r="G74" s="20">
        <v>666.07100000000003</v>
      </c>
      <c r="H74" s="21">
        <v>410.03100000000001</v>
      </c>
      <c r="I74" s="20">
        <v>402.15699999999998</v>
      </c>
      <c r="J74" s="100">
        <v>30.273</v>
      </c>
      <c r="K74" s="31"/>
      <c r="L74" s="103">
        <v>419.017</v>
      </c>
      <c r="M74" s="20">
        <v>1881.0809999999999</v>
      </c>
      <c r="N74" s="21">
        <v>63.191000000000003</v>
      </c>
      <c r="O74" s="373">
        <v>340.04399999999998</v>
      </c>
      <c r="P74" s="372">
        <f>SUM(C74:O74)</f>
        <v>16195.746000000001</v>
      </c>
      <c r="Q74" s="49"/>
      <c r="R74" s="1920">
        <v>295.44900000000001</v>
      </c>
      <c r="S74" s="20">
        <v>314.25</v>
      </c>
      <c r="T74" s="100">
        <v>799.12400000000002</v>
      </c>
      <c r="U74" s="50"/>
      <c r="V74" s="113">
        <v>1327.1279999999999</v>
      </c>
      <c r="W74" s="407">
        <f>SUM(R74:V74)</f>
        <v>2735.951</v>
      </c>
      <c r="X74" s="57"/>
      <c r="Y74" s="987">
        <v>14822.834999999999</v>
      </c>
      <c r="Z74" s="990">
        <f>(P74-W74)*1000/invanare</f>
        <v>1303.2853069578971</v>
      </c>
      <c r="AA74" s="991">
        <f>Y74*1000/invanare</f>
        <v>1435.2657720984055</v>
      </c>
      <c r="AB74" s="1005">
        <v>1422.5550000000001</v>
      </c>
      <c r="AC74" s="2248">
        <f>IF(ISERROR((AA74-AB74)/AB74)," ",((AA74-AB74)/AB74))</f>
        <v>8.9351709413030868E-3</v>
      </c>
      <c r="AD74" s="2209"/>
      <c r="AE74" s="2277">
        <f>(Y77-Y76)*1000/invanare</f>
        <v>20118.758695761422</v>
      </c>
      <c r="AF74" s="2297">
        <v>13459.797</v>
      </c>
      <c r="AG74" s="2286">
        <v>10934.052</v>
      </c>
      <c r="AH74" s="1857">
        <f>W74-V74-SUM(Motpart!Y28:Z28)</f>
        <v>1363.0500000000002</v>
      </c>
    </row>
    <row r="75" spans="1:34">
      <c r="A75" s="2131" t="s">
        <v>261</v>
      </c>
      <c r="B75" s="885" t="s">
        <v>379</v>
      </c>
      <c r="C75" s="2192">
        <v>26345.812999999998</v>
      </c>
      <c r="D75" s="21">
        <v>10177.386</v>
      </c>
      <c r="E75" s="23">
        <v>897.42700000000002</v>
      </c>
      <c r="F75" s="2192">
        <v>13272.078</v>
      </c>
      <c r="G75" s="23">
        <v>1720.377</v>
      </c>
      <c r="H75" s="24">
        <v>4925.9530000000004</v>
      </c>
      <c r="I75" s="23">
        <v>1600.0940000000001</v>
      </c>
      <c r="J75" s="101">
        <v>119.752</v>
      </c>
      <c r="K75" s="31"/>
      <c r="L75" s="104">
        <v>2072.7049999999999</v>
      </c>
      <c r="M75" s="2192">
        <v>5530.0919999999996</v>
      </c>
      <c r="N75" s="2193">
        <v>254.46199999999999</v>
      </c>
      <c r="O75" s="373">
        <v>1372.3019999999999</v>
      </c>
      <c r="P75" s="372">
        <f>SUM(C75:O75)</f>
        <v>68288.441000000006</v>
      </c>
      <c r="Q75" s="49"/>
      <c r="R75" s="1918">
        <v>135.417</v>
      </c>
      <c r="S75" s="23">
        <v>1312.2439999999999</v>
      </c>
      <c r="T75" s="101">
        <v>7928.56</v>
      </c>
      <c r="U75" s="50"/>
      <c r="V75" s="2194">
        <v>4457.8590000000004</v>
      </c>
      <c r="W75" s="407">
        <f>SUM(R75:V75)</f>
        <v>13834.08</v>
      </c>
      <c r="X75" s="57"/>
      <c r="Y75" s="987">
        <v>63575.343000000001</v>
      </c>
      <c r="Z75" s="990">
        <f>(P75-W75)*1000/invanare</f>
        <v>5272.7079863460876</v>
      </c>
      <c r="AA75" s="991">
        <f>Y75*1000/invanare</f>
        <v>6155.8746189454287</v>
      </c>
      <c r="AB75" s="1005">
        <v>6015.6289999999999</v>
      </c>
      <c r="AC75" s="2248">
        <f>IF(ISERROR((AA75-AB75)/AB75)," ",((AA75-AB75)/AB75))</f>
        <v>2.3313541933092742E-2</v>
      </c>
      <c r="AD75" s="2209"/>
      <c r="AE75" s="2274"/>
      <c r="AF75" s="2297">
        <v>54454.377</v>
      </c>
      <c r="AG75" s="2286">
        <v>45632.572</v>
      </c>
      <c r="AH75" s="1857">
        <f>W75-V75-SUM(Motpart!Y29:Z29)</f>
        <v>9120.9619999999995</v>
      </c>
    </row>
    <row r="76" spans="1:34">
      <c r="A76" s="2131" t="s">
        <v>262</v>
      </c>
      <c r="B76" s="877" t="s">
        <v>103</v>
      </c>
      <c r="C76" s="23">
        <v>113.16</v>
      </c>
      <c r="D76" s="21">
        <v>43.957000000000001</v>
      </c>
      <c r="E76" s="23">
        <v>9.5730000000000004</v>
      </c>
      <c r="F76" s="23">
        <v>1778.4960000000001</v>
      </c>
      <c r="G76" s="23">
        <v>369.32400000000001</v>
      </c>
      <c r="H76" s="24">
        <v>36.191000000000003</v>
      </c>
      <c r="I76" s="23">
        <v>3.3319999999999999</v>
      </c>
      <c r="J76" s="101">
        <v>0.68100000000000005</v>
      </c>
      <c r="K76" s="31"/>
      <c r="L76" s="104">
        <v>2.875</v>
      </c>
      <c r="M76" s="23">
        <v>88.17</v>
      </c>
      <c r="N76" s="21">
        <v>8.4459999999999997</v>
      </c>
      <c r="O76" s="373">
        <v>17.977</v>
      </c>
      <c r="P76" s="372">
        <f>SUM(C76:O76)</f>
        <v>2472.1819999999998</v>
      </c>
      <c r="Q76" s="49"/>
      <c r="R76" s="1918">
        <v>126.13200000000001</v>
      </c>
      <c r="S76" s="23">
        <v>1.9E-2</v>
      </c>
      <c r="T76" s="101">
        <v>103.258</v>
      </c>
      <c r="U76" s="50"/>
      <c r="V76" s="114">
        <v>97.138000000000005</v>
      </c>
      <c r="W76" s="407">
        <f>SUM(R76:V76)</f>
        <v>326.54700000000003</v>
      </c>
      <c r="X76" s="57"/>
      <c r="Y76" s="987">
        <v>2331.5390000000002</v>
      </c>
      <c r="Z76" s="990">
        <f>(P76-W76)*1000/invanare</f>
        <v>207.75758988859835</v>
      </c>
      <c r="AA76" s="991">
        <f>Y76*1000/invanare</f>
        <v>225.75830622229446</v>
      </c>
      <c r="AB76" s="1008">
        <v>211.82400000000001</v>
      </c>
      <c r="AC76" s="2248">
        <f>IF(ISERROR((AA76-AB76)/AB76)," ",((AA76-AB76)/AB76))</f>
        <v>6.5782471402175635E-2</v>
      </c>
      <c r="AD76" s="2209"/>
      <c r="AE76" s="2277"/>
      <c r="AF76" s="2297">
        <v>2145.6579999999999</v>
      </c>
      <c r="AG76" s="2286">
        <v>560.37599999999998</v>
      </c>
      <c r="AH76" s="1857">
        <f>W76-V76-SUM(Motpart!Y30:Z30)</f>
        <v>185.88200000000001</v>
      </c>
    </row>
    <row r="77" spans="1:34">
      <c r="A77" s="2131" t="s">
        <v>507</v>
      </c>
      <c r="B77" s="877" t="s">
        <v>105</v>
      </c>
      <c r="C77" s="365">
        <f t="shared" ref="C77:J77" si="18">SUM(C73:C76)</f>
        <v>90098.385999999999</v>
      </c>
      <c r="D77" s="26">
        <f t="shared" si="18"/>
        <v>34910.149000000005</v>
      </c>
      <c r="E77" s="365">
        <f t="shared" si="18"/>
        <v>5126.067</v>
      </c>
      <c r="F77" s="365">
        <f t="shared" si="18"/>
        <v>39153.697999999997</v>
      </c>
      <c r="G77" s="365">
        <f t="shared" si="18"/>
        <v>7781.0639999999994</v>
      </c>
      <c r="H77" s="26">
        <f t="shared" si="18"/>
        <v>6342.7979999999998</v>
      </c>
      <c r="I77" s="365">
        <f t="shared" si="18"/>
        <v>6360.5640000000003</v>
      </c>
      <c r="J77" s="105">
        <f t="shared" si="18"/>
        <v>748.08799999999997</v>
      </c>
      <c r="K77" s="148"/>
      <c r="L77" s="374">
        <f>SUM(L73:L76)</f>
        <v>8353.7569999999996</v>
      </c>
      <c r="M77" s="365">
        <f>SUM(M73:M76)</f>
        <v>27289.628999999997</v>
      </c>
      <c r="N77" s="26">
        <f>SUM(N73:N76)</f>
        <v>936.399</v>
      </c>
      <c r="O77" s="26">
        <f>SUM(O73:O76)</f>
        <v>5145.183</v>
      </c>
      <c r="P77" s="105">
        <f>SUM(P73:P76)</f>
        <v>232245.78200000004</v>
      </c>
      <c r="Q77" s="49"/>
      <c r="R77" s="374">
        <f>SUM(R73:R76)</f>
        <v>5791.4349999999995</v>
      </c>
      <c r="S77" s="365">
        <f>SUM(S73:S76)</f>
        <v>6018.7079999999996</v>
      </c>
      <c r="T77" s="105">
        <f>SUM(T73:T76)</f>
        <v>15493.01</v>
      </c>
      <c r="U77" s="49"/>
      <c r="V77" s="117">
        <f>SUM(V73:V76)</f>
        <v>21521.232</v>
      </c>
      <c r="W77" s="118">
        <f>SUM(W73:W76)</f>
        <v>48824.385000000002</v>
      </c>
      <c r="X77" s="57"/>
      <c r="Y77" s="987">
        <v>210109.81</v>
      </c>
      <c r="Z77" s="1684">
        <f>(P77-W77)*1000/invanare</f>
        <v>17760.330799376316</v>
      </c>
      <c r="AA77" s="1008">
        <f>Y77*1000/invanare</f>
        <v>20344.517001983717</v>
      </c>
      <c r="AB77" s="1685">
        <v>19996.608</v>
      </c>
      <c r="AC77" s="2252">
        <f t="shared" ref="AC77:AC84" si="19">IF(ISERROR((AA77-AB77)/AB77)," ",((AA77-AB77)/AB77))</f>
        <v>1.7398400867973045E-2</v>
      </c>
      <c r="AD77" s="2209"/>
      <c r="AE77" s="2278">
        <f>IF(ISERROR(F77/(AA77/1000*invanare)),"",(F77/(AA77/100000*invanare)))</f>
        <v>18.634873830974382</v>
      </c>
      <c r="AF77" s="2297">
        <v>183421.45</v>
      </c>
      <c r="AG77" s="2286">
        <v>165228.098</v>
      </c>
      <c r="AH77" s="1857">
        <f>W77-V77-SUM(Motpart!Y27:Z30)</f>
        <v>26688.378000000001</v>
      </c>
    </row>
    <row r="78" spans="1:34" ht="13.5" customHeight="1">
      <c r="A78" s="2153"/>
      <c r="B78" s="890" t="s">
        <v>106</v>
      </c>
      <c r="C78" s="476"/>
      <c r="D78" s="475"/>
      <c r="E78" s="473"/>
      <c r="F78" s="473"/>
      <c r="G78" s="473"/>
      <c r="H78" s="475"/>
      <c r="I78" s="473"/>
      <c r="J78" s="474"/>
      <c r="K78" s="31"/>
      <c r="L78" s="472"/>
      <c r="M78" s="473"/>
      <c r="N78" s="475"/>
      <c r="O78" s="475"/>
      <c r="P78" s="474"/>
      <c r="Q78" s="50"/>
      <c r="R78" s="472"/>
      <c r="S78" s="473"/>
      <c r="T78" s="474"/>
      <c r="U78" s="50"/>
      <c r="V78" s="470"/>
      <c r="W78" s="471"/>
      <c r="X78" s="31"/>
      <c r="Y78" s="1660"/>
      <c r="Z78" s="1686"/>
      <c r="AA78" s="1703">
        <f>IF(P75&lt;1,"",IF('Verks int o kostn'!I41="","",IF('Verks int o kostn'!D20="","",((Drift!C75*1.3846)+0.85*(Drift!F75+Drift!M75+Drift!N75+Drift!O75)-0.85*(Drift!V75+'Verks int o kostn'!D20+'Äldre o personer funktionsn'!I31)+(0.85*0.2*(('Verks int o kostn'!I41/0.2)-'Verks int o kostn'!D20))))))</f>
        <v>47734.8521798</v>
      </c>
      <c r="AB78" s="1703"/>
      <c r="AC78" s="2259" t="str">
        <f t="shared" si="19"/>
        <v xml:space="preserve"> </v>
      </c>
      <c r="AD78" s="2209"/>
      <c r="AE78" s="2274">
        <f>IF(ISERROR(F77/(AA77/1000*invanare)),"",(SUM(Motpart!D27:D30,Motpart!F27:F30)/(AA77/100000*invanare)))</f>
        <v>16.976016017529115</v>
      </c>
      <c r="AF78" s="2297"/>
      <c r="AG78" s="2286"/>
      <c r="AH78" s="1857"/>
    </row>
    <row r="79" spans="1:34">
      <c r="A79" s="2131" t="s">
        <v>448</v>
      </c>
      <c r="B79" s="891" t="s">
        <v>206</v>
      </c>
      <c r="C79" s="20">
        <v>2534.665</v>
      </c>
      <c r="D79" s="21">
        <v>983.42</v>
      </c>
      <c r="E79" s="20">
        <v>131.87200000000001</v>
      </c>
      <c r="F79" s="20">
        <v>3142.9270000000001</v>
      </c>
      <c r="G79" s="20">
        <v>422.90600000000001</v>
      </c>
      <c r="H79" s="21">
        <v>157.17599999999999</v>
      </c>
      <c r="I79" s="20">
        <v>486.959</v>
      </c>
      <c r="J79" s="100">
        <v>13.212</v>
      </c>
      <c r="K79" s="31"/>
      <c r="L79" s="103">
        <v>358.72300000000001</v>
      </c>
      <c r="M79" s="20">
        <v>588.55899999999997</v>
      </c>
      <c r="N79" s="21">
        <v>25.024000000000001</v>
      </c>
      <c r="O79" s="373">
        <v>165.84399999999999</v>
      </c>
      <c r="P79" s="372">
        <f>SUM(C79:O79)</f>
        <v>9011.2869999999984</v>
      </c>
      <c r="Q79" s="49"/>
      <c r="R79" s="103">
        <v>45.569000000000003</v>
      </c>
      <c r="S79" s="20">
        <v>335.20699999999999</v>
      </c>
      <c r="T79" s="100">
        <v>499.82400000000001</v>
      </c>
      <c r="U79" s="50"/>
      <c r="V79" s="113">
        <v>538.79600000000005</v>
      </c>
      <c r="W79" s="407">
        <f>SUM(R79:V79)</f>
        <v>1419.3960000000002</v>
      </c>
      <c r="X79" s="57"/>
      <c r="Y79" s="987">
        <v>8400.69</v>
      </c>
      <c r="Z79" s="990">
        <f t="shared" ref="Z79:Z84" si="20">(P79-W79)*1000/invanare</f>
        <v>735.10777781726188</v>
      </c>
      <c r="AA79" s="991">
        <f t="shared" ref="AA79:AA84" si="21">Y79*1000/invanare</f>
        <v>813.42218401603702</v>
      </c>
      <c r="AB79" s="991">
        <v>802.52700000000004</v>
      </c>
      <c r="AC79" s="2248">
        <f t="shared" si="19"/>
        <v>1.3576096525147413E-2</v>
      </c>
      <c r="AD79" s="2209"/>
      <c r="AE79" s="2277">
        <f>F85-F76-F71-F70</f>
        <v>49742.072</v>
      </c>
      <c r="AF79" s="2297">
        <v>7591.8890000000001</v>
      </c>
      <c r="AG79" s="2286">
        <v>5172.3860000000004</v>
      </c>
      <c r="AH79" s="1857">
        <f>W79-V79-SUM(Motpart!Y31:Z31)</f>
        <v>808.80500000000018</v>
      </c>
    </row>
    <row r="80" spans="1:34">
      <c r="A80" s="2131" t="s">
        <v>447</v>
      </c>
      <c r="B80" s="891" t="s">
        <v>107</v>
      </c>
      <c r="C80" s="20">
        <v>8428.9079999999994</v>
      </c>
      <c r="D80" s="21">
        <v>3115.299</v>
      </c>
      <c r="E80" s="20">
        <v>139.52600000000001</v>
      </c>
      <c r="F80" s="20">
        <v>8071.8059999999996</v>
      </c>
      <c r="G80" s="20">
        <v>1899.146</v>
      </c>
      <c r="H80" s="21">
        <v>127.663</v>
      </c>
      <c r="I80" s="20">
        <v>288.30599999999998</v>
      </c>
      <c r="J80" s="100">
        <v>32.287999999999997</v>
      </c>
      <c r="K80" s="31"/>
      <c r="L80" s="103">
        <v>423.476</v>
      </c>
      <c r="M80" s="20">
        <v>1001.984</v>
      </c>
      <c r="N80" s="21">
        <v>105.078</v>
      </c>
      <c r="O80" s="373">
        <v>479.209</v>
      </c>
      <c r="P80" s="372">
        <f>SUM(C80:O80)</f>
        <v>24112.688999999998</v>
      </c>
      <c r="Q80" s="49"/>
      <c r="R80" s="103">
        <v>59.529000000000003</v>
      </c>
      <c r="S80" s="20">
        <v>34.006999999999998</v>
      </c>
      <c r="T80" s="100">
        <v>1863.3440000000001</v>
      </c>
      <c r="U80" s="50"/>
      <c r="V80" s="113">
        <v>820.13499999999999</v>
      </c>
      <c r="W80" s="407">
        <f>SUM(R80:V80)</f>
        <v>2777.0150000000003</v>
      </c>
      <c r="X80" s="57"/>
      <c r="Y80" s="1007">
        <v>23116.527999999998</v>
      </c>
      <c r="Z80" s="990">
        <f t="shared" si="20"/>
        <v>2065.8910806772037</v>
      </c>
      <c r="AA80" s="991">
        <f t="shared" si="21"/>
        <v>2238.3276483988666</v>
      </c>
      <c r="AB80" s="1005">
        <v>2157.83</v>
      </c>
      <c r="AC80" s="2247">
        <f t="shared" si="19"/>
        <v>3.7304907429624515E-2</v>
      </c>
      <c r="AD80" s="2209"/>
      <c r="AE80" s="2277">
        <f>H85-H76-H71-H70</f>
        <v>17729.955999999998</v>
      </c>
      <c r="AF80" s="2297">
        <v>21335.690999999999</v>
      </c>
      <c r="AG80" s="2286">
        <v>15093.098</v>
      </c>
      <c r="AH80" s="1857">
        <f>W80-V80-SUM(Motpart!Y33:Z33)</f>
        <v>1780.8420000000003</v>
      </c>
    </row>
    <row r="81" spans="1:34">
      <c r="A81" s="2131" t="s">
        <v>450</v>
      </c>
      <c r="B81" s="891" t="s">
        <v>172</v>
      </c>
      <c r="C81" s="20">
        <v>828.13900000000001</v>
      </c>
      <c r="D81" s="21">
        <v>321.81400000000002</v>
      </c>
      <c r="E81" s="20">
        <v>36.558999999999997</v>
      </c>
      <c r="F81" s="20">
        <v>961.40300000000002</v>
      </c>
      <c r="G81" s="20">
        <v>160.24600000000001</v>
      </c>
      <c r="H81" s="21">
        <v>304.96899999999999</v>
      </c>
      <c r="I81" s="20">
        <v>266.25</v>
      </c>
      <c r="J81" s="100">
        <v>5.8630000000000004</v>
      </c>
      <c r="K81" s="31"/>
      <c r="L81" s="103">
        <v>147.56899999999999</v>
      </c>
      <c r="M81" s="20">
        <v>270.197</v>
      </c>
      <c r="N81" s="21">
        <v>11.401999999999999</v>
      </c>
      <c r="O81" s="373">
        <v>60.939</v>
      </c>
      <c r="P81" s="372">
        <f>SUM(C81:O81)</f>
        <v>3375.35</v>
      </c>
      <c r="Q81" s="49"/>
      <c r="R81" s="103">
        <v>9.6750000000000007</v>
      </c>
      <c r="S81" s="20">
        <v>244.184</v>
      </c>
      <c r="T81" s="100">
        <v>316.899</v>
      </c>
      <c r="U81" s="50"/>
      <c r="V81" s="113">
        <v>129.17599999999999</v>
      </c>
      <c r="W81" s="407">
        <f>SUM(R81:V81)</f>
        <v>699.93399999999997</v>
      </c>
      <c r="X81" s="57"/>
      <c r="Y81" s="1007">
        <v>3203.1489999999999</v>
      </c>
      <c r="Z81" s="990">
        <f t="shared" si="20"/>
        <v>259.05523544749894</v>
      </c>
      <c r="AA81" s="991">
        <f t="shared" si="21"/>
        <v>310.15457722029799</v>
      </c>
      <c r="AB81" s="1005">
        <v>307.52100000000002</v>
      </c>
      <c r="AC81" s="2247">
        <f t="shared" si="19"/>
        <v>8.5638939139049998E-3</v>
      </c>
      <c r="AD81" s="2209"/>
      <c r="AE81" s="2274"/>
      <c r="AF81" s="2297">
        <v>2675.433</v>
      </c>
      <c r="AG81" s="2286">
        <v>1979.816</v>
      </c>
      <c r="AH81" s="1857">
        <f>W81-V81-IFO!G29</f>
        <v>527.71800000000007</v>
      </c>
    </row>
    <row r="82" spans="1:34">
      <c r="A82" s="2131" t="s">
        <v>449</v>
      </c>
      <c r="B82" s="891" t="s">
        <v>108</v>
      </c>
      <c r="C82" s="20">
        <v>2153.873</v>
      </c>
      <c r="D82" s="21">
        <v>837.81</v>
      </c>
      <c r="E82" s="20">
        <v>41.822000000000003</v>
      </c>
      <c r="F82" s="20">
        <v>52.002000000000002</v>
      </c>
      <c r="G82" s="20">
        <v>326.83100000000002</v>
      </c>
      <c r="H82" s="21">
        <v>10828.531999999999</v>
      </c>
      <c r="I82" s="20">
        <v>114.735</v>
      </c>
      <c r="J82" s="100">
        <v>12.55</v>
      </c>
      <c r="K82" s="31"/>
      <c r="L82" s="103">
        <v>127.934</v>
      </c>
      <c r="M82" s="20">
        <v>334.93799999999999</v>
      </c>
      <c r="N82" s="21">
        <v>33.277999999999999</v>
      </c>
      <c r="O82" s="373">
        <v>124.151</v>
      </c>
      <c r="P82" s="372">
        <f>SUM(C82:O82)</f>
        <v>14988.455999999998</v>
      </c>
      <c r="Q82" s="49"/>
      <c r="R82" s="103">
        <v>41.314999999999998</v>
      </c>
      <c r="S82" s="20">
        <v>30.126999999999999</v>
      </c>
      <c r="T82" s="100">
        <v>883.49099999999999</v>
      </c>
      <c r="U82" s="50"/>
      <c r="V82" s="113">
        <v>180.98099999999999</v>
      </c>
      <c r="W82" s="407">
        <f>SUM(R82:V82)</f>
        <v>1135.914</v>
      </c>
      <c r="X82" s="57"/>
      <c r="Y82" s="1007">
        <v>14794.047</v>
      </c>
      <c r="Z82" s="990">
        <f t="shared" si="20"/>
        <v>1341.3142215477396</v>
      </c>
      <c r="AA82" s="991">
        <f t="shared" si="21"/>
        <v>1432.4782870426002</v>
      </c>
      <c r="AB82" s="1005">
        <v>1387.7560000000001</v>
      </c>
      <c r="AC82" s="2247">
        <f t="shared" si="19"/>
        <v>3.2226333046011038E-2</v>
      </c>
      <c r="AD82" s="2209"/>
      <c r="AE82" s="2274"/>
      <c r="AF82" s="2297">
        <v>13852.557000000001</v>
      </c>
      <c r="AG82" s="2286">
        <v>3926.95</v>
      </c>
      <c r="AH82" s="1857">
        <f>W82-V82-IFO!G30</f>
        <v>941.49699999999996</v>
      </c>
    </row>
    <row r="83" spans="1:34">
      <c r="A83" s="2131" t="s">
        <v>357</v>
      </c>
      <c r="B83" s="877" t="s">
        <v>109</v>
      </c>
      <c r="C83" s="365">
        <f>SUM(C79:C82)</f>
        <v>13945.584999999999</v>
      </c>
      <c r="D83" s="26">
        <f t="shared" ref="D83:J83" si="22">SUM(D79:D82)</f>
        <v>5258.3430000000008</v>
      </c>
      <c r="E83" s="375">
        <f t="shared" si="22"/>
        <v>349.779</v>
      </c>
      <c r="F83" s="365">
        <f t="shared" si="22"/>
        <v>12228.138000000001</v>
      </c>
      <c r="G83" s="365">
        <f t="shared" si="22"/>
        <v>2809.1290000000004</v>
      </c>
      <c r="H83" s="26">
        <f t="shared" si="22"/>
        <v>11418.34</v>
      </c>
      <c r="I83" s="534">
        <f t="shared" si="22"/>
        <v>1156.2499999999998</v>
      </c>
      <c r="J83" s="105">
        <f t="shared" si="22"/>
        <v>63.912999999999997</v>
      </c>
      <c r="K83" s="148"/>
      <c r="L83" s="374">
        <f>SUM(L79:L82)</f>
        <v>1057.702</v>
      </c>
      <c r="M83" s="365">
        <f>SUM(M79:M82)</f>
        <v>2195.6780000000003</v>
      </c>
      <c r="N83" s="26">
        <f>SUM(N79:N82)</f>
        <v>174.78199999999998</v>
      </c>
      <c r="O83" s="383">
        <f t="shared" ref="O83" si="23">IF(I$120=0,0,(SUM(C83:E83,G83,I83:M83)-V83)/(SUM(C$110:E$110,G$110,I$110:M$110)-V$110)*I$120)</f>
        <v>828.17629086951695</v>
      </c>
      <c r="P83" s="372">
        <f>SUM(P79:P82)</f>
        <v>51487.781999999992</v>
      </c>
      <c r="Q83" s="49"/>
      <c r="R83" s="374">
        <f>SUM(R79:R82)</f>
        <v>156.08800000000002</v>
      </c>
      <c r="S83" s="365">
        <f>SUM(S79:S82)</f>
        <v>643.52499999999998</v>
      </c>
      <c r="T83" s="105">
        <f>SUM(T79:T82)</f>
        <v>3563.558</v>
      </c>
      <c r="U83" s="49"/>
      <c r="V83" s="117">
        <f>SUM(V79:V82)</f>
        <v>1669.088</v>
      </c>
      <c r="W83" s="407">
        <f>SUM(W79:W82)</f>
        <v>6032.259</v>
      </c>
      <c r="X83" s="57"/>
      <c r="Y83" s="1009">
        <v>49514.391000000003</v>
      </c>
      <c r="Z83" s="990">
        <f>(P83+P84-W83-W84)*1000/invanare</f>
        <v>4492.0189988195689</v>
      </c>
      <c r="AA83" s="991">
        <f>SUM(Y83:Y84)*1000/invanare</f>
        <v>4890.5059060735275</v>
      </c>
      <c r="AB83" s="991">
        <v>4749.4740000000002</v>
      </c>
      <c r="AC83" s="2247">
        <f t="shared" si="19"/>
        <v>2.9694215838117516E-2</v>
      </c>
      <c r="AD83" s="2209"/>
      <c r="AE83" s="2278">
        <f>IF(ISERROR((F83+F84)/((F83+F84)/1000*invanare)),"",((F83+F84)/(AA83/100000*invanare)))</f>
        <v>24.485392014415392</v>
      </c>
      <c r="AF83" s="2297">
        <v>45455.555</v>
      </c>
      <c r="AG83" s="2286">
        <v>26172.237000000001</v>
      </c>
      <c r="AH83" s="1857">
        <f>W83-V83-IFO!G31</f>
        <v>4058.8620000000001</v>
      </c>
    </row>
    <row r="84" spans="1:34">
      <c r="A84" s="2131" t="s">
        <v>456</v>
      </c>
      <c r="B84" s="877" t="s">
        <v>110</v>
      </c>
      <c r="C84" s="23">
        <v>518.07399999999996</v>
      </c>
      <c r="D84" s="21">
        <v>199.85499999999999</v>
      </c>
      <c r="E84" s="23">
        <v>7.7850000000000001</v>
      </c>
      <c r="F84" s="23">
        <v>138.732</v>
      </c>
      <c r="G84" s="23">
        <v>81.602999999999994</v>
      </c>
      <c r="H84" s="24">
        <v>5.0090000000000003</v>
      </c>
      <c r="I84" s="23">
        <v>15.199</v>
      </c>
      <c r="J84" s="101">
        <v>1.5189999999999999</v>
      </c>
      <c r="K84" s="30"/>
      <c r="L84" s="104">
        <v>28.786000000000001</v>
      </c>
      <c r="M84" s="23">
        <v>57.203000000000003</v>
      </c>
      <c r="N84" s="24">
        <v>4.8559999999999999</v>
      </c>
      <c r="O84" s="373">
        <v>29.23</v>
      </c>
      <c r="P84" s="372">
        <f>SUM(C84:O84)</f>
        <v>1087.8509999999999</v>
      </c>
      <c r="Q84" s="49"/>
      <c r="R84" s="104">
        <v>12.590999999999999</v>
      </c>
      <c r="S84" s="23">
        <v>1.036</v>
      </c>
      <c r="T84" s="101">
        <v>106.467</v>
      </c>
      <c r="U84" s="207"/>
      <c r="V84" s="114">
        <v>31.553999999999998</v>
      </c>
      <c r="W84" s="407">
        <f>SUM(R84:V84)</f>
        <v>151.648</v>
      </c>
      <c r="X84" s="57"/>
      <c r="Y84" s="1007">
        <v>992.74400000000003</v>
      </c>
      <c r="Z84" s="990">
        <f t="shared" si="20"/>
        <v>90.650683329865259</v>
      </c>
      <c r="AA84" s="991">
        <f t="shared" si="21"/>
        <v>96.125436440199167</v>
      </c>
      <c r="AB84" s="1005">
        <v>93.84</v>
      </c>
      <c r="AC84" s="2247">
        <f t="shared" si="19"/>
        <v>2.4354608271517083E-2</v>
      </c>
      <c r="AD84" s="2209"/>
      <c r="AE84" s="2274">
        <f>IF(ISERROR(F83+F84/(F83+F84/1000*invanare)),"",(SUM(Motpart!D31,Motpart!D33,Motpart!D35,Motpart!F31,Motpart!F33,Motpart!F35)/(AA83/100000*invanare)))</f>
        <v>19.920139996061945</v>
      </c>
      <c r="AF84" s="2297">
        <v>936.19600000000003</v>
      </c>
      <c r="AG84" s="2286">
        <v>912.548</v>
      </c>
      <c r="AH84" s="1857">
        <f>W84-V84-SUM(IFO!G33:G34)</f>
        <v>56.534999999999989</v>
      </c>
    </row>
    <row r="85" spans="1:34" ht="13.5" thickBot="1">
      <c r="A85" s="2144" t="s">
        <v>358</v>
      </c>
      <c r="B85" s="882" t="s">
        <v>111</v>
      </c>
      <c r="C85" s="379">
        <f t="shared" ref="C85:J85" si="24">SUM(C70:C71,C77,C83,C84)</f>
        <v>105316.48999999999</v>
      </c>
      <c r="D85" s="380">
        <f t="shared" si="24"/>
        <v>40668.337000000007</v>
      </c>
      <c r="E85" s="376">
        <f t="shared" si="24"/>
        <v>5845.7610000000004</v>
      </c>
      <c r="F85" s="379">
        <f t="shared" si="24"/>
        <v>51833.731999999996</v>
      </c>
      <c r="G85" s="379">
        <f t="shared" si="24"/>
        <v>10963.525</v>
      </c>
      <c r="H85" s="380">
        <f t="shared" si="24"/>
        <v>17767.004999999997</v>
      </c>
      <c r="I85" s="379">
        <f t="shared" si="24"/>
        <v>7542.28</v>
      </c>
      <c r="J85" s="381">
        <f t="shared" si="24"/>
        <v>837.90899999999999</v>
      </c>
      <c r="K85" s="148"/>
      <c r="L85" s="382">
        <f>SUM(L70:L71,L77,L83,L84)</f>
        <v>9542.6749999999993</v>
      </c>
      <c r="M85" s="379">
        <f>SUM(M70:M71,M77,M83,M84)</f>
        <v>29831.21</v>
      </c>
      <c r="N85" s="380">
        <f>SUM(N70:N71,N77,N83,N84)</f>
        <v>1117.0350000000001</v>
      </c>
      <c r="O85" s="380">
        <f>SUM(O70:O71,O77,O83,O84)</f>
        <v>6045.1822908695167</v>
      </c>
      <c r="P85" s="381">
        <f>SUM(P70:P71,P77,P83,P84)</f>
        <v>287313.10800000007</v>
      </c>
      <c r="Q85" s="49"/>
      <c r="R85" s="382">
        <f>SUM(R70:R71,R77,R83,R84)</f>
        <v>6026.0419999999995</v>
      </c>
      <c r="S85" s="379">
        <f>SUM(S70:S71,S77,S83,S84)</f>
        <v>6664.2839999999997</v>
      </c>
      <c r="T85" s="381">
        <f>SUM(T70:T71,T77,T83,T84)</f>
        <v>19559.965</v>
      </c>
      <c r="U85" s="49"/>
      <c r="V85" s="409">
        <f>SUM(V70:V71,V77,V83,V84)</f>
        <v>23490.287</v>
      </c>
      <c r="W85" s="408">
        <f>SUM(W70:W71,W77,W83,W84)</f>
        <v>55740.578000000001</v>
      </c>
      <c r="X85" s="57"/>
      <c r="Y85" s="1516">
        <v>262752.34299999999</v>
      </c>
      <c r="Z85" s="992"/>
      <c r="AA85" s="993"/>
      <c r="AB85" s="994"/>
      <c r="AC85" s="2250"/>
      <c r="AD85" s="2209"/>
      <c r="AE85" s="2280">
        <f>IF(ISERROR((F83)/((F83)/1000*invanare)),"",SUM(AA77,AA83)*100/AA90)</f>
        <v>38.663584035285815</v>
      </c>
      <c r="AF85" s="2298">
        <v>231572.61199999999</v>
      </c>
      <c r="AG85" s="2287">
        <v>194222.147</v>
      </c>
      <c r="AH85" s="1859">
        <f>SUM(AH70,AH71,AH77,AH83,AH84)</f>
        <v>31179.769</v>
      </c>
    </row>
    <row r="86" spans="1:34" ht="40.5" customHeight="1" thickBot="1">
      <c r="A86" s="2153"/>
      <c r="B86" s="886" t="s">
        <v>112</v>
      </c>
      <c r="C86" s="452"/>
      <c r="D86" s="451"/>
      <c r="E86" s="449"/>
      <c r="F86" s="449"/>
      <c r="G86" s="449"/>
      <c r="H86" s="451"/>
      <c r="I86" s="449"/>
      <c r="J86" s="450"/>
      <c r="K86" s="31"/>
      <c r="L86" s="448"/>
      <c r="M86" s="449"/>
      <c r="N86" s="451"/>
      <c r="O86" s="451"/>
      <c r="P86" s="450"/>
      <c r="Q86" s="50"/>
      <c r="R86" s="448"/>
      <c r="S86" s="449"/>
      <c r="T86" s="450"/>
      <c r="U86" s="50"/>
      <c r="V86" s="446"/>
      <c r="W86" s="447"/>
      <c r="X86" s="31"/>
      <c r="Y86" s="1662" t="s">
        <v>994</v>
      </c>
      <c r="Z86" s="2483"/>
      <c r="AA86" s="2484"/>
      <c r="AB86" s="2484"/>
      <c r="AC86" s="2485"/>
      <c r="AD86" s="2209"/>
      <c r="AE86" s="2281">
        <f>IF(ISERROR((F83)/((F83)/1000*invanare)),"",(F83/((AA83-AA84)/100000*invanare)))</f>
        <v>24.696129252604564</v>
      </c>
      <c r="AF86" s="2299"/>
      <c r="AG86" s="2288"/>
      <c r="AH86" s="1858"/>
    </row>
    <row r="87" spans="1:34">
      <c r="A87" s="2131" t="s">
        <v>263</v>
      </c>
      <c r="B87" s="879" t="s">
        <v>114</v>
      </c>
      <c r="C87" s="20">
        <v>2689.9009999999998</v>
      </c>
      <c r="D87" s="21">
        <v>999.69200000000001</v>
      </c>
      <c r="E87" s="20">
        <v>124.113</v>
      </c>
      <c r="F87" s="20">
        <v>2201.4949999999999</v>
      </c>
      <c r="G87" s="20">
        <v>545.52800000000002</v>
      </c>
      <c r="H87" s="21">
        <v>1275.6300000000001</v>
      </c>
      <c r="I87" s="20">
        <v>778.197</v>
      </c>
      <c r="J87" s="100">
        <v>28.183</v>
      </c>
      <c r="K87" s="31"/>
      <c r="L87" s="103">
        <v>579.12099999999998</v>
      </c>
      <c r="M87" s="20">
        <v>874.61400000000003</v>
      </c>
      <c r="N87" s="21">
        <v>36.351999999999997</v>
      </c>
      <c r="O87" s="373">
        <v>210.673</v>
      </c>
      <c r="P87" s="372">
        <f>SUM(C87:O87)</f>
        <v>10343.499</v>
      </c>
      <c r="Q87" s="49"/>
      <c r="R87" s="103">
        <v>14.118</v>
      </c>
      <c r="S87" s="20">
        <v>458.63099999999997</v>
      </c>
      <c r="T87" s="100">
        <v>9365.9159999999993</v>
      </c>
      <c r="U87" s="50"/>
      <c r="V87" s="113">
        <v>450.68700000000001</v>
      </c>
      <c r="W87" s="407">
        <f>SUM(R87:V87)</f>
        <v>10289.351999999999</v>
      </c>
      <c r="X87" s="57"/>
      <c r="Y87" s="987">
        <v>9813.1659999999993</v>
      </c>
      <c r="Z87" s="990">
        <f>(P87-W87)*1000/invanare</f>
        <v>5.2429468291196368</v>
      </c>
      <c r="AA87" s="991">
        <f>Y87*1000/invanare</f>
        <v>950.18943918081948</v>
      </c>
      <c r="AB87" s="1013">
        <v>1415.3209999999999</v>
      </c>
      <c r="AC87" s="2248">
        <f>IF(ISERROR((AA87-AB87)/AB87)," ",((AA87-AB87)/AB87))</f>
        <v>-0.32864033022839373</v>
      </c>
      <c r="AD87" s="2209"/>
      <c r="AE87" s="2274"/>
      <c r="AF87" s="2297">
        <v>54.152999999999999</v>
      </c>
      <c r="AG87" s="2286">
        <v>6415.6949999999997</v>
      </c>
      <c r="AH87" s="1857">
        <f>W87-V87-SUM(Motpart!Y36:Z36)</f>
        <v>9759.012999999999</v>
      </c>
    </row>
    <row r="88" spans="1:34">
      <c r="A88" s="2131" t="s">
        <v>264</v>
      </c>
      <c r="B88" s="877" t="s">
        <v>115</v>
      </c>
      <c r="C88" s="23">
        <v>6084.2809999999999</v>
      </c>
      <c r="D88" s="21">
        <v>2358.442</v>
      </c>
      <c r="E88" s="23">
        <v>264.24299999999999</v>
      </c>
      <c r="F88" s="23">
        <v>182.63300000000001</v>
      </c>
      <c r="G88" s="23">
        <v>430.916</v>
      </c>
      <c r="H88" s="24">
        <v>143.75</v>
      </c>
      <c r="I88" s="23">
        <v>220.32400000000001</v>
      </c>
      <c r="J88" s="101">
        <v>22.952999999999999</v>
      </c>
      <c r="K88" s="31"/>
      <c r="L88" s="104">
        <v>228.63499999999999</v>
      </c>
      <c r="M88" s="23">
        <v>542.13599999999997</v>
      </c>
      <c r="N88" s="24">
        <v>61.250999999999998</v>
      </c>
      <c r="O88" s="373">
        <v>301.23</v>
      </c>
      <c r="P88" s="372">
        <f>SUM(C88:O88)</f>
        <v>10840.794</v>
      </c>
      <c r="Q88" s="49"/>
      <c r="R88" s="104">
        <v>24.28</v>
      </c>
      <c r="S88" s="23">
        <v>5.7590000000000003</v>
      </c>
      <c r="T88" s="101">
        <v>5110.3130000000001</v>
      </c>
      <c r="U88" s="50"/>
      <c r="V88" s="114">
        <v>703.77099999999996</v>
      </c>
      <c r="W88" s="407">
        <f>SUM(R88:V88)</f>
        <v>5844.1229999999996</v>
      </c>
      <c r="X88" s="57"/>
      <c r="Y88" s="1660">
        <v>10078.277</v>
      </c>
      <c r="Z88" s="990">
        <f>(P88-W88)*1000/invanare</f>
        <v>483.8177623063815</v>
      </c>
      <c r="AA88" s="991">
        <f>Y88*1000/invanare</f>
        <v>975.85961253880259</v>
      </c>
      <c r="AB88" s="1013">
        <v>1074.5650000000001</v>
      </c>
      <c r="AC88" s="2248">
        <f>IF(ISERROR((AA88-AB88)/AB88)," ",((AA88-AB88)/AB88))</f>
        <v>-9.1856134771928596E-2</v>
      </c>
      <c r="AD88" s="2209"/>
      <c r="AE88" s="2274"/>
      <c r="AF88" s="2297">
        <v>4996.6760000000004</v>
      </c>
      <c r="AG88" s="2286">
        <v>9810.6489999999994</v>
      </c>
      <c r="AH88" s="1857">
        <f>W88-V88-SUM(Motpart!Y37:Z37)</f>
        <v>5081.5950000000003</v>
      </c>
    </row>
    <row r="89" spans="1:34" ht="12.75" customHeight="1" thickBot="1">
      <c r="A89" s="2144" t="s">
        <v>265</v>
      </c>
      <c r="B89" s="882" t="s">
        <v>116</v>
      </c>
      <c r="C89" s="385">
        <f>SUM(C87:C88)</f>
        <v>8774.1820000000007</v>
      </c>
      <c r="D89" s="386">
        <f t="shared" ref="D89:P89" si="25">SUM(D87:D88)</f>
        <v>3358.134</v>
      </c>
      <c r="E89" s="385">
        <f t="shared" si="25"/>
        <v>388.35599999999999</v>
      </c>
      <c r="F89" s="385">
        <f t="shared" si="25"/>
        <v>2384.1279999999997</v>
      </c>
      <c r="G89" s="385">
        <f t="shared" si="25"/>
        <v>976.44399999999996</v>
      </c>
      <c r="H89" s="386">
        <f t="shared" si="25"/>
        <v>1419.38</v>
      </c>
      <c r="I89" s="385">
        <f t="shared" si="25"/>
        <v>998.52099999999996</v>
      </c>
      <c r="J89" s="387">
        <f t="shared" si="25"/>
        <v>51.135999999999996</v>
      </c>
      <c r="K89" s="149"/>
      <c r="L89" s="384">
        <f>SUM(L87:L88)</f>
        <v>807.75599999999997</v>
      </c>
      <c r="M89" s="385">
        <f t="shared" si="25"/>
        <v>1416.75</v>
      </c>
      <c r="N89" s="386">
        <f t="shared" si="25"/>
        <v>97.602999999999994</v>
      </c>
      <c r="O89" s="386">
        <f t="shared" si="25"/>
        <v>511.90300000000002</v>
      </c>
      <c r="P89" s="387">
        <f t="shared" si="25"/>
        <v>21184.292999999998</v>
      </c>
      <c r="Q89" s="52"/>
      <c r="R89" s="384">
        <f>SUM(R87:R88)</f>
        <v>38.398000000000003</v>
      </c>
      <c r="S89" s="385">
        <f>SUM(S87:S88)</f>
        <v>464.39</v>
      </c>
      <c r="T89" s="387">
        <f>SUM(T87:T88)</f>
        <v>14476.228999999999</v>
      </c>
      <c r="U89" s="52"/>
      <c r="V89" s="411">
        <f>SUM(V87:V88)</f>
        <v>1154.4580000000001</v>
      </c>
      <c r="W89" s="410">
        <f>SUM(W87:W88)</f>
        <v>16133.474999999999</v>
      </c>
      <c r="X89" s="58"/>
      <c r="Y89" s="1660">
        <v>19891.435000000001</v>
      </c>
      <c r="Z89" s="1015">
        <f>(P89-W89)*1000/invanare</f>
        <v>489.06070913550093</v>
      </c>
      <c r="AA89" s="1016">
        <f>Y89*1000/invanare</f>
        <v>1926.0482770954577</v>
      </c>
      <c r="AB89" s="988">
        <v>2489.8870000000002</v>
      </c>
      <c r="AC89" s="2260">
        <f>IF(ISERROR((AA89-AB89)/AB89)," ",((AA89-AB89)/AB89))</f>
        <v>-0.22645153089459177</v>
      </c>
      <c r="AD89" s="2209"/>
      <c r="AE89" s="2274"/>
      <c r="AF89" s="2304">
        <v>5050.8270000000002</v>
      </c>
      <c r="AG89" s="2291">
        <v>16226.339</v>
      </c>
      <c r="AH89" s="1862">
        <f>W89-V89-SUM(Motpart!Y36:Z37)</f>
        <v>14840.607999999998</v>
      </c>
    </row>
    <row r="90" spans="1:34" ht="12.75" customHeight="1" thickBot="1">
      <c r="A90" s="2144" t="s">
        <v>266</v>
      </c>
      <c r="B90" s="882" t="s">
        <v>23</v>
      </c>
      <c r="C90" s="379">
        <f t="shared" ref="C90:J90" si="26">SUM(C17,C30,C43,C68,C85,C89)</f>
        <v>259584.56299999997</v>
      </c>
      <c r="D90" s="380">
        <f t="shared" si="26"/>
        <v>100531.36600000002</v>
      </c>
      <c r="E90" s="379">
        <f t="shared" si="26"/>
        <v>23360.862000000001</v>
      </c>
      <c r="F90" s="379">
        <f t="shared" si="26"/>
        <v>130360.65899999999</v>
      </c>
      <c r="G90" s="379">
        <f t="shared" si="26"/>
        <v>38363.601000000002</v>
      </c>
      <c r="H90" s="380">
        <f t="shared" si="26"/>
        <v>26951.126999999997</v>
      </c>
      <c r="I90" s="379">
        <f t="shared" si="26"/>
        <v>21088.221000000001</v>
      </c>
      <c r="J90" s="381">
        <f t="shared" si="26"/>
        <v>11425.473</v>
      </c>
      <c r="K90" s="148"/>
      <c r="L90" s="382">
        <f>SUM(L17,L30,L43,L68,L85,L89)</f>
        <v>39157.652999999998</v>
      </c>
      <c r="M90" s="379">
        <f>SUM(M17,M30,M43,M68,M85,M89)</f>
        <v>87562.081999999995</v>
      </c>
      <c r="N90" s="380">
        <f>SUM(N17,N30,N43,N68,N85,N89)</f>
        <v>3029.5190000000002</v>
      </c>
      <c r="O90" s="380">
        <f>SUM(O17,O30,O43,O68,O85,O89)</f>
        <v>16809.621290869516</v>
      </c>
      <c r="P90" s="381">
        <f>SUM(P17,P30,P43,P68,P85,P89)</f>
        <v>758226.71400000004</v>
      </c>
      <c r="Q90" s="49"/>
      <c r="R90" s="382">
        <f>SUM(R17,R30,R43,R68,R85,R89)</f>
        <v>23581.478000000003</v>
      </c>
      <c r="S90" s="379">
        <f>SUM(S17,S30,S43,S68,S85,S89)</f>
        <v>8183.8239999999996</v>
      </c>
      <c r="T90" s="381">
        <f>SUM(T17,T30,T43,T68,T85,T89)</f>
        <v>82541.885999999999</v>
      </c>
      <c r="U90" s="49"/>
      <c r="V90" s="409">
        <f>SUM(V17,V30,V43,V68,V85,V89)</f>
        <v>69265.650999999998</v>
      </c>
      <c r="W90" s="408">
        <f>SUM(W17,W30,W43,W68,W85,W89)</f>
        <v>183572.83900000001</v>
      </c>
      <c r="X90" s="57"/>
      <c r="Y90" s="1014">
        <v>676198.47100000002</v>
      </c>
      <c r="Z90" s="1015">
        <f>(P90-W90)*1000/invanare</f>
        <v>55642.597221868535</v>
      </c>
      <c r="AA90" s="1016">
        <f>SUM(AA17,AA30,AA37,AA42,AA51,AA67,AA77,AA83,AA89)</f>
        <v>65268.193670371664</v>
      </c>
      <c r="AB90" s="988">
        <v>64308.415999999997</v>
      </c>
      <c r="AC90" s="2260">
        <f>IF(ISERROR((AA90-AB90)/AB90)," ",((AA90-AB90)/AB90))</f>
        <v>1.4924604430805236E-2</v>
      </c>
      <c r="AD90" s="2209"/>
      <c r="AE90" s="2282">
        <f>IF(ISERROR(F90/(AA90/1000*invanare)),"",(F90/(AA90/100000*invanare)))</f>
        <v>19.339534097223559</v>
      </c>
      <c r="AF90" s="2305">
        <v>574654.18200000003</v>
      </c>
      <c r="AG90" s="2292">
        <v>531649.54700000002</v>
      </c>
      <c r="AH90" s="1863">
        <f>SUM(AH17,AH30,AH43,AH51,AH67,AH85,AH89)</f>
        <v>101544.28300000001</v>
      </c>
    </row>
    <row r="91" spans="1:34" ht="38.25" customHeight="1" thickBot="1">
      <c r="A91" s="2148"/>
      <c r="B91" s="883" t="s">
        <v>117</v>
      </c>
      <c r="C91" s="456"/>
      <c r="D91" s="457"/>
      <c r="E91" s="458"/>
      <c r="F91" s="458"/>
      <c r="G91" s="458"/>
      <c r="H91" s="457"/>
      <c r="I91" s="458"/>
      <c r="J91" s="459"/>
      <c r="K91" s="31"/>
      <c r="L91" s="464"/>
      <c r="M91" s="458"/>
      <c r="N91" s="457"/>
      <c r="O91" s="457"/>
      <c r="P91" s="459"/>
      <c r="Q91" s="50"/>
      <c r="R91" s="464"/>
      <c r="S91" s="458"/>
      <c r="T91" s="459"/>
      <c r="U91" s="50"/>
      <c r="V91" s="466"/>
      <c r="W91" s="467"/>
      <c r="X91" s="31"/>
      <c r="Y91" s="1662" t="s">
        <v>997</v>
      </c>
      <c r="Z91" s="2483"/>
      <c r="AA91" s="2484"/>
      <c r="AB91" s="2484"/>
      <c r="AC91" s="2485"/>
      <c r="AD91" s="2209"/>
      <c r="AE91" s="2274">
        <f>IF(ISERROR(F90/(AA90/1000*invanare)),"",((SUM(Motpart!D40,Motpart!F40)-SUM(Motpart!D38,Motpart!D39,Motpart!F38,Motpart!F39))/(AA90/100000*invanare)))</f>
        <v>15.263727862477989</v>
      </c>
      <c r="AF91" s="2300"/>
      <c r="AG91" s="2289"/>
      <c r="AH91" s="1860"/>
    </row>
    <row r="92" spans="1:34">
      <c r="A92" s="2148"/>
      <c r="B92" s="883" t="s">
        <v>118</v>
      </c>
      <c r="C92" s="460"/>
      <c r="D92" s="461"/>
      <c r="E92" s="462"/>
      <c r="F92" s="462"/>
      <c r="G92" s="462"/>
      <c r="H92" s="461"/>
      <c r="I92" s="462"/>
      <c r="J92" s="463"/>
      <c r="K92" s="31"/>
      <c r="L92" s="465"/>
      <c r="M92" s="462"/>
      <c r="N92" s="461"/>
      <c r="O92" s="461"/>
      <c r="P92" s="463"/>
      <c r="Q92" s="50"/>
      <c r="R92" s="465"/>
      <c r="S92" s="462"/>
      <c r="T92" s="463"/>
      <c r="U92" s="50"/>
      <c r="V92" s="468"/>
      <c r="W92" s="469"/>
      <c r="X92" s="31"/>
      <c r="Y92" s="1513"/>
      <c r="Z92" s="983"/>
      <c r="AA92" s="983"/>
      <c r="AB92" s="984"/>
      <c r="AC92" s="2245"/>
      <c r="AD92" s="2209"/>
      <c r="AE92" s="2277">
        <f>(C113-C109+D113-D109)*1000/invanare</f>
        <v>37785.787466948961</v>
      </c>
      <c r="AF92" s="2303"/>
      <c r="AG92" s="2290"/>
      <c r="AH92" s="1861"/>
    </row>
    <row r="93" spans="1:34" s="540" customFormat="1">
      <c r="A93" s="2154" t="s">
        <v>267</v>
      </c>
      <c r="B93" s="892" t="s">
        <v>119</v>
      </c>
      <c r="C93" s="66">
        <v>159.012</v>
      </c>
      <c r="D93" s="1392">
        <v>63.704999999999998</v>
      </c>
      <c r="E93" s="66">
        <v>446.5</v>
      </c>
      <c r="F93" s="66">
        <v>24.459</v>
      </c>
      <c r="G93" s="66">
        <v>422.61700000000002</v>
      </c>
      <c r="H93" s="1392">
        <v>10.661</v>
      </c>
      <c r="I93" s="66">
        <v>235.61799999999999</v>
      </c>
      <c r="J93" s="99">
        <v>577.50400000000002</v>
      </c>
      <c r="K93" s="536"/>
      <c r="L93" s="441">
        <v>85.736999999999995</v>
      </c>
      <c r="M93" s="66">
        <v>194.15</v>
      </c>
      <c r="N93" s="1392">
        <v>3.3380000000000001</v>
      </c>
      <c r="O93" s="1393">
        <v>61.823</v>
      </c>
      <c r="P93" s="438">
        <f>SUM(C93:O93)</f>
        <v>2285.1240000000003</v>
      </c>
      <c r="Q93" s="537"/>
      <c r="R93" s="441">
        <v>48.594999999999999</v>
      </c>
      <c r="S93" s="66">
        <v>1125.431</v>
      </c>
      <c r="T93" s="99">
        <v>1678.18</v>
      </c>
      <c r="U93" s="538"/>
      <c r="V93" s="1394">
        <v>693.28200000000004</v>
      </c>
      <c r="W93" s="1395">
        <f>SUM(R93:V93)</f>
        <v>3545.4880000000003</v>
      </c>
      <c r="X93" s="539"/>
      <c r="Y93" s="987">
        <v>1589.2149999999999</v>
      </c>
      <c r="Z93" s="1017"/>
      <c r="AA93" s="1018"/>
      <c r="AB93" s="1018"/>
      <c r="AC93" s="2261"/>
      <c r="AD93" s="2209"/>
      <c r="AE93" s="2283">
        <f>IF(ISERROR(F90/(AA90/1000*invanare)),"",AE92*invanare/10/(P125-P109+J109))</f>
        <v>56.607229050123543</v>
      </c>
      <c r="AF93" s="2297">
        <v>-1260.367</v>
      </c>
      <c r="AG93" s="2286">
        <v>1556.7280000000001</v>
      </c>
      <c r="AH93" s="1857">
        <f>W93-V93-(IF(AND(Motpart!$Y$38="",Motpart!$Z$38=""),0,IF(AND(Motpart!$Y$38=0,Motpart!$Z$38=0),0,((T93/$T$109)*(Motpart!$Y$38+Motpart!$Z$38)))))</f>
        <v>2811.7971332831371</v>
      </c>
    </row>
    <row r="94" spans="1:34">
      <c r="A94" s="2131" t="s">
        <v>268</v>
      </c>
      <c r="B94" s="877" t="s">
        <v>24</v>
      </c>
      <c r="C94" s="23">
        <v>37.325000000000003</v>
      </c>
      <c r="D94" s="21">
        <v>14.105</v>
      </c>
      <c r="E94" s="23">
        <v>67.48</v>
      </c>
      <c r="F94" s="23">
        <v>36.616999999999997</v>
      </c>
      <c r="G94" s="23">
        <v>40.314999999999998</v>
      </c>
      <c r="H94" s="24">
        <v>3.1749999999999998</v>
      </c>
      <c r="I94" s="23">
        <v>2.718</v>
      </c>
      <c r="J94" s="101">
        <v>319.38099999999997</v>
      </c>
      <c r="K94" s="31"/>
      <c r="L94" s="104">
        <v>9.0030000000000001</v>
      </c>
      <c r="M94" s="23">
        <v>52.953000000000003</v>
      </c>
      <c r="N94" s="24">
        <v>0.59599999999999997</v>
      </c>
      <c r="O94" s="373">
        <v>14.194000000000001</v>
      </c>
      <c r="P94" s="372">
        <f>SUM(C94:O94)</f>
        <v>597.86199999999997</v>
      </c>
      <c r="Q94" s="49"/>
      <c r="R94" s="104">
        <v>134.43299999999999</v>
      </c>
      <c r="S94" s="23">
        <v>36.9</v>
      </c>
      <c r="T94" s="101">
        <v>366.62200000000001</v>
      </c>
      <c r="U94" s="50"/>
      <c r="V94" s="114">
        <v>26.876999999999999</v>
      </c>
      <c r="W94" s="407">
        <f>SUM(R94:V94)</f>
        <v>564.83199999999999</v>
      </c>
      <c r="X94" s="57"/>
      <c r="Y94" s="987">
        <v>553.44399999999996</v>
      </c>
      <c r="Z94" s="1010"/>
      <c r="AA94" s="1011"/>
      <c r="AB94" s="1012"/>
      <c r="AC94" s="2262"/>
      <c r="AD94" s="2209"/>
      <c r="AE94" s="2274"/>
      <c r="AF94" s="2297">
        <v>33.033999999999999</v>
      </c>
      <c r="AG94" s="2286">
        <v>531.19799999999998</v>
      </c>
      <c r="AH94" s="1857">
        <f>W94-V94-(IF(AND(Motpart!$Y$38="",Motpart!$Z$38=""),0,IF(AND(Motpart!$Y$38=0,Motpart!$Z$38=0),0,((T94/$T$109)*(Motpart!$Y$38+Motpart!$Z$38)))))</f>
        <v>529.12711530737488</v>
      </c>
    </row>
    <row r="95" spans="1:34">
      <c r="A95" s="2131" t="s">
        <v>269</v>
      </c>
      <c r="B95" s="877" t="s">
        <v>25</v>
      </c>
      <c r="C95" s="23">
        <v>225.12899999999999</v>
      </c>
      <c r="D95" s="21">
        <v>84.834999999999994</v>
      </c>
      <c r="E95" s="23">
        <v>250.447</v>
      </c>
      <c r="F95" s="23">
        <v>71.628</v>
      </c>
      <c r="G95" s="23">
        <v>331.947</v>
      </c>
      <c r="H95" s="24">
        <v>15.249000000000001</v>
      </c>
      <c r="I95" s="23">
        <v>51.970999999999997</v>
      </c>
      <c r="J95" s="101">
        <v>267.83699999999999</v>
      </c>
      <c r="K95" s="31"/>
      <c r="L95" s="104">
        <v>32.950000000000003</v>
      </c>
      <c r="M95" s="23">
        <v>275.86700000000002</v>
      </c>
      <c r="N95" s="24">
        <v>1.9119999999999999</v>
      </c>
      <c r="O95" s="373">
        <v>33.244</v>
      </c>
      <c r="P95" s="372">
        <f>SUM(C95:O95)</f>
        <v>1643.0160000000001</v>
      </c>
      <c r="Q95" s="49"/>
      <c r="R95" s="104">
        <v>202.89099999999999</v>
      </c>
      <c r="S95" s="23">
        <v>205.10499999999999</v>
      </c>
      <c r="T95" s="101">
        <v>1222.7429999999999</v>
      </c>
      <c r="U95" s="50"/>
      <c r="V95" s="114">
        <v>436.94600000000003</v>
      </c>
      <c r="W95" s="407">
        <f>SUM(R95:V95)</f>
        <v>2067.6849999999999</v>
      </c>
      <c r="X95" s="57"/>
      <c r="Y95" s="987">
        <v>1157.06</v>
      </c>
      <c r="Z95" s="1010"/>
      <c r="AA95" s="1011"/>
      <c r="AB95" s="1012"/>
      <c r="AC95" s="2262"/>
      <c r="AD95" s="2209"/>
      <c r="AE95" s="2274"/>
      <c r="AF95" s="2297">
        <v>-424.67700000000002</v>
      </c>
      <c r="AG95" s="2286">
        <v>1119.1849999999999</v>
      </c>
      <c r="AH95" s="1857">
        <f>W95-V95-(IF(AND(Motpart!$Y$38="",Motpart!$Z$38=""),0,IF(AND(Motpart!$Y$38=0,Motpart!$Z$38=0),0,((T95/$T$109)*(Motpart!$Y$38+Motpart!$Z$38)))))</f>
        <v>1601.2965927993559</v>
      </c>
    </row>
    <row r="96" spans="1:34">
      <c r="A96" s="2131" t="s">
        <v>270</v>
      </c>
      <c r="B96" s="877" t="s">
        <v>26</v>
      </c>
      <c r="C96" s="23">
        <v>202.78800000000001</v>
      </c>
      <c r="D96" s="21">
        <v>80.552000000000007</v>
      </c>
      <c r="E96" s="23">
        <v>230.626</v>
      </c>
      <c r="F96" s="23">
        <v>7.0510000000000002</v>
      </c>
      <c r="G96" s="23">
        <v>252.95599999999999</v>
      </c>
      <c r="H96" s="24">
        <v>14.965999999999999</v>
      </c>
      <c r="I96" s="23">
        <v>593.63</v>
      </c>
      <c r="J96" s="101">
        <v>1423.664</v>
      </c>
      <c r="K96" s="31"/>
      <c r="L96" s="104">
        <v>90.048000000000002</v>
      </c>
      <c r="M96" s="23">
        <v>200.51599999999999</v>
      </c>
      <c r="N96" s="24">
        <v>-2.7909999999999999</v>
      </c>
      <c r="O96" s="373">
        <v>140.01900000000001</v>
      </c>
      <c r="P96" s="372">
        <f>SUM(C96:O96)</f>
        <v>3234.0249999999996</v>
      </c>
      <c r="Q96" s="49"/>
      <c r="R96" s="104">
        <v>10.332000000000001</v>
      </c>
      <c r="S96" s="23">
        <v>807.85599999999999</v>
      </c>
      <c r="T96" s="101">
        <v>2091.2339999999999</v>
      </c>
      <c r="U96" s="50"/>
      <c r="V96" s="114">
        <v>225.06</v>
      </c>
      <c r="W96" s="407">
        <f>SUM(R96:V96)</f>
        <v>3134.482</v>
      </c>
      <c r="X96" s="57"/>
      <c r="Y96" s="987">
        <v>2985.7950000000001</v>
      </c>
      <c r="Z96" s="1010"/>
      <c r="AA96" s="1011"/>
      <c r="AB96" s="1012"/>
      <c r="AC96" s="2262"/>
      <c r="AD96" s="2209"/>
      <c r="AE96" s="2274"/>
      <c r="AF96" s="2297">
        <v>99.557000000000002</v>
      </c>
      <c r="AG96" s="2286">
        <v>2986.9609999999998</v>
      </c>
      <c r="AH96" s="1857">
        <f>W96-V96-(IF(AND(Motpart!$Y$38="",Motpart!$Z$38=""),0,IF(AND(Motpart!$Y$38=0,Motpart!$Z$38=0),0,((T96/$T$109)*(Motpart!$Y$38+Motpart!$Z$38)))))</f>
        <v>2859.0672132788068</v>
      </c>
    </row>
    <row r="97" spans="1:34">
      <c r="A97" s="2131" t="s">
        <v>271</v>
      </c>
      <c r="B97" s="877" t="s">
        <v>27</v>
      </c>
      <c r="C97" s="365">
        <f>SUM(C93:C96)</f>
        <v>624.25400000000002</v>
      </c>
      <c r="D97" s="26">
        <f t="shared" ref="D97:P97" si="27">SUM(D93:D96)</f>
        <v>243.197</v>
      </c>
      <c r="E97" s="365">
        <f t="shared" si="27"/>
        <v>995.053</v>
      </c>
      <c r="F97" s="365">
        <f t="shared" si="27"/>
        <v>139.755</v>
      </c>
      <c r="G97" s="365">
        <f t="shared" si="27"/>
        <v>1047.835</v>
      </c>
      <c r="H97" s="26">
        <f t="shared" si="27"/>
        <v>44.051000000000002</v>
      </c>
      <c r="I97" s="365">
        <f t="shared" si="27"/>
        <v>883.9369999999999</v>
      </c>
      <c r="J97" s="105">
        <f t="shared" si="27"/>
        <v>2588.386</v>
      </c>
      <c r="K97" s="148"/>
      <c r="L97" s="374">
        <f>SUM(L93:L96)</f>
        <v>217.738</v>
      </c>
      <c r="M97" s="365">
        <f t="shared" si="27"/>
        <v>723.48599999999999</v>
      </c>
      <c r="N97" s="26">
        <f t="shared" si="27"/>
        <v>3.0550000000000002</v>
      </c>
      <c r="O97" s="26">
        <f t="shared" si="27"/>
        <v>249.28</v>
      </c>
      <c r="P97" s="105">
        <f t="shared" si="27"/>
        <v>7760.027</v>
      </c>
      <c r="Q97" s="49"/>
      <c r="R97" s="374">
        <f>SUM(R93:R96)</f>
        <v>396.25099999999998</v>
      </c>
      <c r="S97" s="365">
        <f>SUM(S93:S96)</f>
        <v>2175.2920000000004</v>
      </c>
      <c r="T97" s="105">
        <f>SUM(T93:T96)</f>
        <v>5358.7790000000005</v>
      </c>
      <c r="U97" s="50"/>
      <c r="V97" s="117">
        <f>SUM(V93:V96)</f>
        <v>1382.165</v>
      </c>
      <c r="W97" s="118">
        <f>SUM(W93:W96)</f>
        <v>9312.487000000001</v>
      </c>
      <c r="X97" s="57"/>
      <c r="Y97" s="987">
        <v>6285.5069999999996</v>
      </c>
      <c r="Z97" s="1010"/>
      <c r="AA97" s="1011"/>
      <c r="AB97" s="1012"/>
      <c r="AC97" s="2262"/>
      <c r="AD97" s="2209"/>
      <c r="AE97" s="2274"/>
      <c r="AF97" s="2297">
        <v>-1552.471</v>
      </c>
      <c r="AG97" s="2286">
        <v>6194.05</v>
      </c>
      <c r="AH97" s="1857">
        <f>SUM(AH93:AH96)</f>
        <v>7801.2880546686747</v>
      </c>
    </row>
    <row r="98" spans="1:34">
      <c r="A98" s="2153"/>
      <c r="B98" s="886" t="s">
        <v>120</v>
      </c>
      <c r="C98" s="476"/>
      <c r="D98" s="475"/>
      <c r="E98" s="473"/>
      <c r="F98" s="473"/>
      <c r="G98" s="473"/>
      <c r="H98" s="475"/>
      <c r="I98" s="473"/>
      <c r="J98" s="474"/>
      <c r="K98" s="31"/>
      <c r="L98" s="472"/>
      <c r="M98" s="473"/>
      <c r="N98" s="475"/>
      <c r="O98" s="475"/>
      <c r="P98" s="474"/>
      <c r="Q98" s="50"/>
      <c r="R98" s="472"/>
      <c r="S98" s="473"/>
      <c r="T98" s="474"/>
      <c r="U98" s="50"/>
      <c r="V98" s="470"/>
      <c r="W98" s="471"/>
      <c r="X98" s="31"/>
      <c r="Y98" s="987"/>
      <c r="Z98" s="1010"/>
      <c r="AA98" s="1011"/>
      <c r="AB98" s="1012"/>
      <c r="AC98" s="2262"/>
      <c r="AD98" s="2209"/>
      <c r="AE98" s="2274"/>
      <c r="AF98" s="2297"/>
      <c r="AG98" s="2286"/>
      <c r="AH98" s="1857"/>
    </row>
    <row r="99" spans="1:34">
      <c r="A99" s="2131" t="s">
        <v>272</v>
      </c>
      <c r="B99" s="879" t="s">
        <v>121</v>
      </c>
      <c r="C99" s="20">
        <v>25.850999999999999</v>
      </c>
      <c r="D99" s="21">
        <v>10.066000000000001</v>
      </c>
      <c r="E99" s="20">
        <v>16.812999999999999</v>
      </c>
      <c r="F99" s="20">
        <v>9.15</v>
      </c>
      <c r="G99" s="20">
        <v>64.561999999999998</v>
      </c>
      <c r="H99" s="21">
        <v>103.145</v>
      </c>
      <c r="I99" s="20">
        <v>2E-3</v>
      </c>
      <c r="J99" s="100">
        <v>23.344000000000001</v>
      </c>
      <c r="K99" s="31"/>
      <c r="L99" s="103">
        <v>5.1040000000000001</v>
      </c>
      <c r="M99" s="20">
        <v>2.33</v>
      </c>
      <c r="N99" s="21">
        <v>0.22700000000000001</v>
      </c>
      <c r="O99" s="373">
        <v>5.1950000000000003</v>
      </c>
      <c r="P99" s="372">
        <f>SUM(C99:O99)</f>
        <v>265.78899999999993</v>
      </c>
      <c r="Q99" s="49"/>
      <c r="R99" s="103">
        <v>15.821</v>
      </c>
      <c r="S99" s="20">
        <v>4.7039999999999997</v>
      </c>
      <c r="T99" s="100">
        <v>105.004</v>
      </c>
      <c r="U99" s="50"/>
      <c r="V99" s="113">
        <v>5.28</v>
      </c>
      <c r="W99" s="407">
        <f>SUM(R99:V99)</f>
        <v>130.809</v>
      </c>
      <c r="X99" s="57"/>
      <c r="Y99" s="987">
        <v>260.22699999999998</v>
      </c>
      <c r="Z99" s="1010"/>
      <c r="AA99" s="1011"/>
      <c r="AB99" s="1012"/>
      <c r="AC99" s="2262"/>
      <c r="AD99" s="2209"/>
      <c r="AE99" s="2274"/>
      <c r="AF99" s="2297">
        <v>134.977</v>
      </c>
      <c r="AG99" s="2286">
        <v>148.21100000000001</v>
      </c>
      <c r="AH99" s="1857">
        <f>W99-V99-(IF(AND(Motpart!$Y$38="",Motpart!$Z$38=""),0,IF(AND(Motpart!$Y$38=0,Motpart!$Z$38=0),0,((T99/$T$109)*(Motpart!$Y$38+Motpart!$Z$38)))))</f>
        <v>123.00061053001616</v>
      </c>
    </row>
    <row r="100" spans="1:34">
      <c r="A100" s="2131" t="s">
        <v>273</v>
      </c>
      <c r="B100" s="885" t="s">
        <v>868</v>
      </c>
      <c r="C100" s="23">
        <v>133.41499999999999</v>
      </c>
      <c r="D100" s="21">
        <v>51.618000000000002</v>
      </c>
      <c r="E100" s="23">
        <v>50.325000000000003</v>
      </c>
      <c r="F100" s="23">
        <v>1785.61</v>
      </c>
      <c r="G100" s="23">
        <v>398</v>
      </c>
      <c r="H100" s="24">
        <v>1030.0139999999999</v>
      </c>
      <c r="I100" s="23">
        <v>28.757000000000001</v>
      </c>
      <c r="J100" s="101">
        <v>85.941999999999993</v>
      </c>
      <c r="K100" s="31"/>
      <c r="L100" s="104">
        <v>18.478999999999999</v>
      </c>
      <c r="M100" s="23">
        <v>56.968000000000004</v>
      </c>
      <c r="N100" s="24">
        <v>3.423</v>
      </c>
      <c r="O100" s="373">
        <v>19.817</v>
      </c>
      <c r="P100" s="372">
        <f>SUM(C100:O100)</f>
        <v>3662.3679999999995</v>
      </c>
      <c r="Q100" s="49"/>
      <c r="R100" s="1918">
        <v>58.572000000000003</v>
      </c>
      <c r="S100" s="23">
        <v>15.247</v>
      </c>
      <c r="T100" s="101">
        <v>1143.5830000000001</v>
      </c>
      <c r="U100" s="50"/>
      <c r="V100" s="114">
        <v>79.908000000000001</v>
      </c>
      <c r="W100" s="407">
        <f>SUM(R100:V100)</f>
        <v>1297.31</v>
      </c>
      <c r="X100" s="57"/>
      <c r="Y100" s="987">
        <v>3580.7449999999999</v>
      </c>
      <c r="Z100" s="1019"/>
      <c r="AA100" s="1011"/>
      <c r="AB100" s="1012"/>
      <c r="AC100" s="2262"/>
      <c r="AD100" s="2209"/>
      <c r="AE100" s="2277"/>
      <c r="AF100" s="2297">
        <v>2365.0680000000002</v>
      </c>
      <c r="AG100" s="2286">
        <v>766.85</v>
      </c>
      <c r="AH100" s="1857">
        <f>W100-V100-(IF(AND(Motpart!$Y$38="",Motpart!$Z$38=""),0,IF(AND(Motpart!$Y$38=0,Motpart!$Z$38=0),0,((T100/$T$109)*(Motpart!$Y$38+Motpart!$Z$38)))))</f>
        <v>1189.8656850476884</v>
      </c>
    </row>
    <row r="101" spans="1:34">
      <c r="A101" s="2131" t="s">
        <v>274</v>
      </c>
      <c r="B101" s="877" t="s">
        <v>28</v>
      </c>
      <c r="C101" s="23">
        <v>14.738</v>
      </c>
      <c r="D101" s="21">
        <v>5.5659999999999998</v>
      </c>
      <c r="E101" s="23">
        <v>3.0270000000000001</v>
      </c>
      <c r="F101" s="23">
        <v>89.331000000000003</v>
      </c>
      <c r="G101" s="23">
        <v>11.286</v>
      </c>
      <c r="H101" s="24">
        <v>13.753</v>
      </c>
      <c r="I101" s="23">
        <v>0.186</v>
      </c>
      <c r="J101" s="101">
        <v>4.6479999999999997</v>
      </c>
      <c r="K101" s="31"/>
      <c r="L101" s="104">
        <v>0.27100000000000002</v>
      </c>
      <c r="M101" s="23">
        <v>2.6469999999999998</v>
      </c>
      <c r="N101" s="24">
        <v>0</v>
      </c>
      <c r="O101" s="373">
        <v>1.5169999999999999</v>
      </c>
      <c r="P101" s="372">
        <f>SUM(C101:O101)</f>
        <v>146.97</v>
      </c>
      <c r="Q101" s="49"/>
      <c r="R101" s="104">
        <v>32.853000000000002</v>
      </c>
      <c r="S101" s="23">
        <v>0.16</v>
      </c>
      <c r="T101" s="101">
        <v>80.912999999999997</v>
      </c>
      <c r="U101" s="50"/>
      <c r="V101" s="114">
        <v>2.6619999999999999</v>
      </c>
      <c r="W101" s="407">
        <f>SUM(R101:V101)</f>
        <v>116.58799999999999</v>
      </c>
      <c r="X101" s="57"/>
      <c r="Y101" s="987">
        <v>135.11099999999999</v>
      </c>
      <c r="Z101" s="1010"/>
      <c r="AA101" s="1011"/>
      <c r="AB101" s="1012"/>
      <c r="AC101" s="2262"/>
      <c r="AD101" s="2209"/>
      <c r="AE101" s="2274"/>
      <c r="AF101" s="2297">
        <v>30.381</v>
      </c>
      <c r="AG101" s="2286">
        <v>41.220999999999997</v>
      </c>
      <c r="AH101" s="1857">
        <f>W101-V101-(IF(AND(Motpart!$Y$38="",Motpart!$Z$38=""),0,IF(AND(Motpart!$Y$38=0,Motpart!$Z$38=0),0,((T101/$T$109)*(Motpart!$Y$38+Motpart!$Z$38)))))</f>
        <v>111.97769729548585</v>
      </c>
    </row>
    <row r="102" spans="1:34">
      <c r="A102" s="2131" t="s">
        <v>275</v>
      </c>
      <c r="B102" s="877" t="s">
        <v>29</v>
      </c>
      <c r="C102" s="365">
        <f>SUM(C99:C101)</f>
        <v>174.00399999999999</v>
      </c>
      <c r="D102" s="26">
        <f t="shared" ref="D102:P102" si="28">SUM(D99:D101)</f>
        <v>67.25</v>
      </c>
      <c r="E102" s="365">
        <f t="shared" si="28"/>
        <v>70.165000000000006</v>
      </c>
      <c r="F102" s="365">
        <f t="shared" si="28"/>
        <v>1884.0909999999999</v>
      </c>
      <c r="G102" s="365">
        <f t="shared" si="28"/>
        <v>473.84800000000001</v>
      </c>
      <c r="H102" s="26">
        <f t="shared" si="28"/>
        <v>1146.9119999999998</v>
      </c>
      <c r="I102" s="365">
        <f t="shared" si="28"/>
        <v>28.945</v>
      </c>
      <c r="J102" s="105">
        <f t="shared" si="28"/>
        <v>113.934</v>
      </c>
      <c r="K102" s="148"/>
      <c r="L102" s="374">
        <f>SUM(L99:L101)</f>
        <v>23.853999999999999</v>
      </c>
      <c r="M102" s="365">
        <f t="shared" si="28"/>
        <v>61.945</v>
      </c>
      <c r="N102" s="26">
        <f t="shared" si="28"/>
        <v>3.65</v>
      </c>
      <c r="O102" s="26">
        <f t="shared" si="28"/>
        <v>26.529</v>
      </c>
      <c r="P102" s="105">
        <f t="shared" si="28"/>
        <v>4075.126999999999</v>
      </c>
      <c r="Q102" s="49"/>
      <c r="R102" s="374">
        <f>SUM(R99:R101)</f>
        <v>107.24600000000001</v>
      </c>
      <c r="S102" s="365">
        <f>SUM(S99:S101)</f>
        <v>20.111000000000001</v>
      </c>
      <c r="T102" s="105">
        <f>SUM(T99:T101)</f>
        <v>1329.5</v>
      </c>
      <c r="U102" s="49"/>
      <c r="V102" s="117">
        <f>SUM(V99:V101)</f>
        <v>87.850000000000009</v>
      </c>
      <c r="W102" s="118">
        <f>SUM(W99:W101)</f>
        <v>1544.7069999999999</v>
      </c>
      <c r="X102" s="57"/>
      <c r="Y102" s="987">
        <v>3976.0830000000001</v>
      </c>
      <c r="Z102" s="1010"/>
      <c r="AA102" s="1011"/>
      <c r="AB102" s="1012"/>
      <c r="AC102" s="2262"/>
      <c r="AD102" s="2209"/>
      <c r="AE102" s="2274"/>
      <c r="AF102" s="2297">
        <v>2530.4290000000001</v>
      </c>
      <c r="AG102" s="2286">
        <v>956.28800000000001</v>
      </c>
      <c r="AH102" s="1857">
        <f>SUM(AH99:AH101)</f>
        <v>1424.8439928731902</v>
      </c>
    </row>
    <row r="103" spans="1:34">
      <c r="A103" s="2153"/>
      <c r="B103" s="886" t="s">
        <v>122</v>
      </c>
      <c r="C103" s="476"/>
      <c r="D103" s="475"/>
      <c r="E103" s="473"/>
      <c r="F103" s="473"/>
      <c r="G103" s="473"/>
      <c r="H103" s="475"/>
      <c r="I103" s="473"/>
      <c r="J103" s="474"/>
      <c r="K103" s="31"/>
      <c r="L103" s="472"/>
      <c r="M103" s="473"/>
      <c r="N103" s="475"/>
      <c r="O103" s="475"/>
      <c r="P103" s="474"/>
      <c r="Q103" s="50"/>
      <c r="R103" s="472"/>
      <c r="S103" s="473"/>
      <c r="T103" s="474"/>
      <c r="U103" s="50"/>
      <c r="V103" s="470"/>
      <c r="W103" s="471"/>
      <c r="X103" s="31"/>
      <c r="Y103" s="987"/>
      <c r="Z103" s="982"/>
      <c r="AA103" s="1701"/>
      <c r="AB103" s="1702"/>
      <c r="AC103" s="2263"/>
      <c r="AD103" s="2209"/>
      <c r="AE103" s="2274"/>
      <c r="AF103" s="2297"/>
      <c r="AG103" s="2286"/>
      <c r="AH103" s="1857"/>
    </row>
    <row r="104" spans="1:34">
      <c r="A104" s="2131" t="s">
        <v>276</v>
      </c>
      <c r="B104" s="879" t="s">
        <v>123</v>
      </c>
      <c r="C104" s="20">
        <v>31.51</v>
      </c>
      <c r="D104" s="21">
        <v>11.92</v>
      </c>
      <c r="E104" s="20">
        <v>233.59399999999999</v>
      </c>
      <c r="F104" s="20">
        <v>15.875</v>
      </c>
      <c r="G104" s="20">
        <v>114.944</v>
      </c>
      <c r="H104" s="21">
        <v>0.30099999999999999</v>
      </c>
      <c r="I104" s="20">
        <v>0.88400000000000001</v>
      </c>
      <c r="J104" s="100">
        <v>111.913</v>
      </c>
      <c r="K104" s="31"/>
      <c r="L104" s="103">
        <v>0.496</v>
      </c>
      <c r="M104" s="20">
        <v>43.292000000000002</v>
      </c>
      <c r="N104" s="21">
        <v>0.36199999999999999</v>
      </c>
      <c r="O104" s="373">
        <v>10.879</v>
      </c>
      <c r="P104" s="372">
        <f>SUM(C104:O104)</f>
        <v>575.97</v>
      </c>
      <c r="Q104" s="49"/>
      <c r="R104" s="1920">
        <v>219.642</v>
      </c>
      <c r="S104" s="20">
        <v>4.4999999999999998E-2</v>
      </c>
      <c r="T104" s="100">
        <v>612.27499999999998</v>
      </c>
      <c r="U104" s="50"/>
      <c r="V104" s="113">
        <v>105.4</v>
      </c>
      <c r="W104" s="407">
        <f>SUM(R104:V104)</f>
        <v>937.36199999999997</v>
      </c>
      <c r="X104" s="57"/>
      <c r="Y104" s="987">
        <v>469.96899999999999</v>
      </c>
      <c r="Z104" s="1659"/>
      <c r="AA104" s="1646"/>
      <c r="AB104" s="1646"/>
      <c r="AC104" s="2241"/>
      <c r="AD104" s="2209"/>
      <c r="AE104" s="2274"/>
      <c r="AF104" s="2297">
        <v>-361.39400000000001</v>
      </c>
      <c r="AG104" s="2286">
        <v>454.39</v>
      </c>
      <c r="AH104" s="1857">
        <f>W104-V104-(IF(AND(Motpart!$Y$38="",Motpart!$Z$38=""),0,IF(AND(Motpart!$Y$38=0,Motpart!$Z$38=0),0,((T104/$T$109)*(Motpart!$Y$38+Motpart!$Z$38)))))</f>
        <v>817.21904103906184</v>
      </c>
    </row>
    <row r="105" spans="1:34">
      <c r="A105" s="2131" t="s">
        <v>277</v>
      </c>
      <c r="B105" s="877" t="s">
        <v>30</v>
      </c>
      <c r="C105" s="23">
        <v>11.625</v>
      </c>
      <c r="D105" s="21">
        <v>4.2430000000000003</v>
      </c>
      <c r="E105" s="23">
        <v>99.135000000000005</v>
      </c>
      <c r="F105" s="23">
        <v>0.54400000000000004</v>
      </c>
      <c r="G105" s="23">
        <v>20.431000000000001</v>
      </c>
      <c r="H105" s="24">
        <v>2.9980000000000002</v>
      </c>
      <c r="I105" s="23">
        <v>2.9000000000000001E-2</v>
      </c>
      <c r="J105" s="101">
        <v>37.856999999999999</v>
      </c>
      <c r="K105" s="31"/>
      <c r="L105" s="104">
        <v>0.48799999999999999</v>
      </c>
      <c r="M105" s="23">
        <v>21.405000000000001</v>
      </c>
      <c r="N105" s="24">
        <v>0.158</v>
      </c>
      <c r="O105" s="373">
        <v>5.484</v>
      </c>
      <c r="P105" s="372">
        <f>SUM(C105:O105)</f>
        <v>204.39699999999999</v>
      </c>
      <c r="Q105" s="49"/>
      <c r="R105" s="1918">
        <v>118.07</v>
      </c>
      <c r="S105" s="23">
        <v>4.24</v>
      </c>
      <c r="T105" s="101">
        <v>15.236000000000001</v>
      </c>
      <c r="U105" s="50"/>
      <c r="V105" s="114">
        <v>50.063000000000002</v>
      </c>
      <c r="W105" s="407">
        <f>SUM(R105:V105)</f>
        <v>187.60899999999998</v>
      </c>
      <c r="X105" s="57"/>
      <c r="Y105" s="987">
        <v>153.65100000000001</v>
      </c>
      <c r="Z105" s="1645"/>
      <c r="AA105" s="1646"/>
      <c r="AB105" s="1646"/>
      <c r="AC105" s="2241"/>
      <c r="AD105" s="2209"/>
      <c r="AE105" s="2274"/>
      <c r="AF105" s="2297">
        <v>16.791</v>
      </c>
      <c r="AG105" s="2286">
        <v>150.79300000000001</v>
      </c>
      <c r="AH105" s="1857">
        <f>W105-V105-(IF(AND(Motpart!$Y$38="",Motpart!$Z$38=""),0,IF(AND(Motpart!$Y$38=0,Motpart!$Z$38=0),0,((T105/$T$109)*(Motpart!$Y$38+Motpart!$Z$38)))))</f>
        <v>137.17913262385554</v>
      </c>
    </row>
    <row r="106" spans="1:34">
      <c r="A106" s="2131" t="s">
        <v>278</v>
      </c>
      <c r="B106" s="877" t="s">
        <v>31</v>
      </c>
      <c r="C106" s="23">
        <v>1598.069</v>
      </c>
      <c r="D106" s="21">
        <v>601.26700000000005</v>
      </c>
      <c r="E106" s="23">
        <v>2374.2159999999999</v>
      </c>
      <c r="F106" s="23">
        <v>1583.367</v>
      </c>
      <c r="G106" s="23">
        <v>1314.67</v>
      </c>
      <c r="H106" s="24">
        <v>11.321</v>
      </c>
      <c r="I106" s="23">
        <v>35.143999999999998</v>
      </c>
      <c r="J106" s="101">
        <v>2325.366</v>
      </c>
      <c r="K106" s="31"/>
      <c r="L106" s="104">
        <v>73.402000000000001</v>
      </c>
      <c r="M106" s="23">
        <v>1401.9490000000001</v>
      </c>
      <c r="N106" s="24">
        <v>11.59</v>
      </c>
      <c r="O106" s="373">
        <v>267.41699999999997</v>
      </c>
      <c r="P106" s="372">
        <f>SUM(C106:O106)</f>
        <v>11597.778</v>
      </c>
      <c r="Q106" s="49"/>
      <c r="R106" s="1918">
        <v>9683.4249999999993</v>
      </c>
      <c r="S106" s="23">
        <v>6.4269999999999996</v>
      </c>
      <c r="T106" s="101">
        <v>614.17600000000004</v>
      </c>
      <c r="U106" s="50"/>
      <c r="V106" s="114">
        <v>1219.845</v>
      </c>
      <c r="W106" s="407">
        <f>SUM(R106:V106)</f>
        <v>11523.872999999998</v>
      </c>
      <c r="X106" s="57"/>
      <c r="Y106" s="987">
        <v>10293.115</v>
      </c>
      <c r="Z106" s="1645"/>
      <c r="AA106" s="1646"/>
      <c r="AB106" s="1646"/>
      <c r="AC106" s="2241"/>
      <c r="AD106" s="2209"/>
      <c r="AE106" s="2274"/>
      <c r="AF106" s="2297">
        <v>73.915999999999997</v>
      </c>
      <c r="AG106" s="2286">
        <v>8783.2549999999992</v>
      </c>
      <c r="AH106" s="1857">
        <f>W106-V106-(IF(AND(Motpart!$Y$38="",Motpart!$Z$38=""),0,IF(AND(Motpart!$Y$38=0,Motpart!$Z$38=0),0,((T106/$T$109)*(Motpart!$Y$38+Motpart!$Z$38)))))</f>
        <v>10289.239266893481</v>
      </c>
    </row>
    <row r="107" spans="1:34">
      <c r="A107" s="2131" t="s">
        <v>279</v>
      </c>
      <c r="B107" s="877" t="s">
        <v>32</v>
      </c>
      <c r="C107" s="23">
        <v>514.35500000000002</v>
      </c>
      <c r="D107" s="21">
        <v>201.78899999999999</v>
      </c>
      <c r="E107" s="23">
        <v>300.452</v>
      </c>
      <c r="F107" s="23">
        <v>2033.2239999999999</v>
      </c>
      <c r="G107" s="23">
        <v>808.34400000000005</v>
      </c>
      <c r="H107" s="24">
        <v>3.242</v>
      </c>
      <c r="I107" s="23">
        <v>16.645</v>
      </c>
      <c r="J107" s="101">
        <v>214.17400000000001</v>
      </c>
      <c r="K107" s="31"/>
      <c r="L107" s="104">
        <v>21.126999999999999</v>
      </c>
      <c r="M107" s="23">
        <v>473.29500000000002</v>
      </c>
      <c r="N107" s="24">
        <v>7.3570000000000002</v>
      </c>
      <c r="O107" s="373">
        <v>69.281000000000006</v>
      </c>
      <c r="P107" s="372">
        <f>SUM(C107:O107)</f>
        <v>4663.2849999999999</v>
      </c>
      <c r="Q107" s="49"/>
      <c r="R107" s="1918">
        <v>3645.5970000000002</v>
      </c>
      <c r="S107" s="23">
        <v>5.3449999999999998</v>
      </c>
      <c r="T107" s="101">
        <v>291.10399999999998</v>
      </c>
      <c r="U107" s="50"/>
      <c r="V107" s="114">
        <v>354.71699999999998</v>
      </c>
      <c r="W107" s="407">
        <f>SUM(R107:V107)</f>
        <v>4296.7629999999999</v>
      </c>
      <c r="X107" s="57"/>
      <c r="Y107" s="987">
        <v>4300.2939999999999</v>
      </c>
      <c r="Z107" s="1645"/>
      <c r="AA107" s="1646"/>
      <c r="AB107" s="1646"/>
      <c r="AC107" s="2241"/>
      <c r="AD107" s="2209"/>
      <c r="AE107" s="2274"/>
      <c r="AF107" s="2297">
        <v>366.53</v>
      </c>
      <c r="AG107" s="2286">
        <v>2272.1080000000002</v>
      </c>
      <c r="AH107" s="1857">
        <f>W107-V107-(IF(AND(Motpart!$Y$38="",Motpart!$Z$38=""),0,IF(AND(Motpart!$Y$38=0,Motpart!$Z$38=0),0,((T107/$T$109)*(Motpart!$Y$38+Motpart!$Z$38)))))</f>
        <v>3935.0365119017351</v>
      </c>
    </row>
    <row r="108" spans="1:34" ht="12.75" customHeight="1">
      <c r="A108" s="2131" t="s">
        <v>280</v>
      </c>
      <c r="B108" s="877" t="s">
        <v>124</v>
      </c>
      <c r="C108" s="365">
        <f>SUM(C104:C107)</f>
        <v>2155.5590000000002</v>
      </c>
      <c r="D108" s="26">
        <f t="shared" ref="D108:P108" si="29">SUM(D104:D107)</f>
        <v>819.21900000000005</v>
      </c>
      <c r="E108" s="365">
        <f t="shared" si="29"/>
        <v>3007.3969999999999</v>
      </c>
      <c r="F108" s="365">
        <f t="shared" si="29"/>
        <v>3633.01</v>
      </c>
      <c r="G108" s="365">
        <f t="shared" si="29"/>
        <v>2258.3890000000001</v>
      </c>
      <c r="H108" s="26">
        <f t="shared" si="29"/>
        <v>17.862000000000002</v>
      </c>
      <c r="I108" s="365">
        <f t="shared" si="29"/>
        <v>52.701999999999998</v>
      </c>
      <c r="J108" s="105">
        <f t="shared" si="29"/>
        <v>2689.31</v>
      </c>
      <c r="K108" s="148"/>
      <c r="L108" s="374">
        <f>SUM(L104:L107)</f>
        <v>95.512999999999991</v>
      </c>
      <c r="M108" s="365">
        <f t="shared" si="29"/>
        <v>1939.9410000000003</v>
      </c>
      <c r="N108" s="26">
        <f t="shared" si="29"/>
        <v>19.466999999999999</v>
      </c>
      <c r="O108" s="26">
        <f t="shared" si="29"/>
        <v>353.06099999999998</v>
      </c>
      <c r="P108" s="105">
        <f t="shared" si="29"/>
        <v>17041.43</v>
      </c>
      <c r="Q108" s="49"/>
      <c r="R108" s="374">
        <f>SUM(R104:R107)</f>
        <v>13666.733999999999</v>
      </c>
      <c r="S108" s="365">
        <f>SUM(S104:S107)</f>
        <v>16.056999999999999</v>
      </c>
      <c r="T108" s="105">
        <f>SUM(T104:T107)</f>
        <v>1532.7909999999999</v>
      </c>
      <c r="U108" s="49"/>
      <c r="V108" s="117">
        <f>SUM(V104:V107)</f>
        <v>1730.0250000000001</v>
      </c>
      <c r="W108" s="118">
        <f>SUM(W104:W107)</f>
        <v>16945.606999999996</v>
      </c>
      <c r="X108" s="57"/>
      <c r="Y108" s="987">
        <v>15217.026</v>
      </c>
      <c r="Z108" s="1645"/>
      <c r="AA108" s="1646"/>
      <c r="AB108" s="1646"/>
      <c r="AC108" s="2241"/>
      <c r="AD108" s="2209"/>
      <c r="AE108" s="2274"/>
      <c r="AF108" s="2297">
        <v>95.844999999999999</v>
      </c>
      <c r="AG108" s="2286">
        <v>11660.552</v>
      </c>
      <c r="AH108" s="1857">
        <f>SUM(AH104:AH107)</f>
        <v>15178.673952458133</v>
      </c>
    </row>
    <row r="109" spans="1:34" ht="12.75" customHeight="1">
      <c r="A109" s="2131" t="s">
        <v>281</v>
      </c>
      <c r="B109" s="877" t="s">
        <v>33</v>
      </c>
      <c r="C109" s="365">
        <f>SUM(C97,C102,C108)</f>
        <v>2953.817</v>
      </c>
      <c r="D109" s="26">
        <f t="shared" ref="D109:P109" si="30">SUM(D97,D102,D108)</f>
        <v>1129.6660000000002</v>
      </c>
      <c r="E109" s="365">
        <f t="shared" si="30"/>
        <v>4072.6149999999998</v>
      </c>
      <c r="F109" s="365">
        <f t="shared" si="30"/>
        <v>5656.8559999999998</v>
      </c>
      <c r="G109" s="365">
        <f t="shared" si="30"/>
        <v>3780.0720000000001</v>
      </c>
      <c r="H109" s="26">
        <f t="shared" si="30"/>
        <v>1208.8249999999998</v>
      </c>
      <c r="I109" s="365">
        <f t="shared" si="30"/>
        <v>965.58399999999995</v>
      </c>
      <c r="J109" s="105">
        <f t="shared" si="30"/>
        <v>5391.63</v>
      </c>
      <c r="K109" s="148"/>
      <c r="L109" s="374">
        <f>SUM(L97,L102,L108)</f>
        <v>337.10499999999996</v>
      </c>
      <c r="M109" s="365">
        <f t="shared" si="30"/>
        <v>2725.3720000000003</v>
      </c>
      <c r="N109" s="26">
        <f t="shared" si="30"/>
        <v>26.171999999999997</v>
      </c>
      <c r="O109" s="26">
        <f t="shared" si="30"/>
        <v>628.87</v>
      </c>
      <c r="P109" s="105">
        <f t="shared" si="30"/>
        <v>28876.583999999999</v>
      </c>
      <c r="Q109" s="49"/>
      <c r="R109" s="374">
        <f>SUM(R97,R102,R108)</f>
        <v>14170.230999999998</v>
      </c>
      <c r="S109" s="365">
        <f>SUM(S97,S102,S108)</f>
        <v>2211.46</v>
      </c>
      <c r="T109" s="105">
        <f>SUM(T97,T102,T108)</f>
        <v>8221.07</v>
      </c>
      <c r="U109" s="49"/>
      <c r="V109" s="117">
        <f>SUM(V97,V102,V108)</f>
        <v>3200.04</v>
      </c>
      <c r="W109" s="118">
        <f>SUM(W97,W102,W108)</f>
        <v>27802.800999999999</v>
      </c>
      <c r="X109" s="57"/>
      <c r="Y109" s="987">
        <v>25478.626</v>
      </c>
      <c r="Z109" s="990">
        <f>(P109-W109)*1000/invanare</f>
        <v>103.97228239814729</v>
      </c>
      <c r="AA109" s="991">
        <f>Y109*1000/invanare</f>
        <v>2467.0449221013732</v>
      </c>
      <c r="AB109" s="1005">
        <v>2464.2759999999998</v>
      </c>
      <c r="AC109" s="2248">
        <f>IF(ISERROR((AA109-AB109)/AB109)," ",((AA109-AB109)/AB109))</f>
        <v>1.1236249922384472E-3</v>
      </c>
      <c r="AD109" s="2209"/>
      <c r="AE109" s="2278">
        <f>IF(ISERROR(F109/(AA109/1000*invanare)),"",(F109/(AA109/100000*invanare)))</f>
        <v>22.202358949811501</v>
      </c>
      <c r="AF109" s="2297">
        <v>1073.8109999999999</v>
      </c>
      <c r="AG109" s="2286">
        <v>18810.898000000001</v>
      </c>
      <c r="AH109" s="1857">
        <f>W109-V109-SUM(Motpart!Y38:Z38)</f>
        <v>24404.805999999997</v>
      </c>
    </row>
    <row r="110" spans="1:34" ht="12.75" customHeight="1" thickBot="1">
      <c r="A110" s="2144" t="s">
        <v>282</v>
      </c>
      <c r="B110" s="877" t="s">
        <v>125</v>
      </c>
      <c r="C110" s="365">
        <f>SUM(C90,C109)</f>
        <v>262538.37999999995</v>
      </c>
      <c r="D110" s="388">
        <f t="shared" ref="D110:P110" si="31">SUM(D90,D109)</f>
        <v>101661.03200000002</v>
      </c>
      <c r="E110" s="365">
        <f t="shared" si="31"/>
        <v>27433.476999999999</v>
      </c>
      <c r="F110" s="365">
        <f t="shared" si="31"/>
        <v>136017.51499999998</v>
      </c>
      <c r="G110" s="365">
        <f t="shared" si="31"/>
        <v>42143.673000000003</v>
      </c>
      <c r="H110" s="26">
        <f t="shared" si="31"/>
        <v>28159.951999999997</v>
      </c>
      <c r="I110" s="365">
        <f t="shared" si="31"/>
        <v>22053.805</v>
      </c>
      <c r="J110" s="105">
        <f t="shared" si="31"/>
        <v>16817.102999999999</v>
      </c>
      <c r="K110" s="148"/>
      <c r="L110" s="374">
        <f>SUM(L90,L109)</f>
        <v>39494.758000000002</v>
      </c>
      <c r="M110" s="365">
        <f t="shared" si="31"/>
        <v>90287.453999999998</v>
      </c>
      <c r="N110" s="380">
        <f t="shared" si="31"/>
        <v>3055.6910000000003</v>
      </c>
      <c r="O110" s="380">
        <f t="shared" si="31"/>
        <v>17438.491290869515</v>
      </c>
      <c r="P110" s="105">
        <f t="shared" si="31"/>
        <v>787103.29800000007</v>
      </c>
      <c r="Q110" s="49"/>
      <c r="R110" s="374">
        <f>SUM(R90,R109)</f>
        <v>37751.709000000003</v>
      </c>
      <c r="S110" s="365">
        <f>SUM(S90,S109)</f>
        <v>10395.284</v>
      </c>
      <c r="T110" s="105">
        <f>SUM(T90,T109)</f>
        <v>90762.956000000006</v>
      </c>
      <c r="U110" s="49"/>
      <c r="V110" s="117">
        <f>SUM(V90,V109)</f>
        <v>72465.690999999992</v>
      </c>
      <c r="W110" s="118">
        <f>SUM(W90,W109)</f>
        <v>211375.64</v>
      </c>
      <c r="X110" s="57"/>
      <c r="Y110" s="1009">
        <v>701677.09299999999</v>
      </c>
      <c r="Z110" s="1015">
        <f>Z90+Z109</f>
        <v>55746.569504266685</v>
      </c>
      <c r="AA110" s="1016">
        <f>AA90+AA109</f>
        <v>67735.238592473033</v>
      </c>
      <c r="AB110" s="1016">
        <f>AB90+AB109</f>
        <v>66772.691999999995</v>
      </c>
      <c r="AC110" s="2264"/>
      <c r="AD110" s="2209"/>
      <c r="AE110" s="2276">
        <f>IF(ISERROR(F109/(AA109/1000*invanare)),"",SUM(Motpart!D38,Motpart!F38)/(AA109/100000*invanare))</f>
        <v>10.384570973332707</v>
      </c>
      <c r="AF110" s="2306">
        <v>575727.98499999999</v>
      </c>
      <c r="AG110" s="2293">
        <v>550460.45299999998</v>
      </c>
      <c r="AH110" s="1864">
        <f>AH90+AH109</f>
        <v>125949.08900000001</v>
      </c>
    </row>
    <row r="111" spans="1:34">
      <c r="A111" s="2131" t="s">
        <v>283</v>
      </c>
      <c r="B111" s="893" t="s">
        <v>34</v>
      </c>
      <c r="C111" s="28">
        <v>2952.87</v>
      </c>
      <c r="D111" s="29">
        <v>1136.663</v>
      </c>
      <c r="E111" s="28">
        <v>7276.45</v>
      </c>
      <c r="F111" s="28">
        <v>441.267</v>
      </c>
      <c r="G111" s="28">
        <v>4798.2049999999999</v>
      </c>
      <c r="H111" s="29">
        <v>9.0030000000000001</v>
      </c>
      <c r="I111" s="28">
        <v>12480.377</v>
      </c>
      <c r="J111" s="102">
        <v>12838.643</v>
      </c>
      <c r="K111" s="31"/>
      <c r="L111" s="106">
        <v>636.23199999999997</v>
      </c>
      <c r="M111" s="28">
        <v>3848.9520000000002</v>
      </c>
      <c r="N111" s="389">
        <v>0</v>
      </c>
      <c r="O111" s="390">
        <v>0</v>
      </c>
      <c r="P111" s="116">
        <f>SUM(C111:O111)</f>
        <v>46418.662000000004</v>
      </c>
      <c r="Q111" s="49"/>
      <c r="R111" s="106">
        <v>92.144999999999996</v>
      </c>
      <c r="S111" s="28">
        <v>3730.0650000000001</v>
      </c>
      <c r="T111" s="102">
        <v>1186.126</v>
      </c>
      <c r="U111" s="50"/>
      <c r="V111" s="115">
        <v>41356.730000000003</v>
      </c>
      <c r="W111" s="116">
        <f>SUM(R111:V111)</f>
        <v>46365.066000000006</v>
      </c>
      <c r="X111" s="57"/>
      <c r="Y111" s="1020"/>
      <c r="Z111" s="1010"/>
      <c r="AA111" s="1011"/>
      <c r="AB111" s="1012"/>
      <c r="AC111" s="2262"/>
      <c r="AD111" s="2209"/>
      <c r="AE111" s="2271"/>
      <c r="AF111" s="2296"/>
      <c r="AG111" s="1610"/>
      <c r="AH111" s="1855"/>
    </row>
    <row r="112" spans="1:34" ht="13.5" thickBot="1">
      <c r="A112" s="2146" t="s">
        <v>284</v>
      </c>
      <c r="B112" s="877" t="s">
        <v>35</v>
      </c>
      <c r="C112" s="23">
        <v>18719.821</v>
      </c>
      <c r="D112" s="21">
        <v>7310.8</v>
      </c>
      <c r="E112" s="23">
        <v>5350.3270000000002</v>
      </c>
      <c r="F112" s="23">
        <v>490.74900000000002</v>
      </c>
      <c r="G112" s="23">
        <v>11957.352999999999</v>
      </c>
      <c r="H112" s="24">
        <v>447.18700000000001</v>
      </c>
      <c r="I112" s="23">
        <v>750.75800000000004</v>
      </c>
      <c r="J112" s="101">
        <v>2306.9540000000002</v>
      </c>
      <c r="K112" s="31"/>
      <c r="L112" s="104">
        <v>1599.568</v>
      </c>
      <c r="M112" s="23">
        <v>7912.8370000000004</v>
      </c>
      <c r="N112" s="391"/>
      <c r="O112" s="392"/>
      <c r="P112" s="393">
        <f>SUM(C112:O112)</f>
        <v>56846.353999999999</v>
      </c>
      <c r="Q112" s="49"/>
      <c r="R112" s="107">
        <v>514.94600000000003</v>
      </c>
      <c r="S112" s="108">
        <v>185.506</v>
      </c>
      <c r="T112" s="109">
        <v>5018.7479999999996</v>
      </c>
      <c r="U112" s="50"/>
      <c r="V112" s="1922">
        <f>SUM(I118:I120)</f>
        <v>51127.154000000002</v>
      </c>
      <c r="W112" s="118">
        <f>SUM(R112:V112)</f>
        <v>56846.353999999999</v>
      </c>
      <c r="X112" s="57"/>
      <c r="Y112" s="986"/>
      <c r="Z112" s="1021"/>
      <c r="AA112" s="993"/>
      <c r="AB112" s="994"/>
      <c r="AC112" s="2250"/>
      <c r="AD112" s="2209"/>
      <c r="AE112" s="2271"/>
      <c r="AF112" s="2296"/>
      <c r="AG112" s="1610"/>
      <c r="AH112" s="1855"/>
    </row>
    <row r="113" spans="1:34" ht="12.75" customHeight="1" thickBot="1">
      <c r="A113" s="2145" t="s">
        <v>285</v>
      </c>
      <c r="B113" s="894" t="s">
        <v>36</v>
      </c>
      <c r="C113" s="397">
        <f>SUM(C110:C112)</f>
        <v>284211.07099999994</v>
      </c>
      <c r="D113" s="396">
        <f t="shared" ref="D113:W113" si="32">SUM(D110:D112)</f>
        <v>110108.49500000002</v>
      </c>
      <c r="E113" s="395">
        <f t="shared" si="32"/>
        <v>40060.253999999994</v>
      </c>
      <c r="F113" s="395">
        <f t="shared" si="32"/>
        <v>136949.53099999999</v>
      </c>
      <c r="G113" s="395">
        <f t="shared" si="32"/>
        <v>58899.231</v>
      </c>
      <c r="H113" s="396">
        <f t="shared" si="32"/>
        <v>28616.142</v>
      </c>
      <c r="I113" s="398">
        <f t="shared" si="32"/>
        <v>35284.94</v>
      </c>
      <c r="J113" s="399">
        <f t="shared" si="32"/>
        <v>31962.7</v>
      </c>
      <c r="K113" s="148"/>
      <c r="L113" s="394">
        <f>SUM(L110:L112)</f>
        <v>41730.558000000005</v>
      </c>
      <c r="M113" s="395">
        <f t="shared" si="32"/>
        <v>102049.243</v>
      </c>
      <c r="N113" s="396">
        <f t="shared" si="32"/>
        <v>3055.6910000000003</v>
      </c>
      <c r="O113" s="396">
        <f>SUM(O110:O112)</f>
        <v>17438.491290869515</v>
      </c>
      <c r="P113" s="1687">
        <f t="shared" si="32"/>
        <v>890368.31400000013</v>
      </c>
      <c r="Q113" s="49"/>
      <c r="R113" s="397">
        <f t="shared" si="32"/>
        <v>38358.800000000003</v>
      </c>
      <c r="S113" s="395">
        <f t="shared" si="32"/>
        <v>14310.855</v>
      </c>
      <c r="T113" s="396">
        <f t="shared" si="32"/>
        <v>96967.830000000016</v>
      </c>
      <c r="U113" s="112"/>
      <c r="V113" s="412">
        <f t="shared" si="32"/>
        <v>164949.57500000001</v>
      </c>
      <c r="W113" s="1688">
        <f t="shared" si="32"/>
        <v>314587.06</v>
      </c>
      <c r="X113" s="57"/>
      <c r="Y113" s="1022"/>
      <c r="Z113" s="1023"/>
      <c r="AA113" s="1024"/>
      <c r="AB113" s="1025"/>
      <c r="AC113" s="2265"/>
      <c r="AD113" s="2209"/>
      <c r="AE113" s="2284"/>
      <c r="AF113" s="2307"/>
      <c r="AG113" s="2294"/>
      <c r="AH113" s="1865"/>
    </row>
    <row r="114" spans="1:34">
      <c r="A114" s="1244"/>
      <c r="B114" s="1245"/>
      <c r="C114" s="1246"/>
      <c r="D114" s="1698"/>
      <c r="E114" s="14"/>
      <c r="F114" s="209"/>
      <c r="G114" s="30"/>
      <c r="H114" s="42"/>
      <c r="I114" s="2475" t="s">
        <v>546</v>
      </c>
      <c r="J114" s="2476"/>
      <c r="K114" s="2476"/>
      <c r="L114" s="2477"/>
      <c r="M114" s="400">
        <f>I118</f>
        <v>30632.017</v>
      </c>
      <c r="N114" s="179"/>
      <c r="O114" s="32"/>
      <c r="P114" s="2008"/>
      <c r="Q114" s="206"/>
      <c r="R114" s="32"/>
      <c r="S114" s="32"/>
      <c r="T114" s="32"/>
      <c r="U114" s="206"/>
      <c r="V114" s="32"/>
      <c r="W114" s="32"/>
      <c r="X114" s="32"/>
      <c r="Y114" s="32"/>
      <c r="Z114" s="56"/>
      <c r="AA114" s="56"/>
      <c r="AB114" s="56"/>
      <c r="AC114" s="56"/>
      <c r="AD114" s="2209"/>
      <c r="AE114" s="419"/>
      <c r="AF114" s="171"/>
    </row>
    <row r="115" spans="1:34" ht="13.5" thickBot="1">
      <c r="A115" s="11"/>
      <c r="B115" s="41"/>
      <c r="C115" s="2209"/>
      <c r="D115" s="2209"/>
      <c r="E115" s="172"/>
      <c r="F115" s="172"/>
      <c r="G115" s="172"/>
      <c r="H115" s="32"/>
      <c r="I115" s="32"/>
      <c r="J115" s="34"/>
      <c r="K115" s="34"/>
      <c r="L115" s="211"/>
      <c r="M115" s="212"/>
      <c r="N115" s="212"/>
      <c r="O115" s="212"/>
      <c r="P115" s="53"/>
      <c r="Q115" s="1560"/>
      <c r="R115" s="1561"/>
      <c r="S115" s="210"/>
      <c r="T115" s="32"/>
      <c r="U115" s="206"/>
      <c r="V115" s="32"/>
      <c r="W115" s="40"/>
      <c r="X115" s="1560"/>
      <c r="Y115" s="1561"/>
      <c r="Z115" s="185"/>
      <c r="AA115" s="185"/>
      <c r="AB115" s="5"/>
      <c r="AC115" s="12"/>
      <c r="AD115" s="2209"/>
      <c r="AE115" s="419"/>
      <c r="AF115" s="171"/>
    </row>
    <row r="116" spans="1:34" ht="16.5" thickBot="1">
      <c r="A116" s="2209"/>
      <c r="B116" s="2209"/>
      <c r="C116" s="2209"/>
      <c r="D116" s="2209"/>
      <c r="E116" s="36" t="s">
        <v>147</v>
      </c>
      <c r="F116" s="35"/>
      <c r="G116" s="32"/>
      <c r="H116" s="30"/>
      <c r="I116" s="30"/>
      <c r="J116" s="185"/>
      <c r="K116" s="185"/>
      <c r="L116" s="1026">
        <v>960</v>
      </c>
      <c r="M116" s="1039" t="s">
        <v>213</v>
      </c>
      <c r="N116" s="1040"/>
      <c r="O116" s="1040"/>
      <c r="P116" s="401">
        <f>-SUM(D113,J113)</f>
        <v>-142071.19500000004</v>
      </c>
      <c r="Q116" s="1397"/>
      <c r="R116" s="1398"/>
      <c r="S116" s="1026">
        <v>970</v>
      </c>
      <c r="T116" s="1027" t="s">
        <v>148</v>
      </c>
      <c r="U116" s="1028"/>
      <c r="V116" s="1029"/>
      <c r="W116" s="401">
        <f>-V113</f>
        <v>-164949.57500000001</v>
      </c>
      <c r="X116" s="1607"/>
      <c r="Y116" s="1344"/>
      <c r="AA116" s="1247"/>
      <c r="AB116" s="1247"/>
      <c r="AC116" s="1247"/>
      <c r="AD116" s="2209"/>
      <c r="AE116" s="419"/>
      <c r="AF116" s="171"/>
    </row>
    <row r="117" spans="1:34" ht="16.5" customHeight="1">
      <c r="A117" s="2209"/>
      <c r="B117" s="2209"/>
      <c r="C117" s="2209"/>
      <c r="D117" s="2209"/>
      <c r="E117" s="1026">
        <v>922</v>
      </c>
      <c r="F117" s="1040" t="s">
        <v>126</v>
      </c>
      <c r="G117" s="1040"/>
      <c r="H117" s="1040"/>
      <c r="I117" s="403">
        <f>P112-SUM(R112:T112)</f>
        <v>51127.154000000002</v>
      </c>
      <c r="J117" s="282"/>
      <c r="K117" s="185"/>
      <c r="L117" s="1031">
        <v>965</v>
      </c>
      <c r="M117" s="1041" t="s">
        <v>214</v>
      </c>
      <c r="N117" s="1042"/>
      <c r="O117" s="1043"/>
      <c r="P117" s="402">
        <f>-SUM(L113:O113)</f>
        <v>-164273.98329086951</v>
      </c>
      <c r="S117" s="1031">
        <v>982</v>
      </c>
      <c r="T117" s="2503" t="s">
        <v>543</v>
      </c>
      <c r="U117" s="2504"/>
      <c r="V117" s="2505"/>
      <c r="W117" s="216">
        <v>7637.5810000000001</v>
      </c>
      <c r="Y117" s="1247"/>
      <c r="Z117" s="1247"/>
      <c r="AA117" s="1247"/>
      <c r="AB117" s="1247"/>
      <c r="AC117" s="1247"/>
      <c r="AD117" s="2209"/>
      <c r="AE117" s="419"/>
      <c r="AF117" s="171"/>
    </row>
    <row r="118" spans="1:34" ht="19.5" customHeight="1">
      <c r="A118" s="2209"/>
      <c r="B118" s="2209"/>
      <c r="C118" s="2209"/>
      <c r="D118" s="2209"/>
      <c r="E118" s="1031">
        <v>924</v>
      </c>
      <c r="F118" s="2478" t="s">
        <v>1111</v>
      </c>
      <c r="G118" s="2479"/>
      <c r="H118" s="2480"/>
      <c r="I118" s="119">
        <v>30632.017</v>
      </c>
      <c r="J118" s="1507"/>
      <c r="K118" s="185"/>
      <c r="L118" s="1031">
        <v>975</v>
      </c>
      <c r="M118" s="2500" t="s">
        <v>1202</v>
      </c>
      <c r="N118" s="2501"/>
      <c r="O118" s="2502"/>
      <c r="P118" s="216">
        <v>121000.022</v>
      </c>
      <c r="S118" s="1031">
        <v>985</v>
      </c>
      <c r="T118" s="1351" t="s">
        <v>962</v>
      </c>
      <c r="U118" s="1352"/>
      <c r="V118" s="1353"/>
      <c r="W118" s="216">
        <v>3207.9839999999999</v>
      </c>
      <c r="X118" s="1562"/>
      <c r="Y118" s="1562"/>
      <c r="Z118" s="1247"/>
      <c r="AB118" s="1247"/>
      <c r="AC118" s="1247"/>
      <c r="AD118" s="2209"/>
      <c r="AE118" s="419"/>
      <c r="AF118" s="171"/>
    </row>
    <row r="119" spans="1:34" ht="19.5" customHeight="1">
      <c r="A119" s="2209"/>
      <c r="B119" s="2209"/>
      <c r="C119" s="2209"/>
      <c r="D119" s="2209"/>
      <c r="E119" s="1031">
        <v>926</v>
      </c>
      <c r="F119" s="1045" t="s">
        <v>874</v>
      </c>
      <c r="G119" s="1046"/>
      <c r="H119" s="1046"/>
      <c r="I119" s="404">
        <f>N113</f>
        <v>3055.6910000000003</v>
      </c>
      <c r="J119" s="282"/>
      <c r="K119" s="185"/>
      <c r="L119" s="1031">
        <v>980</v>
      </c>
      <c r="M119" s="2497" t="s">
        <v>1203</v>
      </c>
      <c r="N119" s="2498"/>
      <c r="O119" s="2499"/>
      <c r="P119" s="216">
        <v>3463.6260000000002</v>
      </c>
      <c r="S119" s="1031">
        <v>989</v>
      </c>
      <c r="T119" s="1351" t="s">
        <v>216</v>
      </c>
      <c r="U119" s="1352"/>
      <c r="V119" s="1353"/>
      <c r="W119" s="2021">
        <v>74.436999999999998</v>
      </c>
      <c r="X119" s="179"/>
      <c r="Y119" s="198"/>
      <c r="Z119" s="198"/>
      <c r="AA119" s="1248"/>
      <c r="AB119" s="1248"/>
      <c r="AC119" s="1248"/>
      <c r="AD119" s="2209"/>
      <c r="AE119" s="1248"/>
      <c r="AF119" s="171"/>
    </row>
    <row r="120" spans="1:34" ht="13.5" customHeight="1" thickBot="1">
      <c r="A120" s="2209"/>
      <c r="B120" s="2209"/>
      <c r="C120" s="2209"/>
      <c r="D120" s="2209"/>
      <c r="E120" s="1035">
        <v>928</v>
      </c>
      <c r="F120" s="1396" t="s">
        <v>875</v>
      </c>
      <c r="G120" s="1047"/>
      <c r="H120" s="1048"/>
      <c r="I120" s="405">
        <f>I117-I118-I119</f>
        <v>17439.446000000004</v>
      </c>
      <c r="J120" s="282"/>
      <c r="K120" s="185"/>
      <c r="L120" s="1031">
        <v>982</v>
      </c>
      <c r="M120" s="1351" t="s">
        <v>1087</v>
      </c>
      <c r="N120" s="1352"/>
      <c r="O120" s="1353"/>
      <c r="P120" s="216">
        <v>911.73900000000003</v>
      </c>
      <c r="S120" s="1031"/>
      <c r="T120" s="1530"/>
      <c r="U120" s="1497"/>
      <c r="V120" s="1498"/>
      <c r="W120" s="1984"/>
      <c r="X120" s="1258"/>
      <c r="Y120" s="1499"/>
      <c r="Z120" s="198"/>
      <c r="AA120" s="1248"/>
      <c r="AB120" s="1248"/>
      <c r="AC120" s="1248"/>
      <c r="AD120" s="2209"/>
      <c r="AE120" s="1248"/>
      <c r="AF120" s="171"/>
    </row>
    <row r="121" spans="1:34" ht="13.5" customHeight="1">
      <c r="A121" s="198"/>
      <c r="B121" s="198"/>
      <c r="C121" s="2209"/>
      <c r="D121" s="2209"/>
      <c r="E121" s="185"/>
      <c r="F121" s="2209"/>
      <c r="G121" s="2209"/>
      <c r="H121" s="2209"/>
      <c r="I121" s="2029"/>
      <c r="J121" s="185"/>
      <c r="K121" s="185"/>
      <c r="L121" s="1031">
        <v>985</v>
      </c>
      <c r="M121" s="1437" t="s">
        <v>860</v>
      </c>
      <c r="N121" s="1437"/>
      <c r="O121" s="1438"/>
      <c r="P121" s="176">
        <v>1016.18</v>
      </c>
      <c r="Q121" s="2490"/>
      <c r="R121" s="2491"/>
      <c r="S121" s="1030">
        <v>887</v>
      </c>
      <c r="T121" s="1032" t="s">
        <v>458</v>
      </c>
      <c r="U121" s="1033"/>
      <c r="V121" s="1034"/>
      <c r="W121" s="406">
        <f>SUM(W113,W116:W119)</f>
        <v>160557.48699999999</v>
      </c>
      <c r="X121" s="1399"/>
      <c r="Y121" s="198"/>
      <c r="Z121" s="198"/>
      <c r="AA121" s="1248"/>
      <c r="AB121" s="1248"/>
      <c r="AC121" s="1248"/>
      <c r="AD121" s="2209"/>
      <c r="AE121" s="1248"/>
      <c r="AF121" s="171"/>
    </row>
    <row r="122" spans="1:34" ht="12.75" customHeight="1" thickBot="1">
      <c r="A122" s="198"/>
      <c r="B122" s="198"/>
      <c r="C122" s="2209"/>
      <c r="D122" s="2209"/>
      <c r="E122" s="185"/>
      <c r="F122" s="2209"/>
      <c r="G122" s="2209"/>
      <c r="H122" s="2209"/>
      <c r="I122" s="2042"/>
      <c r="J122" s="2030"/>
      <c r="K122" s="185"/>
      <c r="L122" s="1031">
        <v>988</v>
      </c>
      <c r="M122" s="2073" t="s">
        <v>1002</v>
      </c>
      <c r="N122" s="2074"/>
      <c r="O122" s="1438"/>
      <c r="P122" s="176">
        <v>1846.9469999999999</v>
      </c>
      <c r="Q122" s="179"/>
      <c r="R122" s="213"/>
      <c r="S122" s="1035">
        <v>990</v>
      </c>
      <c r="T122" s="1036" t="s">
        <v>95</v>
      </c>
      <c r="U122" s="1037"/>
      <c r="V122" s="1038"/>
      <c r="W122" s="120">
        <f>RR!C7</f>
        <v>160557.48699999999</v>
      </c>
      <c r="X122" s="1399"/>
      <c r="Y122" s="198"/>
      <c r="Z122" s="185"/>
      <c r="AA122" s="185"/>
      <c r="AB122" s="5"/>
      <c r="AC122" s="5"/>
      <c r="AD122" s="2209"/>
      <c r="AE122" s="419"/>
      <c r="AF122" s="171"/>
    </row>
    <row r="123" spans="1:34">
      <c r="A123" s="198"/>
      <c r="B123" s="198"/>
      <c r="C123" s="2209"/>
      <c r="D123" s="2209"/>
      <c r="E123" s="213"/>
      <c r="F123" s="2209"/>
      <c r="G123" s="2209"/>
      <c r="H123" s="2209"/>
      <c r="I123" s="2031"/>
      <c r="J123" s="2030"/>
      <c r="K123" s="185"/>
      <c r="L123" s="1031">
        <v>989</v>
      </c>
      <c r="M123" s="1044" t="s">
        <v>215</v>
      </c>
      <c r="N123" s="1692"/>
      <c r="O123" s="1353"/>
      <c r="P123" s="2021">
        <v>599.00300000000004</v>
      </c>
      <c r="Q123" s="179"/>
      <c r="R123" s="198"/>
      <c r="S123" s="214"/>
      <c r="T123" s="214"/>
      <c r="U123" s="214"/>
      <c r="V123" s="214"/>
      <c r="W123" s="231"/>
      <c r="X123" s="198"/>
      <c r="Y123" s="198"/>
      <c r="Z123" s="185"/>
      <c r="AA123" s="185"/>
      <c r="AB123" s="5"/>
      <c r="AC123" s="5"/>
      <c r="AD123" s="2209"/>
      <c r="AE123" s="419"/>
      <c r="AF123" s="171"/>
    </row>
    <row r="124" spans="1:34">
      <c r="A124" s="304"/>
      <c r="B124" s="198"/>
      <c r="C124" s="198"/>
      <c r="D124" s="185"/>
      <c r="E124" s="185"/>
      <c r="F124" s="2209"/>
      <c r="G124" s="2209"/>
      <c r="H124" s="2209"/>
      <c r="I124" s="2031"/>
      <c r="J124" s="2030"/>
      <c r="K124" s="198"/>
      <c r="L124" s="1030">
        <v>886</v>
      </c>
      <c r="M124" s="1032" t="s">
        <v>458</v>
      </c>
      <c r="N124" s="1033"/>
      <c r="O124" s="1034"/>
      <c r="P124" s="406">
        <f>SUM(P110:P112,P116:P123)</f>
        <v>712860.65270913066</v>
      </c>
      <c r="Q124" s="1399"/>
      <c r="R124" s="198"/>
      <c r="S124" s="214"/>
      <c r="T124" s="214"/>
      <c r="U124" s="214"/>
      <c r="V124" s="214"/>
      <c r="W124" s="214"/>
      <c r="X124" s="198"/>
      <c r="Y124" s="198"/>
      <c r="Z124" s="185"/>
      <c r="AA124" s="185"/>
      <c r="AB124" s="5"/>
      <c r="AC124" s="5"/>
      <c r="AD124" s="2209"/>
      <c r="AE124" s="419"/>
      <c r="AF124" s="171"/>
    </row>
    <row r="125" spans="1:34" ht="22.5" customHeight="1" thickBot="1">
      <c r="A125" s="304"/>
      <c r="B125" s="198"/>
      <c r="C125" s="198"/>
      <c r="D125" s="185"/>
      <c r="E125" s="185"/>
      <c r="F125" s="2209"/>
      <c r="G125" s="2209"/>
      <c r="H125" s="2209"/>
      <c r="I125" s="2031"/>
      <c r="J125" s="2030"/>
      <c r="K125" s="198"/>
      <c r="L125" s="1035">
        <v>990</v>
      </c>
      <c r="M125" s="1036" t="s">
        <v>92</v>
      </c>
      <c r="N125" s="1037"/>
      <c r="O125" s="1038"/>
      <c r="P125" s="1983">
        <f>RR!C8</f>
        <v>712859.95</v>
      </c>
      <c r="Q125" s="198"/>
      <c r="R125" s="198"/>
      <c r="S125" s="214"/>
      <c r="T125" s="214"/>
      <c r="U125" s="214"/>
      <c r="V125" s="214"/>
      <c r="W125" s="214"/>
      <c r="X125" s="198"/>
      <c r="Y125" s="198"/>
      <c r="Z125" s="185"/>
      <c r="AA125" s="185"/>
      <c r="AB125" s="5"/>
      <c r="AC125" s="5"/>
      <c r="AD125" s="2209"/>
      <c r="AE125" s="419"/>
      <c r="AF125" s="171"/>
    </row>
    <row r="126" spans="1:34" ht="31.5" customHeight="1">
      <c r="A126" s="214"/>
      <c r="B126" s="214"/>
      <c r="C126" s="214"/>
      <c r="D126" s="213"/>
      <c r="E126" s="213"/>
      <c r="F126" s="2032"/>
      <c r="G126" s="2032"/>
      <c r="H126" s="2032"/>
      <c r="I126" s="2031"/>
      <c r="J126" s="213"/>
      <c r="K126" s="198"/>
      <c r="L126" s="1689"/>
      <c r="M126" s="1690"/>
      <c r="N126" s="1691"/>
      <c r="O126" s="1691"/>
      <c r="P126" s="1709"/>
      <c r="Q126" s="185"/>
      <c r="R126" s="213"/>
      <c r="S126" s="214"/>
      <c r="T126" s="214"/>
      <c r="U126" s="198"/>
      <c r="V126" s="214"/>
      <c r="W126" s="214"/>
      <c r="X126" s="198"/>
      <c r="Y126" s="214"/>
      <c r="Z126" s="213"/>
      <c r="AA126" s="213"/>
      <c r="AB126" s="1"/>
      <c r="AC126" s="1"/>
      <c r="AD126" s="2209"/>
      <c r="AE126" s="420"/>
      <c r="AF126" s="171"/>
    </row>
    <row r="127" spans="1:34" hidden="1">
      <c r="L127" s="213"/>
      <c r="M127" s="213"/>
      <c r="N127" s="213"/>
      <c r="O127" s="213"/>
      <c r="P127" s="231"/>
    </row>
    <row r="128" spans="1:34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spans="16:16" hidden="1"/>
    <row r="290" spans="16:16" hidden="1"/>
    <row r="291" spans="16:16" hidden="1"/>
    <row r="292" spans="16:16" hidden="1"/>
    <row r="293" spans="16:16" hidden="1"/>
    <row r="294" spans="16:16" hidden="1"/>
    <row r="295" spans="16:16" hidden="1"/>
    <row r="296" spans="16:16" hidden="1"/>
    <row r="297" spans="16:16" hidden="1"/>
    <row r="298" spans="16:16" hidden="1"/>
    <row r="299" spans="16:16" hidden="1"/>
    <row r="300" spans="16:16" hidden="1"/>
    <row r="301" spans="16:16" hidden="1"/>
    <row r="302" spans="16:16" hidden="1"/>
    <row r="303" spans="16:16" hidden="1">
      <c r="P303" s="215" t="str">
        <f>IF(P124&lt;&gt;P125,"Differens mot vht kostnader i RR, måste rättas!","")</f>
        <v>Differens mot vht kostnader i RR, måste rättas!</v>
      </c>
    </row>
    <row r="304" spans="16:16" hidden="1"/>
  </sheetData>
  <sheetProtection algorithmName="SHA-512" hashValue="wJcmeqjfDG6+ryy3XeB6QA8naV+/8CM6iYDFZ7XfMogrhJnMDCPbKtKPLXawt5+zcEu93Ujasmii1c0U5YRjCQ==" saltValue="PsyGoAv5uEKxFRrFkBhgmg==" spinCount="100000" sheet="1" objects="1" scenarios="1"/>
  <customSheetViews>
    <customSheetView guid="{27C9E95B-0E2B-454F-B637-1CECC9579A10}" showGridLines="0" hiddenRows="1" hiddenColumns="1" showRuler="0">
      <pane xSplit="2" ySplit="10" topLeftCell="E111" activePane="bottomRight" state="frozen"/>
      <selection pane="bottomRight" activeCell="P125" sqref="P125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PageBreaks="1" showGridLines="0" hiddenRows="1" hiddenColumns="1">
      <pane xSplit="2" ySplit="12" topLeftCell="H13" activePane="bottomRight" state="frozen"/>
      <selection pane="bottomRight" activeCell="AD14" sqref="AD14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>
      <pane xSplit="2" ySplit="12" topLeftCell="H13" activePane="bottomRight" state="frozen"/>
      <selection pane="bottomRight" activeCell="S6" sqref="S6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3"/>
      <headerFooter>
        <oddHeader>&amp;L&amp;8Statistiska Centralbyrån
Offentlig ekonomi&amp;R&amp;P</oddHeader>
      </headerFooter>
    </customSheetView>
  </customSheetViews>
  <mergeCells count="26">
    <mergeCell ref="Q121:R121"/>
    <mergeCell ref="R4:T4"/>
    <mergeCell ref="Z4:AB4"/>
    <mergeCell ref="M119:O119"/>
    <mergeCell ref="M118:O118"/>
    <mergeCell ref="T117:V117"/>
    <mergeCell ref="Y5:Y6"/>
    <mergeCell ref="Z31:AC31"/>
    <mergeCell ref="Z72:AC72"/>
    <mergeCell ref="Z91:AC91"/>
    <mergeCell ref="Z45:AA45"/>
    <mergeCell ref="Z52:AC52"/>
    <mergeCell ref="N5:O5"/>
    <mergeCell ref="Z86:AC86"/>
    <mergeCell ref="F118:H118"/>
    <mergeCell ref="AH5:AH6"/>
    <mergeCell ref="Z44:AC44"/>
    <mergeCell ref="AG5:AG6"/>
    <mergeCell ref="AF5:AF6"/>
    <mergeCell ref="Z18:AC18"/>
    <mergeCell ref="Z11:AC11"/>
    <mergeCell ref="C4:D4"/>
    <mergeCell ref="E4:H4"/>
    <mergeCell ref="L4:O4"/>
    <mergeCell ref="I4:J4"/>
    <mergeCell ref="I114:L114"/>
  </mergeCells>
  <phoneticPr fontId="87" type="noConversion"/>
  <conditionalFormatting sqref="D13:D16 D19:D29 D33:D36 D39:D41 D46:D50 D53:D57 D60:D61 D63:D65 D70:D71 D73:D76 D79:D82 D111:D112 D87:D88 D93:D96 D99:D101 D104:D107 D84">
    <cfRule type="expression" dxfId="99" priority="40" stopIfTrue="1">
      <formula>C13&lt;50</formula>
    </cfRule>
    <cfRule type="expression" dxfId="98" priority="41" stopIfTrue="1">
      <formula>(D13/C13)&gt;0.45</formula>
    </cfRule>
    <cfRule type="expression" dxfId="97" priority="42" stopIfTrue="1">
      <formula>(D13/C13)&lt;0.25</formula>
    </cfRule>
  </conditionalFormatting>
  <conditionalFormatting sqref="T51">
    <cfRule type="expression" dxfId="96" priority="48" stopIfTrue="1">
      <formula>T51-SUM(AB53:AB55)&lt;0</formula>
    </cfRule>
  </conditionalFormatting>
  <conditionalFormatting sqref="P117">
    <cfRule type="expression" dxfId="95" priority="49" stopIfTrue="1">
      <formula>ABS(P117-W116)&lt;10000</formula>
    </cfRule>
    <cfRule type="expression" dxfId="94" priority="50" stopIfTrue="1">
      <formula>ABS((P117-W116)/W116)&gt;0.05</formula>
    </cfRule>
  </conditionalFormatting>
  <conditionalFormatting sqref="W116">
    <cfRule type="expression" dxfId="93" priority="51" stopIfTrue="1">
      <formula>ABS(P117-W116)&lt;10000</formula>
    </cfRule>
    <cfRule type="expression" dxfId="92" priority="52" stopIfTrue="1">
      <formula>ABS((P117-W116)/W116)&gt;0.05</formula>
    </cfRule>
  </conditionalFormatting>
  <conditionalFormatting sqref="P111">
    <cfRule type="expression" dxfId="91" priority="53" stopIfTrue="1">
      <formula>ABS(P111-W111)&lt;10000</formula>
    </cfRule>
    <cfRule type="expression" dxfId="90" priority="54" stopIfTrue="1">
      <formula>ABS((P111-W111)/W111)&gt;0.05</formula>
    </cfRule>
  </conditionalFormatting>
  <conditionalFormatting sqref="W111">
    <cfRule type="expression" dxfId="89" priority="75" stopIfTrue="1">
      <formula>ABS(P111-W111)&lt;10000</formula>
    </cfRule>
    <cfRule type="expression" dxfId="88" priority="76" stopIfTrue="1">
      <formula>ABS((P111-W111)/W111)&gt;0.05</formula>
    </cfRule>
  </conditionalFormatting>
  <conditionalFormatting sqref="P13:P14 P23:P24">
    <cfRule type="expression" dxfId="87" priority="58" stopIfTrue="1">
      <formula>$P$124&lt;100000</formula>
    </cfRule>
    <cfRule type="cellIs" dxfId="86" priority="59" stopIfTrue="1" operator="lessThan">
      <formula>1</formula>
    </cfRule>
  </conditionalFormatting>
  <conditionalFormatting sqref="P120:P122 C13:W113">
    <cfRule type="cellIs" dxfId="85" priority="33" stopIfTrue="1" operator="lessThan">
      <formula>-500</formula>
    </cfRule>
  </conditionalFormatting>
  <conditionalFormatting sqref="P118 W117:W118 I118">
    <cfRule type="cellIs" dxfId="84" priority="32" stopIfTrue="1" operator="lessThan">
      <formula>-500</formula>
    </cfRule>
  </conditionalFormatting>
  <conditionalFormatting sqref="H47">
    <cfRule type="cellIs" dxfId="83" priority="24" stopIfTrue="1" operator="greaterThan">
      <formula>$F$47</formula>
    </cfRule>
  </conditionalFormatting>
  <conditionalFormatting sqref="H50">
    <cfRule type="cellIs" dxfId="82" priority="22" stopIfTrue="1" operator="greaterThan">
      <formula>$F$50</formula>
    </cfRule>
  </conditionalFormatting>
  <conditionalFormatting sqref="R53">
    <cfRule type="cellIs" dxfId="81" priority="21" stopIfTrue="1" operator="greaterThan">
      <formula>100</formula>
    </cfRule>
  </conditionalFormatting>
  <conditionalFormatting sqref="R100">
    <cfRule type="expression" dxfId="80" priority="17" stopIfTrue="1">
      <formula>AND(C100&gt;5000,R100&lt;50)</formula>
    </cfRule>
  </conditionalFormatting>
  <conditionalFormatting sqref="R104">
    <cfRule type="expression" dxfId="79" priority="16" stopIfTrue="1">
      <formula>AND(C104&gt;5000,R104&lt;50)</formula>
    </cfRule>
  </conditionalFormatting>
  <conditionalFormatting sqref="R105">
    <cfRule type="expression" dxfId="78" priority="15" stopIfTrue="1">
      <formula>AND(C105&gt;5000,R105&lt;50)</formula>
    </cfRule>
  </conditionalFormatting>
  <conditionalFormatting sqref="R106">
    <cfRule type="expression" dxfId="77" priority="14" stopIfTrue="1">
      <formula>AND(C106&gt;5000,R106&lt;50)</formula>
    </cfRule>
  </conditionalFormatting>
  <conditionalFormatting sqref="R107">
    <cfRule type="expression" dxfId="76" priority="13" stopIfTrue="1">
      <formula>AND(C107&gt;5000,R107&lt;50)</formula>
    </cfRule>
  </conditionalFormatting>
  <conditionalFormatting sqref="R76">
    <cfRule type="expression" dxfId="75" priority="12" stopIfTrue="1">
      <formula>AND(C76&gt;5000,R76&lt;50)</formula>
    </cfRule>
  </conditionalFormatting>
  <conditionalFormatting sqref="R74">
    <cfRule type="expression" dxfId="74" priority="11" stopIfTrue="1">
      <formula>AND(C74&gt;5000,R74&lt;50)</formula>
    </cfRule>
  </conditionalFormatting>
  <conditionalFormatting sqref="R73">
    <cfRule type="expression" dxfId="73" priority="10" stopIfTrue="1">
      <formula>AND(C73&gt;5000,R73&lt;50)</formula>
    </cfRule>
  </conditionalFormatting>
  <conditionalFormatting sqref="R48">
    <cfRule type="expression" dxfId="72" priority="9" stopIfTrue="1">
      <formula>AND(C48&gt;5000,R48&lt;50)</formula>
    </cfRule>
  </conditionalFormatting>
  <conditionalFormatting sqref="J122:J125">
    <cfRule type="expression" dxfId="71" priority="1">
      <formula>(L119+L120-M120)/M120&gt;0.1</formula>
    </cfRule>
  </conditionalFormatting>
  <dataValidations count="1">
    <dataValidation type="decimal" operator="lessThan" allowBlank="1" showInputMessage="1" showErrorMessage="1" error="Beloppet ska vara i 1000 tal kr" sqref="V111 R111:U112 R93:V96 C93:N96 R99:V101 R84:V84 G114 R104:V107 C99:N101 C104:N107 C87:N88 C84:N84 I118 C79:N82 R79:V82 C111:O112 C63:N66 C70:N71 C73:N76 R73:V76 R70:V71 R63:V66 C13:N16 C19:N29 C33:N36 C39:N41 C46:N50 C53:N57 R53:V57 R46:V50 R39:V41 R33:V36 R19:V29 R13:V16 R60:V61 C60:N61 R87:V88 W117:W120 P118:P123">
      <formula1>99999999</formula1>
    </dataValidation>
  </dataValidations>
  <pageMargins left="0.43307086614173229" right="0.70866141732283472" top="0.43307086614173229" bottom="0" header="7.874015748031496E-2" footer="3.937007874015748E-2"/>
  <pageSetup paperSize="9" scale="83" orientation="landscape" r:id="rId4"/>
  <headerFooter>
    <oddHeader>&amp;LStatistiska Centralbyrån
Offentlig ekonomi</oddHeader>
  </headerFooter>
  <rowBreaks count="3" manualBreakCount="3">
    <brk id="43" max="16383" man="1"/>
    <brk id="68" max="16383" man="1"/>
    <brk id="90" max="16383" man="1"/>
  </rowBreaks>
  <colBreaks count="1" manualBreakCount="1">
    <brk id="16" max="1048575" man="1"/>
  </colBreaks>
  <ignoredErrors>
    <ignoredError sqref="A13:A1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tabColor rgb="FFFFFF00"/>
  </sheetPr>
  <dimension ref="A1:AD89"/>
  <sheetViews>
    <sheetView showGridLines="0" zoomScaleNormal="100" workbookViewId="0">
      <pane xSplit="2" ySplit="8" topLeftCell="C9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0" defaultRowHeight="9" zeroHeight="1"/>
  <cols>
    <col min="1" max="1" width="5.28515625" style="145" customWidth="1"/>
    <col min="2" max="2" width="30.85546875" style="145" customWidth="1"/>
    <col min="3" max="3" width="8.5703125" style="145" customWidth="1"/>
    <col min="4" max="4" width="8.7109375" style="145" customWidth="1"/>
    <col min="5" max="11" width="9.140625" style="145" customWidth="1"/>
    <col min="12" max="12" width="8" style="145" customWidth="1"/>
    <col min="13" max="13" width="9.140625" style="145" customWidth="1"/>
    <col min="14" max="14" width="8.28515625" style="145" customWidth="1"/>
    <col min="15" max="22" width="9.140625" style="145" customWidth="1"/>
    <col min="23" max="23" width="8.28515625" style="145" customWidth="1"/>
    <col min="24" max="24" width="8.140625" style="145" customWidth="1"/>
    <col min="25" max="25" width="9.140625" style="145" customWidth="1"/>
    <col min="26" max="26" width="10.5703125" style="145" customWidth="1"/>
    <col min="27" max="27" width="9.140625" style="145" customWidth="1"/>
    <col min="28" max="28" width="8" style="145" customWidth="1"/>
    <col min="29" max="29" width="11.28515625" style="145" customWidth="1"/>
    <col min="30" max="30" width="25.7109375" style="145" customWidth="1"/>
    <col min="31" max="16384" width="0" style="145" hidden="1"/>
  </cols>
  <sheetData>
    <row r="1" spans="1:30" s="170" customFormat="1" ht="18.75" customHeight="1">
      <c r="A1" s="169"/>
      <c r="B1" s="78"/>
      <c r="C1" s="77" t="str">
        <f>"Motpartsredovisning "&amp;År&amp;", miljoner kr"</f>
        <v>Motpartsredovisning 2019, miljoner kr</v>
      </c>
      <c r="D1" s="78"/>
      <c r="E1" s="169"/>
      <c r="F1" s="169"/>
      <c r="G1" s="169"/>
      <c r="H1" s="169"/>
      <c r="I1" s="169"/>
      <c r="J1" s="516" t="s">
        <v>466</v>
      </c>
      <c r="K1" s="517" t="str">
        <f>'Kn Information'!A2</f>
        <v>RIKSTOTAL</v>
      </c>
      <c r="L1" s="169"/>
      <c r="M1" s="169"/>
      <c r="N1" s="77"/>
      <c r="O1" s="169"/>
      <c r="P1" s="169"/>
      <c r="Q1" s="169"/>
      <c r="R1" s="169"/>
      <c r="S1" s="77" t="str">
        <f>"Motpartsredovisning "&amp;År&amp;", miljoner kr"</f>
        <v>Motpartsredovisning 2019, miljoner kr</v>
      </c>
      <c r="T1" s="169"/>
      <c r="U1" s="169"/>
      <c r="V1" s="169"/>
      <c r="W1" s="169"/>
      <c r="X1" s="169"/>
      <c r="Y1" s="169"/>
      <c r="Z1" s="516" t="s">
        <v>466</v>
      </c>
      <c r="AA1" s="517" t="str">
        <f>'Kn Information'!A2</f>
        <v>RIKSTOTAL</v>
      </c>
      <c r="AB1" s="169"/>
      <c r="AC1" s="169"/>
      <c r="AD1" s="2209"/>
    </row>
    <row r="2" spans="1:30" s="170" customFormat="1" ht="11.25" customHeight="1">
      <c r="A2" s="2209"/>
      <c r="B2" s="2209"/>
      <c r="C2" s="2209"/>
      <c r="D2" s="2209"/>
      <c r="E2" s="2209"/>
      <c r="F2" s="2209"/>
      <c r="G2" s="2209"/>
      <c r="H2" s="2209"/>
      <c r="I2" s="2209"/>
      <c r="J2" s="2209"/>
      <c r="K2" s="2209"/>
      <c r="L2" s="2209"/>
      <c r="M2" s="2209"/>
      <c r="N2" s="2209"/>
      <c r="O2" s="2209"/>
      <c r="P2" s="2209"/>
      <c r="Q2" s="2209"/>
      <c r="R2" s="2209"/>
      <c r="S2" s="2209"/>
      <c r="T2" s="2209"/>
      <c r="U2" s="2209"/>
      <c r="V2" s="2209"/>
      <c r="W2" s="2209"/>
      <c r="X2" s="2209"/>
      <c r="Y2" s="2209"/>
      <c r="Z2" s="2209"/>
      <c r="AA2" s="2209"/>
      <c r="AB2" s="2209"/>
      <c r="AC2" s="2209"/>
      <c r="AD2" s="2209"/>
    </row>
    <row r="3" spans="1:30" ht="11.25" customHeight="1" thickBot="1">
      <c r="A3" s="2209"/>
      <c r="B3" s="2209"/>
      <c r="C3" s="2209"/>
      <c r="D3" s="2209"/>
      <c r="E3" s="2209"/>
      <c r="F3" s="2209"/>
      <c r="G3" s="2209"/>
      <c r="H3" s="2209"/>
      <c r="I3" s="2209"/>
      <c r="J3" s="2209"/>
      <c r="K3" s="2209"/>
      <c r="L3" s="2209"/>
      <c r="M3" s="2209"/>
      <c r="N3" s="2209"/>
      <c r="O3" s="2209"/>
      <c r="P3" s="2209"/>
      <c r="Q3" s="2209"/>
      <c r="R3" s="2209"/>
      <c r="S3" s="2209"/>
      <c r="T3" s="2209"/>
      <c r="U3" s="2209"/>
      <c r="V3" s="2209"/>
      <c r="W3" s="2209"/>
      <c r="X3" s="2209"/>
      <c r="Y3" s="2209"/>
      <c r="Z3" s="2209"/>
      <c r="AA3" s="2209"/>
      <c r="AB3" s="2209"/>
      <c r="AC3" s="2209"/>
      <c r="AD3" s="2209"/>
    </row>
    <row r="4" spans="1:30" s="1310" customFormat="1" ht="18" customHeight="1">
      <c r="A4" s="1303" t="s">
        <v>634</v>
      </c>
      <c r="B4" s="1304" t="s">
        <v>16</v>
      </c>
      <c r="C4" s="1292"/>
      <c r="D4" s="1311" t="s">
        <v>830</v>
      </c>
      <c r="E4" s="1304"/>
      <c r="F4" s="1304"/>
      <c r="G4" s="1304"/>
      <c r="H4" s="1304"/>
      <c r="I4" s="1304"/>
      <c r="J4" s="1304"/>
      <c r="K4" s="1304"/>
      <c r="L4" s="1304"/>
      <c r="M4" s="1305"/>
      <c r="N4" s="1311" t="s">
        <v>802</v>
      </c>
      <c r="O4" s="1304"/>
      <c r="P4" s="1304"/>
      <c r="Q4" s="1304"/>
      <c r="R4" s="1304"/>
      <c r="S4" s="1304"/>
      <c r="T4" s="1304"/>
      <c r="U4" s="1304"/>
      <c r="V4" s="1304"/>
      <c r="W4" s="1304"/>
      <c r="X4" s="1306"/>
      <c r="Y4" s="1312" t="s">
        <v>558</v>
      </c>
      <c r="Z4" s="1307"/>
      <c r="AA4" s="1308"/>
      <c r="AB4" s="1308"/>
      <c r="AC4" s="1309"/>
      <c r="AD4" s="2209"/>
    </row>
    <row r="5" spans="1:30" ht="36.75" customHeight="1">
      <c r="A5" s="793" t="s">
        <v>637</v>
      </c>
      <c r="B5" s="1057"/>
      <c r="C5" s="1418" t="s">
        <v>510</v>
      </c>
      <c r="D5" s="1058" t="s">
        <v>477</v>
      </c>
      <c r="E5" s="1052" t="s">
        <v>502</v>
      </c>
      <c r="F5" s="1052" t="s">
        <v>478</v>
      </c>
      <c r="G5" s="1052" t="s">
        <v>127</v>
      </c>
      <c r="H5" s="1052" t="s">
        <v>1132</v>
      </c>
      <c r="I5" s="1052" t="s">
        <v>479</v>
      </c>
      <c r="J5" s="1052" t="s">
        <v>852</v>
      </c>
      <c r="K5" s="1052" t="s">
        <v>1211</v>
      </c>
      <c r="L5" s="1052" t="s">
        <v>153</v>
      </c>
      <c r="M5" s="1054" t="s">
        <v>521</v>
      </c>
      <c r="N5" s="1386" t="s">
        <v>510</v>
      </c>
      <c r="O5" s="1052" t="s">
        <v>477</v>
      </c>
      <c r="P5" s="1293" t="s">
        <v>502</v>
      </c>
      <c r="Q5" s="1293" t="s">
        <v>478</v>
      </c>
      <c r="R5" s="1293" t="s">
        <v>127</v>
      </c>
      <c r="S5" s="1293" t="s">
        <v>1132</v>
      </c>
      <c r="T5" s="1293" t="s">
        <v>1211</v>
      </c>
      <c r="U5" s="1293" t="s">
        <v>853</v>
      </c>
      <c r="V5" s="1293" t="s">
        <v>852</v>
      </c>
      <c r="W5" s="1293" t="s">
        <v>153</v>
      </c>
      <c r="X5" s="1051" t="s">
        <v>521</v>
      </c>
      <c r="Y5" s="2187" t="s">
        <v>1134</v>
      </c>
      <c r="Z5" s="1052" t="s">
        <v>1215</v>
      </c>
      <c r="AA5" s="1053" t="s">
        <v>1097</v>
      </c>
      <c r="AB5" s="1053" t="s">
        <v>480</v>
      </c>
      <c r="AC5" s="1054" t="s">
        <v>481</v>
      </c>
      <c r="AD5" s="2209"/>
    </row>
    <row r="6" spans="1:30" ht="30.75" customHeight="1">
      <c r="A6" s="1059"/>
      <c r="B6" s="2094" t="s">
        <v>1168</v>
      </c>
      <c r="C6" s="1385"/>
      <c r="D6" s="1579" t="s">
        <v>803</v>
      </c>
      <c r="E6" s="1580" t="s">
        <v>804</v>
      </c>
      <c r="F6" s="1580" t="s">
        <v>805</v>
      </c>
      <c r="G6" s="1580" t="s">
        <v>806</v>
      </c>
      <c r="H6" s="1580" t="s">
        <v>807</v>
      </c>
      <c r="I6" s="1580" t="s">
        <v>808</v>
      </c>
      <c r="J6" s="1580" t="s">
        <v>809</v>
      </c>
      <c r="K6" s="1580" t="s">
        <v>810</v>
      </c>
      <c r="L6" s="1580" t="s">
        <v>811</v>
      </c>
      <c r="M6" s="1055"/>
      <c r="N6" s="1387"/>
      <c r="O6" s="1579" t="s">
        <v>803</v>
      </c>
      <c r="P6" s="1580" t="s">
        <v>804</v>
      </c>
      <c r="Q6" s="1580" t="s">
        <v>805</v>
      </c>
      <c r="R6" s="1580" t="s">
        <v>806</v>
      </c>
      <c r="S6" s="1580" t="s">
        <v>807</v>
      </c>
      <c r="T6" s="1580" t="s">
        <v>810</v>
      </c>
      <c r="U6" s="1580" t="s">
        <v>808</v>
      </c>
      <c r="V6" s="1580" t="s">
        <v>809</v>
      </c>
      <c r="W6" s="1580" t="s">
        <v>811</v>
      </c>
      <c r="X6" s="1055"/>
      <c r="Y6" s="2188" t="s">
        <v>1133</v>
      </c>
      <c r="Z6" s="1584" t="s">
        <v>812</v>
      </c>
      <c r="AA6" s="1580" t="s">
        <v>813</v>
      </c>
      <c r="AB6" s="1580" t="s">
        <v>135</v>
      </c>
      <c r="AC6" s="1585" t="s">
        <v>854</v>
      </c>
      <c r="AD6" s="2209"/>
    </row>
    <row r="7" spans="1:30" ht="4.5" customHeight="1">
      <c r="A7" s="1060"/>
      <c r="B7" s="1581"/>
      <c r="C7" s="1582"/>
      <c r="D7" s="1574"/>
      <c r="E7" s="1575"/>
      <c r="F7" s="1575"/>
      <c r="G7" s="1575"/>
      <c r="H7" s="1575"/>
      <c r="I7" s="1575"/>
      <c r="J7" s="1575"/>
      <c r="K7" s="1575"/>
      <c r="L7" s="1583"/>
      <c r="M7" s="1055"/>
      <c r="N7" s="1573"/>
      <c r="O7" s="1574"/>
      <c r="P7" s="1575"/>
      <c r="Q7" s="1575"/>
      <c r="R7" s="1575"/>
      <c r="S7" s="1575"/>
      <c r="T7" s="1575"/>
      <c r="U7" s="1576"/>
      <c r="V7" s="1575"/>
      <c r="W7" s="562"/>
      <c r="X7" s="1055"/>
      <c r="Y7" s="1586"/>
      <c r="Z7" s="1587"/>
      <c r="AA7" s="1587"/>
      <c r="AB7" s="1588"/>
      <c r="AC7" s="1589"/>
      <c r="AD7" s="2209"/>
    </row>
    <row r="8" spans="1:30" ht="12" hidden="1" customHeight="1">
      <c r="A8" s="1059"/>
      <c r="B8" s="1577"/>
      <c r="C8" s="1578"/>
      <c r="D8" s="1563"/>
      <c r="E8" s="1564"/>
      <c r="F8" s="1564"/>
      <c r="G8" s="1564"/>
      <c r="H8" s="1564"/>
      <c r="I8" s="1564"/>
      <c r="J8" s="1564"/>
      <c r="K8" s="1564"/>
      <c r="L8" s="1565"/>
      <c r="M8" s="1056"/>
      <c r="N8" s="1566"/>
      <c r="O8" s="1563"/>
      <c r="P8" s="1564"/>
      <c r="Q8" s="1564"/>
      <c r="R8" s="1564"/>
      <c r="S8" s="1564"/>
      <c r="T8" s="1564"/>
      <c r="U8" s="1567"/>
      <c r="V8" s="1564"/>
      <c r="W8" s="1568"/>
      <c r="X8" s="1056"/>
      <c r="Y8" s="1569"/>
      <c r="Z8" s="1570"/>
      <c r="AA8" s="1570"/>
      <c r="AB8" s="1571"/>
      <c r="AC8" s="1572"/>
      <c r="AD8" s="2209"/>
    </row>
    <row r="9" spans="1:30" ht="14.25" customHeight="1">
      <c r="A9" s="1505">
        <v>190</v>
      </c>
      <c r="B9" s="1062" t="s">
        <v>18</v>
      </c>
      <c r="C9" s="83">
        <f>Drift!F17</f>
        <v>204.94300000000001</v>
      </c>
      <c r="D9" s="66">
        <v>1.871</v>
      </c>
      <c r="E9" s="66">
        <v>0.93400000000000005</v>
      </c>
      <c r="F9" s="66">
        <v>15.89</v>
      </c>
      <c r="G9" s="66">
        <v>168.364</v>
      </c>
      <c r="H9" s="66">
        <v>2.4279999999999999</v>
      </c>
      <c r="I9" s="66">
        <v>0.83299999999999996</v>
      </c>
      <c r="J9" s="1228">
        <v>0</v>
      </c>
      <c r="K9" s="186">
        <v>14.617000000000001</v>
      </c>
      <c r="L9" s="186">
        <v>4.0000000000000001E-3</v>
      </c>
      <c r="M9" s="438">
        <f>C9-SUM(D9:L9)</f>
        <v>2.0000000000379714E-3</v>
      </c>
      <c r="N9" s="439">
        <f>Drift!H17</f>
        <v>606.52700000000004</v>
      </c>
      <c r="O9" s="66">
        <v>500.15100000000001</v>
      </c>
      <c r="P9" s="66">
        <v>4.0389999999999997</v>
      </c>
      <c r="Q9" s="66">
        <v>48.219000000000001</v>
      </c>
      <c r="R9" s="66">
        <v>9.9290000000000003</v>
      </c>
      <c r="S9" s="66">
        <v>5.5350000000000001</v>
      </c>
      <c r="T9" s="66">
        <v>28.158000000000001</v>
      </c>
      <c r="U9" s="66">
        <v>4.8890000000000002</v>
      </c>
      <c r="V9" s="66">
        <v>5.0199999999999996</v>
      </c>
      <c r="W9" s="66">
        <v>0.58799999999999997</v>
      </c>
      <c r="X9" s="438">
        <f>N9-SUM(O9:W9)</f>
        <v>-9.999999998626663E-4</v>
      </c>
      <c r="Y9" s="441">
        <v>145.72</v>
      </c>
      <c r="Z9" s="66">
        <v>0.01</v>
      </c>
      <c r="AA9" s="66">
        <v>256.06299999999999</v>
      </c>
      <c r="AB9" s="66">
        <v>1.6970000000000001</v>
      </c>
      <c r="AC9" s="99">
        <v>34.670999999999999</v>
      </c>
      <c r="AD9" s="2209"/>
    </row>
    <row r="10" spans="1:30" ht="12.95" customHeight="1">
      <c r="A10" s="558" t="s">
        <v>232</v>
      </c>
      <c r="B10" s="564" t="s">
        <v>152</v>
      </c>
      <c r="C10" s="83">
        <f>Drift!F30</f>
        <v>8894.91</v>
      </c>
      <c r="D10" s="54">
        <v>74.278999999999996</v>
      </c>
      <c r="E10" s="54">
        <v>1100.952</v>
      </c>
      <c r="F10" s="54">
        <v>3538.3980000000001</v>
      </c>
      <c r="G10" s="54">
        <v>481.476</v>
      </c>
      <c r="H10" s="54">
        <v>0.90100000000000002</v>
      </c>
      <c r="I10" s="54">
        <v>66.372</v>
      </c>
      <c r="J10" s="1222">
        <v>0</v>
      </c>
      <c r="K10" s="55">
        <v>3629.7489999999998</v>
      </c>
      <c r="L10" s="186">
        <v>2.7850000000000001</v>
      </c>
      <c r="M10" s="438">
        <f t="shared" ref="M10:M39" si="0">C10-SUM(D10:L10)</f>
        <v>-2.0000000004074536E-3</v>
      </c>
      <c r="N10" s="439">
        <f>Drift!H30</f>
        <v>3049.9630000000002</v>
      </c>
      <c r="O10" s="54">
        <v>516.28899999999999</v>
      </c>
      <c r="P10" s="54">
        <v>667.58299999999997</v>
      </c>
      <c r="Q10" s="54">
        <v>398.34899999999999</v>
      </c>
      <c r="R10" s="54">
        <v>30.39</v>
      </c>
      <c r="S10" s="54">
        <v>10.648</v>
      </c>
      <c r="T10" s="54">
        <v>981.02300000000002</v>
      </c>
      <c r="U10" s="54">
        <v>382.56299999999999</v>
      </c>
      <c r="V10" s="54">
        <v>53.186999999999998</v>
      </c>
      <c r="W10" s="54">
        <v>9.9260000000000002</v>
      </c>
      <c r="X10" s="438">
        <f t="shared" ref="X10:X39" si="1">N10-SUM(O10:W10)</f>
        <v>5.0000000005638867E-3</v>
      </c>
      <c r="Y10" s="442">
        <v>352.42099999999999</v>
      </c>
      <c r="Z10" s="54">
        <v>17.375</v>
      </c>
      <c r="AA10" s="54">
        <v>1611.27</v>
      </c>
      <c r="AB10" s="54">
        <v>170.9</v>
      </c>
      <c r="AC10" s="178">
        <v>1720.2449999999999</v>
      </c>
      <c r="AD10" s="2209"/>
    </row>
    <row r="11" spans="1:30" ht="12.95" customHeight="1">
      <c r="A11" s="558">
        <v>339</v>
      </c>
      <c r="B11" s="564" t="s">
        <v>73</v>
      </c>
      <c r="C11" s="83">
        <f>Drift!F37</f>
        <v>272.75400000000002</v>
      </c>
      <c r="D11" s="66">
        <v>60.503</v>
      </c>
      <c r="E11" s="66">
        <v>25.343</v>
      </c>
      <c r="F11" s="66">
        <v>123.041</v>
      </c>
      <c r="G11" s="66">
        <v>8.3719999999999999</v>
      </c>
      <c r="H11" s="66">
        <v>1.5449999999999999</v>
      </c>
      <c r="I11" s="66">
        <v>0.95499999999999996</v>
      </c>
      <c r="J11" s="1228">
        <v>0</v>
      </c>
      <c r="K11" s="186">
        <v>51.151000000000003</v>
      </c>
      <c r="L11" s="186">
        <v>1.849</v>
      </c>
      <c r="M11" s="438">
        <f t="shared" si="0"/>
        <v>-4.9999999999954525E-3</v>
      </c>
      <c r="N11" s="439">
        <f>Drift!H37</f>
        <v>1709.21</v>
      </c>
      <c r="O11" s="66">
        <v>1082.7819999999999</v>
      </c>
      <c r="P11" s="66">
        <v>201.255</v>
      </c>
      <c r="Q11" s="66">
        <v>338.834</v>
      </c>
      <c r="R11" s="66">
        <v>0.90700000000000003</v>
      </c>
      <c r="S11" s="66">
        <v>24.811</v>
      </c>
      <c r="T11" s="66">
        <v>7.6150000000000002</v>
      </c>
      <c r="U11" s="66">
        <v>19.934000000000001</v>
      </c>
      <c r="V11" s="66">
        <v>30.53</v>
      </c>
      <c r="W11" s="66">
        <v>2.5419999999999998</v>
      </c>
      <c r="X11" s="438">
        <f t="shared" si="1"/>
        <v>0</v>
      </c>
      <c r="Y11" s="441">
        <v>14.522</v>
      </c>
      <c r="Z11" s="66">
        <v>3.9740000000000002</v>
      </c>
      <c r="AA11" s="66">
        <v>594.24599999999998</v>
      </c>
      <c r="AB11" s="66">
        <v>13.521000000000001</v>
      </c>
      <c r="AC11" s="99">
        <v>410.25099999999998</v>
      </c>
      <c r="AD11" s="2209"/>
    </row>
    <row r="12" spans="1:30" ht="12.95" customHeight="1">
      <c r="A12" s="558">
        <v>359</v>
      </c>
      <c r="B12" s="564" t="s">
        <v>136</v>
      </c>
      <c r="C12" s="83">
        <f>Drift!F42</f>
        <v>752.59799999999996</v>
      </c>
      <c r="D12" s="66">
        <v>230.16399999999999</v>
      </c>
      <c r="E12" s="66">
        <v>136.85400000000001</v>
      </c>
      <c r="F12" s="66">
        <v>346.69600000000003</v>
      </c>
      <c r="G12" s="66">
        <v>17.692</v>
      </c>
      <c r="H12" s="66">
        <v>0.104</v>
      </c>
      <c r="I12" s="66">
        <v>5.3090000000000002</v>
      </c>
      <c r="J12" s="1228">
        <v>0</v>
      </c>
      <c r="K12" s="186">
        <v>15.552</v>
      </c>
      <c r="L12" s="186">
        <v>0.22700000000000001</v>
      </c>
      <c r="M12" s="438">
        <f t="shared" si="0"/>
        <v>0</v>
      </c>
      <c r="N12" s="439">
        <f>Drift!H42</f>
        <v>1984.425</v>
      </c>
      <c r="O12" s="66">
        <v>1763.9690000000001</v>
      </c>
      <c r="P12" s="66">
        <v>63.603999999999999</v>
      </c>
      <c r="Q12" s="66">
        <v>127.768</v>
      </c>
      <c r="R12" s="66">
        <v>11.965</v>
      </c>
      <c r="S12" s="66">
        <v>7.4999999999999997E-2</v>
      </c>
      <c r="T12" s="66">
        <v>0.90700000000000003</v>
      </c>
      <c r="U12" s="66">
        <v>3.6230000000000002</v>
      </c>
      <c r="V12" s="66">
        <v>12.775</v>
      </c>
      <c r="W12" s="66">
        <v>-0.25</v>
      </c>
      <c r="X12" s="438">
        <f t="shared" si="1"/>
        <v>-1.1000000000194632E-2</v>
      </c>
      <c r="Y12" s="441">
        <v>20.263999999999999</v>
      </c>
      <c r="Z12" s="66">
        <v>9.0999999999999998E-2</v>
      </c>
      <c r="AA12" s="66">
        <v>333.90699999999998</v>
      </c>
      <c r="AB12" s="66">
        <v>5.9269999999999996</v>
      </c>
      <c r="AC12" s="99">
        <v>138.81800000000001</v>
      </c>
      <c r="AD12" s="2209"/>
    </row>
    <row r="13" spans="1:30" ht="12.95" customHeight="1">
      <c r="A13" s="558">
        <v>407</v>
      </c>
      <c r="B13" s="564" t="s">
        <v>82</v>
      </c>
      <c r="C13" s="83">
        <f>Drift!F47</f>
        <v>16149.297</v>
      </c>
      <c r="D13" s="54">
        <v>4471.835</v>
      </c>
      <c r="E13" s="54">
        <v>9.7159999999999993</v>
      </c>
      <c r="F13" s="54">
        <v>11245.602000000001</v>
      </c>
      <c r="G13" s="54">
        <v>390.13799999999998</v>
      </c>
      <c r="H13" s="54">
        <v>1.8680000000000001</v>
      </c>
      <c r="I13" s="54">
        <v>27.344000000000001</v>
      </c>
      <c r="J13" s="1222">
        <v>0</v>
      </c>
      <c r="K13" s="55">
        <v>2.7080000000000002</v>
      </c>
      <c r="L13" s="186">
        <v>8.5999999999999993E-2</v>
      </c>
      <c r="M13" s="1260">
        <f>C13-SUM(D13:L13)</f>
        <v>0</v>
      </c>
      <c r="N13" s="439">
        <f>Drift!H47</f>
        <v>8.8849999999999998</v>
      </c>
      <c r="O13" s="54">
        <v>2.9580000000000002</v>
      </c>
      <c r="P13" s="54">
        <v>2.1999999999999999E-2</v>
      </c>
      <c r="Q13" s="54">
        <v>3.0569999999999999</v>
      </c>
      <c r="R13" s="54">
        <v>2.5999999999999999E-2</v>
      </c>
      <c r="S13" s="54">
        <v>9.1999999999999998E-2</v>
      </c>
      <c r="T13" s="54">
        <v>0.122</v>
      </c>
      <c r="U13" s="54">
        <v>0.89800000000000002</v>
      </c>
      <c r="V13" s="54">
        <v>1.7090000000000001</v>
      </c>
      <c r="W13" s="54">
        <v>2E-3</v>
      </c>
      <c r="X13" s="438">
        <f t="shared" si="1"/>
        <v>-9.9999999999944578E-4</v>
      </c>
      <c r="Y13" s="442">
        <v>383.697</v>
      </c>
      <c r="Z13" s="54">
        <v>4.3479999999999999</v>
      </c>
      <c r="AA13" s="54">
        <v>4335.8680000000004</v>
      </c>
      <c r="AB13" s="54">
        <v>13.785</v>
      </c>
      <c r="AC13" s="99">
        <v>997.85199999999998</v>
      </c>
      <c r="AD13" s="2209"/>
    </row>
    <row r="14" spans="1:30" ht="12.95" customHeight="1">
      <c r="A14" s="558">
        <v>412</v>
      </c>
      <c r="B14" s="564" t="s">
        <v>83</v>
      </c>
      <c r="C14" s="83">
        <f>Drift!F48</f>
        <v>641.553</v>
      </c>
      <c r="D14" s="54">
        <v>69.876999999999995</v>
      </c>
      <c r="E14" s="54">
        <v>3.0000000000000001E-3</v>
      </c>
      <c r="F14" s="54">
        <v>565.03399999999999</v>
      </c>
      <c r="G14" s="54">
        <v>3.6579999999999999</v>
      </c>
      <c r="H14" s="54">
        <v>2.4E-2</v>
      </c>
      <c r="I14" s="54">
        <v>7.0000000000000001E-3</v>
      </c>
      <c r="J14" s="1222">
        <v>0</v>
      </c>
      <c r="K14" s="55">
        <v>2.95</v>
      </c>
      <c r="L14" s="186">
        <v>0</v>
      </c>
      <c r="M14" s="1260">
        <f t="shared" si="0"/>
        <v>0</v>
      </c>
      <c r="N14" s="439">
        <f>Drift!H48</f>
        <v>0.42799999999999999</v>
      </c>
      <c r="O14" s="54">
        <v>0.10199999999999999</v>
      </c>
      <c r="P14" s="54">
        <v>3.0000000000000001E-3</v>
      </c>
      <c r="Q14" s="54">
        <v>0.30599999999999999</v>
      </c>
      <c r="R14" s="54">
        <v>0</v>
      </c>
      <c r="S14" s="54">
        <v>3.0000000000000001E-3</v>
      </c>
      <c r="T14" s="54">
        <v>0</v>
      </c>
      <c r="U14" s="54">
        <v>1.4E-2</v>
      </c>
      <c r="V14" s="54">
        <v>0</v>
      </c>
      <c r="W14" s="54">
        <v>0</v>
      </c>
      <c r="X14" s="438">
        <f t="shared" si="1"/>
        <v>0</v>
      </c>
      <c r="Y14" s="442">
        <v>5.2549999999999999</v>
      </c>
      <c r="Z14" s="54">
        <v>2E-3</v>
      </c>
      <c r="AA14" s="54">
        <v>23.234999999999999</v>
      </c>
      <c r="AB14" s="54">
        <v>9.2999999999999999E-2</v>
      </c>
      <c r="AC14" s="99">
        <v>31.77</v>
      </c>
      <c r="AD14" s="2209"/>
    </row>
    <row r="15" spans="1:30" ht="12.95" customHeight="1">
      <c r="A15" s="558">
        <v>425</v>
      </c>
      <c r="B15" s="564" t="s">
        <v>85</v>
      </c>
      <c r="C15" s="83">
        <f>Drift!F50</f>
        <v>2425.3890000000001</v>
      </c>
      <c r="D15" s="54">
        <v>670.01199999999994</v>
      </c>
      <c r="E15" s="54">
        <v>0.504</v>
      </c>
      <c r="F15" s="54">
        <v>1526.95</v>
      </c>
      <c r="G15" s="54">
        <v>174.77600000000001</v>
      </c>
      <c r="H15" s="54">
        <v>0.51200000000000001</v>
      </c>
      <c r="I15" s="54">
        <v>44.540999999999997</v>
      </c>
      <c r="J15" s="1222">
        <v>0</v>
      </c>
      <c r="K15" s="55">
        <v>8.0709999999999997</v>
      </c>
      <c r="L15" s="186">
        <v>2.3E-2</v>
      </c>
      <c r="M15" s="1260">
        <f>C15-SUM(D15:L15)</f>
        <v>0</v>
      </c>
      <c r="N15" s="439">
        <f>Drift!H50</f>
        <v>2.5510000000000002</v>
      </c>
      <c r="O15" s="54">
        <v>0.44500000000000001</v>
      </c>
      <c r="P15" s="54">
        <v>1.36</v>
      </c>
      <c r="Q15" s="54">
        <v>0.438</v>
      </c>
      <c r="R15" s="54">
        <v>3.0000000000000001E-3</v>
      </c>
      <c r="S15" s="54">
        <v>0.02</v>
      </c>
      <c r="T15" s="54">
        <v>0.02</v>
      </c>
      <c r="U15" s="54">
        <v>9.9000000000000005E-2</v>
      </c>
      <c r="V15" s="54">
        <v>0.155</v>
      </c>
      <c r="W15" s="54">
        <v>0.01</v>
      </c>
      <c r="X15" s="438">
        <f t="shared" si="1"/>
        <v>9.9999999999988987E-4</v>
      </c>
      <c r="Y15" s="442">
        <v>163.268</v>
      </c>
      <c r="Z15" s="54">
        <v>2.4E-2</v>
      </c>
      <c r="AA15" s="54">
        <v>1161.806</v>
      </c>
      <c r="AB15" s="54">
        <v>1.1779999999999999</v>
      </c>
      <c r="AC15" s="99">
        <v>158.05799999999999</v>
      </c>
      <c r="AD15" s="2209"/>
    </row>
    <row r="16" spans="1:30" ht="20.25" customHeight="1">
      <c r="A16" s="558">
        <v>419</v>
      </c>
      <c r="B16" s="564" t="s">
        <v>158</v>
      </c>
      <c r="C16" s="83">
        <f>SUM(Drift!F46,Drift!F49)</f>
        <v>75.757000000000005</v>
      </c>
      <c r="D16" s="54">
        <v>37.46</v>
      </c>
      <c r="E16" s="54">
        <v>7.4999999999999997E-2</v>
      </c>
      <c r="F16" s="54">
        <v>36.881999999999998</v>
      </c>
      <c r="G16" s="54">
        <v>1.208</v>
      </c>
      <c r="H16" s="54">
        <v>8.5000000000000006E-2</v>
      </c>
      <c r="I16" s="54">
        <v>4.2999999999999997E-2</v>
      </c>
      <c r="J16" s="1222">
        <v>0</v>
      </c>
      <c r="K16" s="55">
        <v>4.0000000000000001E-3</v>
      </c>
      <c r="L16" s="186">
        <v>0</v>
      </c>
      <c r="M16" s="1260">
        <f t="shared" si="0"/>
        <v>0</v>
      </c>
      <c r="N16" s="439">
        <f>SUM(Drift!H46,Drift!H49)</f>
        <v>0.66100000000000003</v>
      </c>
      <c r="O16" s="54">
        <v>0.48499999999999999</v>
      </c>
      <c r="P16" s="54">
        <v>0</v>
      </c>
      <c r="Q16" s="54">
        <v>2E-3</v>
      </c>
      <c r="R16" s="54">
        <v>0</v>
      </c>
      <c r="S16" s="54">
        <v>1E-3</v>
      </c>
      <c r="T16" s="54">
        <v>1E-3</v>
      </c>
      <c r="U16" s="54">
        <v>3.0000000000000001E-3</v>
      </c>
      <c r="V16" s="54">
        <v>0.16900000000000001</v>
      </c>
      <c r="W16" s="54">
        <v>0</v>
      </c>
      <c r="X16" s="438">
        <f t="shared" si="1"/>
        <v>0</v>
      </c>
      <c r="Y16" s="442">
        <v>0.60299999999999998</v>
      </c>
      <c r="Z16" s="54">
        <v>1.615</v>
      </c>
      <c r="AA16" s="54">
        <v>17.64</v>
      </c>
      <c r="AB16" s="54">
        <v>8.5000000000000006E-2</v>
      </c>
      <c r="AC16" s="99">
        <v>8.1959999999999997</v>
      </c>
      <c r="AD16" s="2209"/>
    </row>
    <row r="17" spans="1:30" ht="12.95" customHeight="1">
      <c r="A17" s="558">
        <v>435</v>
      </c>
      <c r="B17" s="564" t="s">
        <v>486</v>
      </c>
      <c r="C17" s="83">
        <f>Drift!F53</f>
        <v>924.87199999999996</v>
      </c>
      <c r="D17" s="54">
        <v>262.21899999999999</v>
      </c>
      <c r="E17" s="54">
        <v>0.14099999999999999</v>
      </c>
      <c r="F17" s="54">
        <v>590.47699999999998</v>
      </c>
      <c r="G17" s="54">
        <v>54.356999999999999</v>
      </c>
      <c r="H17" s="54">
        <v>0.623</v>
      </c>
      <c r="I17" s="54">
        <v>13.956</v>
      </c>
      <c r="J17" s="1222">
        <v>0</v>
      </c>
      <c r="K17" s="55">
        <v>2.988</v>
      </c>
      <c r="L17" s="186">
        <v>0.11</v>
      </c>
      <c r="M17" s="1260">
        <f t="shared" si="0"/>
        <v>9.999999998626663E-4</v>
      </c>
      <c r="N17" s="439">
        <f>Drift!H53</f>
        <v>1.5669999999999999</v>
      </c>
      <c r="O17" s="54">
        <v>0.78800000000000003</v>
      </c>
      <c r="P17" s="54">
        <v>2E-3</v>
      </c>
      <c r="Q17" s="54">
        <v>0.44900000000000001</v>
      </c>
      <c r="R17" s="54">
        <v>0.02</v>
      </c>
      <c r="S17" s="54">
        <v>0.06</v>
      </c>
      <c r="T17" s="54">
        <v>1.7000000000000001E-2</v>
      </c>
      <c r="U17" s="54">
        <v>7.4999999999999997E-2</v>
      </c>
      <c r="V17" s="54">
        <v>0.152</v>
      </c>
      <c r="W17" s="54">
        <v>4.0000000000000001E-3</v>
      </c>
      <c r="X17" s="438">
        <f t="shared" si="1"/>
        <v>0</v>
      </c>
      <c r="Y17" s="442">
        <v>46.505000000000003</v>
      </c>
      <c r="Z17" s="54">
        <v>0.11899999999999999</v>
      </c>
      <c r="AA17" s="54">
        <v>285.26299999999998</v>
      </c>
      <c r="AB17" s="54">
        <v>0.98599999999999999</v>
      </c>
      <c r="AC17" s="99">
        <v>59.043999999999997</v>
      </c>
      <c r="AD17" s="2209"/>
    </row>
    <row r="18" spans="1:30" ht="12.95" customHeight="1">
      <c r="A18" s="558">
        <v>440</v>
      </c>
      <c r="B18" s="564" t="s">
        <v>382</v>
      </c>
      <c r="C18" s="83">
        <f>Drift!F54</f>
        <v>18917.106</v>
      </c>
      <c r="D18" s="54">
        <v>4307.8320000000003</v>
      </c>
      <c r="E18" s="54">
        <v>17.359000000000002</v>
      </c>
      <c r="F18" s="54">
        <v>12703.766</v>
      </c>
      <c r="G18" s="54">
        <v>1478.9970000000001</v>
      </c>
      <c r="H18" s="54">
        <v>26.965</v>
      </c>
      <c r="I18" s="54">
        <v>314.86099999999999</v>
      </c>
      <c r="J18" s="1222">
        <v>0</v>
      </c>
      <c r="K18" s="55">
        <v>63.308999999999997</v>
      </c>
      <c r="L18" s="186">
        <v>4.0179999999999998</v>
      </c>
      <c r="M18" s="1260">
        <f t="shared" si="0"/>
        <v>-1.0000000038417056E-3</v>
      </c>
      <c r="N18" s="439">
        <f>Drift!H54</f>
        <v>46.853999999999999</v>
      </c>
      <c r="O18" s="54">
        <v>11.276999999999999</v>
      </c>
      <c r="P18" s="54">
        <v>8.2609999999999992</v>
      </c>
      <c r="Q18" s="54">
        <v>9.9640000000000004</v>
      </c>
      <c r="R18" s="54">
        <v>0.42499999999999999</v>
      </c>
      <c r="S18" s="54">
        <v>3.96</v>
      </c>
      <c r="T18" s="54">
        <v>1.7789999999999999</v>
      </c>
      <c r="U18" s="54">
        <v>5.7190000000000003</v>
      </c>
      <c r="V18" s="54">
        <v>5.4260000000000002</v>
      </c>
      <c r="W18" s="54">
        <v>4.2000000000000003E-2</v>
      </c>
      <c r="X18" s="438">
        <f t="shared" si="1"/>
        <v>9.9999999999766942E-4</v>
      </c>
      <c r="Y18" s="442">
        <v>1455.769</v>
      </c>
      <c r="Z18" s="54">
        <v>4.6230000000000002</v>
      </c>
      <c r="AA18" s="54">
        <v>10257.205</v>
      </c>
      <c r="AB18" s="54">
        <v>31.343</v>
      </c>
      <c r="AC18" s="99">
        <v>1133.0050000000001</v>
      </c>
      <c r="AD18" s="2209"/>
    </row>
    <row r="19" spans="1:30" ht="12.95" customHeight="1">
      <c r="A19" s="558">
        <v>443</v>
      </c>
      <c r="B19" s="564" t="s">
        <v>625</v>
      </c>
      <c r="C19" s="83">
        <f>Drift!F55</f>
        <v>637.79200000000003</v>
      </c>
      <c r="D19" s="54">
        <v>74.3</v>
      </c>
      <c r="E19" s="54">
        <v>0.02</v>
      </c>
      <c r="F19" s="54">
        <v>248.745</v>
      </c>
      <c r="G19" s="54">
        <v>294.35500000000002</v>
      </c>
      <c r="H19" s="54">
        <v>3.5219999999999998</v>
      </c>
      <c r="I19" s="54">
        <v>11.098000000000001</v>
      </c>
      <c r="J19" s="1222">
        <v>0</v>
      </c>
      <c r="K19" s="55">
        <v>5.7519999999999998</v>
      </c>
      <c r="L19" s="186">
        <v>0</v>
      </c>
      <c r="M19" s="1260">
        <f t="shared" si="0"/>
        <v>0</v>
      </c>
      <c r="N19" s="439">
        <f>Drift!H55</f>
        <v>0.93200000000000005</v>
      </c>
      <c r="O19" s="54">
        <v>3.5999999999999997E-2</v>
      </c>
      <c r="P19" s="54">
        <v>1E-3</v>
      </c>
      <c r="Q19" s="54">
        <v>0.78200000000000003</v>
      </c>
      <c r="R19" s="54">
        <v>1E-3</v>
      </c>
      <c r="S19" s="54">
        <v>2.8000000000000001E-2</v>
      </c>
      <c r="T19" s="54">
        <v>1E-3</v>
      </c>
      <c r="U19" s="54">
        <v>2.3E-2</v>
      </c>
      <c r="V19" s="54">
        <v>5.8999999999999997E-2</v>
      </c>
      <c r="W19" s="54">
        <v>1E-3</v>
      </c>
      <c r="X19" s="438">
        <f t="shared" si="1"/>
        <v>0</v>
      </c>
      <c r="Y19" s="442">
        <v>307.85399999999998</v>
      </c>
      <c r="Z19" s="54">
        <v>1.2999999999999999E-2</v>
      </c>
      <c r="AA19" s="54">
        <v>115.876</v>
      </c>
      <c r="AB19" s="54">
        <v>0.30599999999999999</v>
      </c>
      <c r="AC19" s="99">
        <v>23.895</v>
      </c>
      <c r="AD19" s="2209"/>
    </row>
    <row r="20" spans="1:30" ht="12.95" customHeight="1">
      <c r="A20" s="558">
        <v>450</v>
      </c>
      <c r="B20" s="564" t="s">
        <v>137</v>
      </c>
      <c r="C20" s="83">
        <f>Drift!F56</f>
        <v>21332.955999999998</v>
      </c>
      <c r="D20" s="54">
        <v>1127.579</v>
      </c>
      <c r="E20" s="54">
        <v>10.593</v>
      </c>
      <c r="F20" s="54">
        <v>9768.4390000000003</v>
      </c>
      <c r="G20" s="54">
        <v>7301.5159999999996</v>
      </c>
      <c r="H20" s="54">
        <v>441.86700000000002</v>
      </c>
      <c r="I20" s="54">
        <v>123.294</v>
      </c>
      <c r="J20" s="1222">
        <v>0</v>
      </c>
      <c r="K20" s="55">
        <v>2543.3649999999998</v>
      </c>
      <c r="L20" s="186">
        <v>16.303000000000001</v>
      </c>
      <c r="M20" s="1260">
        <f t="shared" si="0"/>
        <v>0</v>
      </c>
      <c r="N20" s="439">
        <f>Drift!H56</f>
        <v>261.65800000000002</v>
      </c>
      <c r="O20" s="54">
        <v>12.907999999999999</v>
      </c>
      <c r="P20" s="54">
        <v>2.1269999999999998</v>
      </c>
      <c r="Q20" s="54">
        <v>57.731999999999999</v>
      </c>
      <c r="R20" s="54">
        <v>2.7639999999999998</v>
      </c>
      <c r="S20" s="54">
        <v>1.0429999999999999</v>
      </c>
      <c r="T20" s="54">
        <v>2.6179999999999999</v>
      </c>
      <c r="U20" s="54">
        <v>8.0169999999999995</v>
      </c>
      <c r="V20" s="54">
        <v>173.09299999999999</v>
      </c>
      <c r="W20" s="54">
        <v>1.3560000000000001</v>
      </c>
      <c r="X20" s="438">
        <f t="shared" si="1"/>
        <v>0</v>
      </c>
      <c r="Y20" s="442">
        <v>7387.3770000000004</v>
      </c>
      <c r="Z20" s="54">
        <v>11.909000000000001</v>
      </c>
      <c r="AA20" s="54">
        <v>2286.0859999999998</v>
      </c>
      <c r="AB20" s="54">
        <v>52.107999999999997</v>
      </c>
      <c r="AC20" s="99">
        <v>780.98699999999997</v>
      </c>
      <c r="AD20" s="2209"/>
    </row>
    <row r="21" spans="1:30" ht="12.95" customHeight="1">
      <c r="A21" s="558">
        <v>453</v>
      </c>
      <c r="B21" s="564" t="s">
        <v>138</v>
      </c>
      <c r="C21" s="83">
        <f>Drift!F57</f>
        <v>1092.3109999999999</v>
      </c>
      <c r="D21" s="54">
        <v>51.34</v>
      </c>
      <c r="E21" s="54">
        <v>0.42799999999999999</v>
      </c>
      <c r="F21" s="54">
        <v>219.25700000000001</v>
      </c>
      <c r="G21" s="54">
        <v>596.47900000000004</v>
      </c>
      <c r="H21" s="54">
        <v>49.197000000000003</v>
      </c>
      <c r="I21" s="54">
        <v>2.7810000000000001</v>
      </c>
      <c r="J21" s="1222">
        <v>0</v>
      </c>
      <c r="K21" s="55">
        <v>172.708</v>
      </c>
      <c r="L21" s="186">
        <v>0.12</v>
      </c>
      <c r="M21" s="1260">
        <f t="shared" si="0"/>
        <v>9.9999999997635314E-4</v>
      </c>
      <c r="N21" s="439">
        <f>Drift!H57</f>
        <v>2.6760000000000002</v>
      </c>
      <c r="O21" s="54">
        <v>0.55800000000000005</v>
      </c>
      <c r="P21" s="54">
        <v>0</v>
      </c>
      <c r="Q21" s="54">
        <v>0.158</v>
      </c>
      <c r="R21" s="54">
        <v>1E-3</v>
      </c>
      <c r="S21" s="54">
        <v>0.36099999999999999</v>
      </c>
      <c r="T21" s="54">
        <v>0.23699999999999999</v>
      </c>
      <c r="U21" s="54">
        <v>0.21299999999999999</v>
      </c>
      <c r="V21" s="54">
        <v>1.119</v>
      </c>
      <c r="W21" s="54">
        <v>2.8000000000000001E-2</v>
      </c>
      <c r="X21" s="438">
        <f t="shared" si="1"/>
        <v>9.9999999999988987E-4</v>
      </c>
      <c r="Y21" s="442">
        <v>600.46900000000005</v>
      </c>
      <c r="Z21" s="54">
        <v>3.0000000000000001E-3</v>
      </c>
      <c r="AA21" s="54">
        <v>62.066000000000003</v>
      </c>
      <c r="AB21" s="54">
        <v>0.34100000000000003</v>
      </c>
      <c r="AC21" s="99">
        <v>22.518999999999998</v>
      </c>
      <c r="AD21" s="2209"/>
    </row>
    <row r="22" spans="1:30" ht="12.95" customHeight="1">
      <c r="A22" s="558" t="s">
        <v>493</v>
      </c>
      <c r="B22" s="564" t="s">
        <v>383</v>
      </c>
      <c r="C22" s="83">
        <f>Drift!F60</f>
        <v>512.37199999999996</v>
      </c>
      <c r="D22" s="54">
        <v>29.722999999999999</v>
      </c>
      <c r="E22" s="54">
        <v>2.1320000000000001</v>
      </c>
      <c r="F22" s="54">
        <v>280.202</v>
      </c>
      <c r="G22" s="54">
        <v>74.825000000000003</v>
      </c>
      <c r="H22" s="54">
        <v>0.21199999999999999</v>
      </c>
      <c r="I22" s="54">
        <v>0.10299999999999999</v>
      </c>
      <c r="J22" s="1222">
        <v>0</v>
      </c>
      <c r="K22" s="55">
        <v>125.175</v>
      </c>
      <c r="L22" s="186">
        <v>0</v>
      </c>
      <c r="M22" s="1260">
        <f t="shared" si="0"/>
        <v>0</v>
      </c>
      <c r="N22" s="439">
        <f>Drift!H60</f>
        <v>3.972</v>
      </c>
      <c r="O22" s="54">
        <v>0.28100000000000003</v>
      </c>
      <c r="P22" s="54">
        <v>0</v>
      </c>
      <c r="Q22" s="54">
        <v>1.2999999999999999E-2</v>
      </c>
      <c r="R22" s="54">
        <v>4.8000000000000001E-2</v>
      </c>
      <c r="S22" s="54">
        <v>2E-3</v>
      </c>
      <c r="T22" s="54">
        <v>3.4409999999999998</v>
      </c>
      <c r="U22" s="54">
        <v>0.14699999999999999</v>
      </c>
      <c r="V22" s="54">
        <v>0.04</v>
      </c>
      <c r="W22" s="54">
        <v>0</v>
      </c>
      <c r="X22" s="438">
        <f t="shared" si="1"/>
        <v>0</v>
      </c>
      <c r="Y22" s="442">
        <v>63.585000000000001</v>
      </c>
      <c r="Z22" s="54">
        <v>0</v>
      </c>
      <c r="AA22" s="54">
        <v>76.403999999999996</v>
      </c>
      <c r="AB22" s="54">
        <v>1.1970000000000001</v>
      </c>
      <c r="AC22" s="99">
        <v>28.898</v>
      </c>
      <c r="AD22" s="2209"/>
    </row>
    <row r="23" spans="1:30" ht="12.95" customHeight="1">
      <c r="A23" s="558" t="s">
        <v>494</v>
      </c>
      <c r="B23" s="564" t="s">
        <v>384</v>
      </c>
      <c r="C23" s="83">
        <f>Drift!F61</f>
        <v>2074.7440000000001</v>
      </c>
      <c r="D23" s="54">
        <v>66.350999999999999</v>
      </c>
      <c r="E23" s="54">
        <v>8.9760000000000009</v>
      </c>
      <c r="F23" s="54">
        <v>1359.662</v>
      </c>
      <c r="G23" s="54">
        <v>413.35700000000003</v>
      </c>
      <c r="H23" s="54">
        <v>22.013000000000002</v>
      </c>
      <c r="I23" s="54">
        <v>4.8899999999999997</v>
      </c>
      <c r="J23" s="1222">
        <v>0</v>
      </c>
      <c r="K23" s="55">
        <v>199.4</v>
      </c>
      <c r="L23" s="186">
        <v>9.5000000000000001E-2</v>
      </c>
      <c r="M23" s="1260">
        <f t="shared" si="0"/>
        <v>0</v>
      </c>
      <c r="N23" s="439">
        <f>Drift!H61</f>
        <v>13.467000000000001</v>
      </c>
      <c r="O23" s="54">
        <v>0.62</v>
      </c>
      <c r="P23" s="54">
        <v>1.2999999999999999E-2</v>
      </c>
      <c r="Q23" s="54">
        <v>2.956</v>
      </c>
      <c r="R23" s="54">
        <v>8.92</v>
      </c>
      <c r="S23" s="54">
        <v>3.0000000000000001E-3</v>
      </c>
      <c r="T23" s="54">
        <v>0.104</v>
      </c>
      <c r="U23" s="54">
        <v>0.377</v>
      </c>
      <c r="V23" s="54">
        <v>0.47399999999999998</v>
      </c>
      <c r="W23" s="54">
        <v>0</v>
      </c>
      <c r="X23" s="438">
        <f t="shared" si="1"/>
        <v>0</v>
      </c>
      <c r="Y23" s="442">
        <v>416.87099999999998</v>
      </c>
      <c r="Z23" s="54">
        <v>1.3919999999999999</v>
      </c>
      <c r="AA23" s="54">
        <v>1407.759</v>
      </c>
      <c r="AB23" s="54">
        <v>33.439</v>
      </c>
      <c r="AC23" s="99">
        <v>211.21100000000001</v>
      </c>
      <c r="AD23" s="2209"/>
    </row>
    <row r="24" spans="1:30" ht="12.95" customHeight="1">
      <c r="A24" s="558">
        <v>474</v>
      </c>
      <c r="B24" s="564" t="s">
        <v>884</v>
      </c>
      <c r="C24" s="83">
        <f>Drift!F63</f>
        <v>24.548999999999999</v>
      </c>
      <c r="D24" s="54">
        <v>7.1999999999999995E-2</v>
      </c>
      <c r="E24" s="54">
        <v>2.3E-2</v>
      </c>
      <c r="F24" s="54">
        <v>1.258</v>
      </c>
      <c r="G24" s="54">
        <v>8.5350000000000001</v>
      </c>
      <c r="H24" s="54">
        <v>1E-3</v>
      </c>
      <c r="I24" s="54">
        <v>5.7000000000000002E-2</v>
      </c>
      <c r="J24" s="1222">
        <v>0</v>
      </c>
      <c r="K24" s="55">
        <v>14.603</v>
      </c>
      <c r="L24" s="186">
        <v>0</v>
      </c>
      <c r="M24" s="438">
        <f t="shared" si="0"/>
        <v>0</v>
      </c>
      <c r="N24" s="439">
        <f>Drift!H63</f>
        <v>7.2999999999999995E-2</v>
      </c>
      <c r="O24" s="54">
        <v>8.0000000000000002E-3</v>
      </c>
      <c r="P24" s="54">
        <v>0</v>
      </c>
      <c r="Q24" s="54">
        <v>4.4999999999999998E-2</v>
      </c>
      <c r="R24" s="54">
        <v>0</v>
      </c>
      <c r="S24" s="54">
        <v>0</v>
      </c>
      <c r="T24" s="54">
        <v>0.01</v>
      </c>
      <c r="U24" s="54">
        <v>8.9999999999999993E-3</v>
      </c>
      <c r="V24" s="54">
        <v>1E-3</v>
      </c>
      <c r="W24" s="54">
        <v>0</v>
      </c>
      <c r="X24" s="438">
        <f t="shared" si="1"/>
        <v>0</v>
      </c>
      <c r="Y24" s="441">
        <v>12.349</v>
      </c>
      <c r="Z24" s="54">
        <v>0</v>
      </c>
      <c r="AA24" s="54">
        <v>5.48</v>
      </c>
      <c r="AB24" s="54">
        <v>0.16</v>
      </c>
      <c r="AC24" s="99">
        <v>1.4750000000000001</v>
      </c>
      <c r="AD24" s="2209"/>
    </row>
    <row r="25" spans="1:30" ht="12.95" customHeight="1">
      <c r="A25" s="558">
        <v>479</v>
      </c>
      <c r="B25" s="564" t="s">
        <v>445</v>
      </c>
      <c r="C25" s="83">
        <f>SUM(Drift!F64,Drift!F65,Drift!F66)</f>
        <v>1208.896</v>
      </c>
      <c r="D25" s="54">
        <v>246.66200000000001</v>
      </c>
      <c r="E25" s="54">
        <v>12.285</v>
      </c>
      <c r="F25" s="54">
        <v>694.99300000000005</v>
      </c>
      <c r="G25" s="54">
        <v>111.254</v>
      </c>
      <c r="H25" s="54">
        <v>5.9930000000000003</v>
      </c>
      <c r="I25" s="54">
        <v>15.496</v>
      </c>
      <c r="J25" s="1222">
        <v>0</v>
      </c>
      <c r="K25" s="55">
        <v>121.943</v>
      </c>
      <c r="L25" s="186">
        <v>0.27</v>
      </c>
      <c r="M25" s="438">
        <f t="shared" si="0"/>
        <v>0</v>
      </c>
      <c r="N25" s="439">
        <f>SUM(Drift!H64:H66)</f>
        <v>70.893000000000001</v>
      </c>
      <c r="O25" s="54">
        <v>12.967000000000001</v>
      </c>
      <c r="P25" s="54">
        <v>0.13</v>
      </c>
      <c r="Q25" s="54">
        <v>3.1709999999999998</v>
      </c>
      <c r="R25" s="54">
        <v>2.5499999999999998</v>
      </c>
      <c r="S25" s="54">
        <v>1.018</v>
      </c>
      <c r="T25" s="54">
        <v>4.9000000000000002E-2</v>
      </c>
      <c r="U25" s="54">
        <v>49.423999999999999</v>
      </c>
      <c r="V25" s="54">
        <v>1.585</v>
      </c>
      <c r="W25" s="54">
        <v>0</v>
      </c>
      <c r="X25" s="438">
        <f t="shared" si="1"/>
        <v>-9.9999999999056399E-4</v>
      </c>
      <c r="Y25" s="442">
        <v>130.124</v>
      </c>
      <c r="Z25" s="54">
        <v>1.823</v>
      </c>
      <c r="AA25" s="54">
        <v>1581.9929999999999</v>
      </c>
      <c r="AB25" s="54">
        <v>14.228999999999999</v>
      </c>
      <c r="AC25" s="99">
        <v>91.798000000000002</v>
      </c>
      <c r="AD25" s="2209"/>
    </row>
    <row r="26" spans="1:30" ht="12.95" customHeight="1">
      <c r="A26" s="558">
        <v>509</v>
      </c>
      <c r="B26" s="564" t="s">
        <v>444</v>
      </c>
      <c r="C26" s="83">
        <f>SUM(Drift!F70,Drift!F71)</f>
        <v>313.16399999999999</v>
      </c>
      <c r="D26" s="66">
        <v>0.25800000000000001</v>
      </c>
      <c r="E26" s="66">
        <v>0</v>
      </c>
      <c r="F26" s="66">
        <v>128.672</v>
      </c>
      <c r="G26" s="66">
        <v>0.36599999999999999</v>
      </c>
      <c r="H26" s="66">
        <v>181.89099999999999</v>
      </c>
      <c r="I26" s="66">
        <v>0</v>
      </c>
      <c r="J26" s="1228">
        <v>0</v>
      </c>
      <c r="K26" s="186">
        <v>0.76700000000000002</v>
      </c>
      <c r="L26" s="186">
        <v>1.2090000000000001</v>
      </c>
      <c r="M26" s="438">
        <f t="shared" si="0"/>
        <v>9.9999999997635314E-4</v>
      </c>
      <c r="N26" s="439">
        <f>SUM(Drift!H70,Drift!H71)</f>
        <v>0.85799999999999998</v>
      </c>
      <c r="O26" s="66">
        <v>0.13500000000000001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0.72299999999999998</v>
      </c>
      <c r="W26" s="66">
        <v>0</v>
      </c>
      <c r="X26" s="438">
        <f t="shared" si="1"/>
        <v>0</v>
      </c>
      <c r="Y26" s="442">
        <v>14.321999999999999</v>
      </c>
      <c r="Z26" s="66">
        <v>73.557000000000002</v>
      </c>
      <c r="AA26" s="66">
        <v>252.95099999999999</v>
      </c>
      <c r="AB26" s="66">
        <v>0</v>
      </c>
      <c r="AC26" s="99">
        <v>12.467000000000001</v>
      </c>
      <c r="AD26" s="2209"/>
    </row>
    <row r="27" spans="1:30" ht="12.95" customHeight="1">
      <c r="A27" s="558">
        <v>510</v>
      </c>
      <c r="B27" s="564" t="s">
        <v>496</v>
      </c>
      <c r="C27" s="83">
        <f>Drift!F73</f>
        <v>20578.592000000001</v>
      </c>
      <c r="D27" s="54">
        <v>1966.962</v>
      </c>
      <c r="E27" s="54">
        <v>440.88499999999999</v>
      </c>
      <c r="F27" s="54">
        <v>17041.315999999999</v>
      </c>
      <c r="G27" s="54">
        <v>168.84399999999999</v>
      </c>
      <c r="H27" s="54">
        <v>209.98400000000001</v>
      </c>
      <c r="I27" s="54">
        <v>8.2639999999999993</v>
      </c>
      <c r="J27" s="1222">
        <v>0</v>
      </c>
      <c r="K27" s="55">
        <v>739.14400000000001</v>
      </c>
      <c r="L27" s="186">
        <v>3.194</v>
      </c>
      <c r="M27" s="438">
        <f t="shared" si="0"/>
        <v>-1.0000000002037268E-3</v>
      </c>
      <c r="N27" s="439">
        <f>Drift!H73</f>
        <v>970.62300000000005</v>
      </c>
      <c r="O27" s="54">
        <v>76.025999999999996</v>
      </c>
      <c r="P27" s="54">
        <v>5.1689999999999996</v>
      </c>
      <c r="Q27" s="54">
        <v>275.36599999999999</v>
      </c>
      <c r="R27" s="54">
        <v>5.0599999999999996</v>
      </c>
      <c r="S27" s="54">
        <v>9.2620000000000005</v>
      </c>
      <c r="T27" s="54">
        <v>25.914999999999999</v>
      </c>
      <c r="U27" s="54">
        <v>10.750999999999999</v>
      </c>
      <c r="V27" s="54">
        <v>562.577</v>
      </c>
      <c r="W27" s="54">
        <v>0.497</v>
      </c>
      <c r="X27" s="438">
        <f t="shared" si="1"/>
        <v>0</v>
      </c>
      <c r="Y27" s="442">
        <v>143.50899999999999</v>
      </c>
      <c r="Z27" s="54">
        <v>126.70699999999999</v>
      </c>
      <c r="AA27" s="54">
        <v>1251.2819999999999</v>
      </c>
      <c r="AB27" s="54">
        <v>31.856999999999999</v>
      </c>
      <c r="AC27" s="99">
        <v>1949.5419999999999</v>
      </c>
      <c r="AD27" s="2209"/>
    </row>
    <row r="28" spans="1:30" ht="18" customHeight="1">
      <c r="A28" s="558">
        <v>520</v>
      </c>
      <c r="B28" s="603" t="s">
        <v>378</v>
      </c>
      <c r="C28" s="83">
        <f>Drift!F74</f>
        <v>3524.5320000000002</v>
      </c>
      <c r="D28" s="54">
        <v>259.13099999999997</v>
      </c>
      <c r="E28" s="54">
        <v>16.329000000000001</v>
      </c>
      <c r="F28" s="54">
        <v>3067.683</v>
      </c>
      <c r="G28" s="54">
        <v>50.054000000000002</v>
      </c>
      <c r="H28" s="54">
        <v>25.417999999999999</v>
      </c>
      <c r="I28" s="54">
        <v>7.76</v>
      </c>
      <c r="J28" s="1222">
        <v>0</v>
      </c>
      <c r="K28" s="54">
        <v>98.150999999999996</v>
      </c>
      <c r="L28" s="54">
        <v>6.0000000000000001E-3</v>
      </c>
      <c r="M28" s="438">
        <f>C28-SUM(D28:L28)</f>
        <v>0</v>
      </c>
      <c r="N28" s="439">
        <f>Drift!H74</f>
        <v>410.03100000000001</v>
      </c>
      <c r="O28" s="54">
        <v>99.823999999999998</v>
      </c>
      <c r="P28" s="54">
        <v>0.77</v>
      </c>
      <c r="Q28" s="54">
        <v>137.91300000000001</v>
      </c>
      <c r="R28" s="54">
        <v>0.77500000000000002</v>
      </c>
      <c r="S28" s="54">
        <v>0.308</v>
      </c>
      <c r="T28" s="54">
        <v>2.6589999999999998</v>
      </c>
      <c r="U28" s="175">
        <v>2.8959999999999999</v>
      </c>
      <c r="V28" s="54">
        <v>164.65899999999999</v>
      </c>
      <c r="W28" s="54">
        <v>0.22600000000000001</v>
      </c>
      <c r="X28" s="438">
        <f>N28-SUM(O28:W28)</f>
        <v>1.0000000000331966E-3</v>
      </c>
      <c r="Y28" s="441">
        <v>33.207000000000001</v>
      </c>
      <c r="Z28" s="54">
        <v>12.566000000000001</v>
      </c>
      <c r="AA28" s="54">
        <v>246.22499999999999</v>
      </c>
      <c r="AB28" s="54">
        <v>2.4449999999999998</v>
      </c>
      <c r="AC28" s="527">
        <v>293.202</v>
      </c>
      <c r="AD28" s="2209"/>
    </row>
    <row r="29" spans="1:30" ht="13.5" customHeight="1">
      <c r="A29" s="558">
        <v>513</v>
      </c>
      <c r="B29" s="1417" t="s">
        <v>379</v>
      </c>
      <c r="C29" s="83">
        <f>Drift!F75</f>
        <v>13272.078</v>
      </c>
      <c r="D29" s="54">
        <v>1547.0809999999999</v>
      </c>
      <c r="E29" s="54">
        <v>267.81299999999999</v>
      </c>
      <c r="F29" s="54">
        <v>10670.759</v>
      </c>
      <c r="G29" s="54">
        <v>297.36399999999998</v>
      </c>
      <c r="H29" s="54">
        <v>98.974999999999994</v>
      </c>
      <c r="I29" s="54">
        <v>13.5</v>
      </c>
      <c r="J29" s="1222">
        <v>0</v>
      </c>
      <c r="K29" s="55">
        <v>375.935</v>
      </c>
      <c r="L29" s="186">
        <v>0.65100000000000002</v>
      </c>
      <c r="M29" s="438">
        <f t="shared" si="0"/>
        <v>0</v>
      </c>
      <c r="N29" s="439">
        <f>Drift!H75</f>
        <v>4925.9530000000004</v>
      </c>
      <c r="O29" s="54">
        <v>11.676</v>
      </c>
      <c r="P29" s="54">
        <v>2.855</v>
      </c>
      <c r="Q29" s="54">
        <v>73.808999999999997</v>
      </c>
      <c r="R29" s="54">
        <v>7.5490000000000004</v>
      </c>
      <c r="S29" s="54">
        <v>1.581</v>
      </c>
      <c r="T29" s="54">
        <v>3.0569999999999999</v>
      </c>
      <c r="U29" s="175">
        <v>4416.2910000000002</v>
      </c>
      <c r="V29" s="54">
        <v>409.12299999999999</v>
      </c>
      <c r="W29" s="54">
        <v>1.0999999999999999E-2</v>
      </c>
      <c r="X29" s="438">
        <f>N29-SUM(O29:W29)</f>
        <v>1.0000000002037268E-3</v>
      </c>
      <c r="Y29" s="441">
        <v>232.511</v>
      </c>
      <c r="Z29" s="54">
        <v>22.748000000000001</v>
      </c>
      <c r="AA29" s="54">
        <v>705.19899999999996</v>
      </c>
      <c r="AB29" s="54">
        <v>11.333</v>
      </c>
      <c r="AC29" s="527">
        <v>6553.6760000000004</v>
      </c>
      <c r="AD29" s="2209"/>
    </row>
    <row r="30" spans="1:30" ht="12.95" customHeight="1">
      <c r="A30" s="558">
        <v>530</v>
      </c>
      <c r="B30" s="1063" t="s">
        <v>103</v>
      </c>
      <c r="C30" s="83">
        <f>Drift!F76</f>
        <v>1778.4960000000001</v>
      </c>
      <c r="D30" s="54">
        <v>0.56899999999999995</v>
      </c>
      <c r="E30" s="54">
        <v>11.920999999999999</v>
      </c>
      <c r="F30" s="54">
        <v>1114.7739999999999</v>
      </c>
      <c r="G30" s="54">
        <v>40.381999999999998</v>
      </c>
      <c r="H30" s="54">
        <v>582.58500000000004</v>
      </c>
      <c r="I30" s="54">
        <v>2.5129999999999999</v>
      </c>
      <c r="J30" s="1222">
        <v>0</v>
      </c>
      <c r="K30" s="55">
        <v>25.751999999999999</v>
      </c>
      <c r="L30" s="186">
        <v>0</v>
      </c>
      <c r="M30" s="438">
        <f t="shared" si="0"/>
        <v>0</v>
      </c>
      <c r="N30" s="439">
        <f>Drift!H76</f>
        <v>36.191000000000003</v>
      </c>
      <c r="O30" s="54">
        <v>4.5999999999999999E-2</v>
      </c>
      <c r="P30" s="54">
        <v>3.0000000000000001E-3</v>
      </c>
      <c r="Q30" s="54">
        <v>2.1000000000000001E-2</v>
      </c>
      <c r="R30" s="54">
        <v>0.248</v>
      </c>
      <c r="S30" s="54">
        <v>35.616</v>
      </c>
      <c r="T30" s="54">
        <v>3.1E-2</v>
      </c>
      <c r="U30" s="54">
        <v>0</v>
      </c>
      <c r="V30" s="54">
        <v>0.22600000000000001</v>
      </c>
      <c r="W30" s="54">
        <v>0</v>
      </c>
      <c r="X30" s="438">
        <f t="shared" si="1"/>
        <v>0</v>
      </c>
      <c r="Y30" s="441">
        <v>36.444000000000003</v>
      </c>
      <c r="Z30" s="54">
        <v>7.0830000000000002</v>
      </c>
      <c r="AA30" s="54">
        <v>4.8179999999999996</v>
      </c>
      <c r="AB30" s="54">
        <v>7.0000000000000007E-2</v>
      </c>
      <c r="AC30" s="99">
        <v>20.094000000000001</v>
      </c>
      <c r="AD30" s="2209"/>
    </row>
    <row r="31" spans="1:30" ht="12.95" customHeight="1">
      <c r="A31" s="558">
        <v>559</v>
      </c>
      <c r="B31" s="1063" t="s">
        <v>206</v>
      </c>
      <c r="C31" s="83">
        <f>Drift!F79</f>
        <v>3142.9270000000001</v>
      </c>
      <c r="D31" s="54">
        <v>324.68400000000003</v>
      </c>
      <c r="E31" s="54">
        <v>8.7260000000000009</v>
      </c>
      <c r="F31" s="54">
        <v>2169.105</v>
      </c>
      <c r="G31" s="54">
        <v>66.682000000000002</v>
      </c>
      <c r="H31" s="54">
        <v>18.768999999999998</v>
      </c>
      <c r="I31" s="54">
        <v>523.34799999999996</v>
      </c>
      <c r="J31" s="1222">
        <v>0</v>
      </c>
      <c r="K31" s="54">
        <v>31.056999999999999</v>
      </c>
      <c r="L31" s="54">
        <v>0.55700000000000005</v>
      </c>
      <c r="M31" s="1260">
        <f t="shared" si="0"/>
        <v>-9.9999999883948476E-4</v>
      </c>
      <c r="N31" s="439">
        <f>Drift!H79</f>
        <v>157.17599999999999</v>
      </c>
      <c r="O31" s="54">
        <v>119.18300000000001</v>
      </c>
      <c r="P31" s="54">
        <v>0.32</v>
      </c>
      <c r="Q31" s="54">
        <v>8.6850000000000005</v>
      </c>
      <c r="R31" s="54">
        <v>0.7</v>
      </c>
      <c r="S31" s="54">
        <v>2.492</v>
      </c>
      <c r="T31" s="54">
        <v>1.06</v>
      </c>
      <c r="U31" s="54">
        <v>1.345</v>
      </c>
      <c r="V31" s="54">
        <v>22.643999999999998</v>
      </c>
      <c r="W31" s="54">
        <v>0.746</v>
      </c>
      <c r="X31" s="1260">
        <f t="shared" si="1"/>
        <v>1.0000000000047748E-3</v>
      </c>
      <c r="Y31" s="441">
        <v>68.588999999999999</v>
      </c>
      <c r="Z31" s="66">
        <v>3.206</v>
      </c>
      <c r="AA31" s="66">
        <v>177.405</v>
      </c>
      <c r="AB31" s="66">
        <v>3.9969999999999999</v>
      </c>
      <c r="AC31" s="178">
        <v>175.553</v>
      </c>
      <c r="AD31" s="2209"/>
    </row>
    <row r="32" spans="1:30" ht="12.95" customHeight="1">
      <c r="A32" s="558">
        <v>552</v>
      </c>
      <c r="B32" s="564" t="s">
        <v>139</v>
      </c>
      <c r="C32" s="54"/>
      <c r="D32" s="54">
        <v>141.38300000000001</v>
      </c>
      <c r="E32" s="54">
        <v>2.8719999999999999</v>
      </c>
      <c r="F32" s="54">
        <v>1188.125</v>
      </c>
      <c r="G32" s="54">
        <v>32.429000000000002</v>
      </c>
      <c r="H32" s="54">
        <v>13.82</v>
      </c>
      <c r="I32" s="54">
        <v>477.09399999999999</v>
      </c>
      <c r="J32" s="1222">
        <v>0</v>
      </c>
      <c r="K32" s="54">
        <v>15.641999999999999</v>
      </c>
      <c r="L32" s="54">
        <v>0.23899999999999999</v>
      </c>
      <c r="M32" s="1260" t="str">
        <f>IF(OR(C32="",C32=0),"",C32-SUM(D32:L32))</f>
        <v/>
      </c>
      <c r="N32" s="54"/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1260" t="str">
        <f>IF(OR(N32="",N32=0),"",N32-SUM(O32:W32))</f>
        <v/>
      </c>
      <c r="Y32" s="442">
        <v>37.994999999999997</v>
      </c>
      <c r="Z32" s="54">
        <v>0.58799999999999997</v>
      </c>
      <c r="AA32" s="54">
        <v>55.1</v>
      </c>
      <c r="AB32" s="54">
        <v>0.55000000000000004</v>
      </c>
      <c r="AC32" s="178">
        <v>78.263000000000005</v>
      </c>
      <c r="AD32" s="2209"/>
    </row>
    <row r="33" spans="1:30" ht="12.95" customHeight="1">
      <c r="A33" s="558">
        <v>569</v>
      </c>
      <c r="B33" s="559" t="s">
        <v>107</v>
      </c>
      <c r="C33" s="83">
        <f>Drift!F80</f>
        <v>8071.8059999999996</v>
      </c>
      <c r="D33" s="54">
        <v>240.09700000000001</v>
      </c>
      <c r="E33" s="54">
        <v>32.79</v>
      </c>
      <c r="F33" s="54">
        <v>6351.4260000000004</v>
      </c>
      <c r="G33" s="54">
        <v>150.24</v>
      </c>
      <c r="H33" s="54">
        <v>68.930999999999997</v>
      </c>
      <c r="I33" s="54">
        <v>1191.2429999999999</v>
      </c>
      <c r="J33" s="1222">
        <v>0</v>
      </c>
      <c r="K33" s="54">
        <v>34.124000000000002</v>
      </c>
      <c r="L33" s="54">
        <v>2.9550000000000001</v>
      </c>
      <c r="M33" s="1260">
        <f t="shared" si="0"/>
        <v>0</v>
      </c>
      <c r="N33" s="439">
        <f>Drift!H80</f>
        <v>127.663</v>
      </c>
      <c r="O33" s="54">
        <v>24.68</v>
      </c>
      <c r="P33" s="54">
        <v>0.622</v>
      </c>
      <c r="Q33" s="54">
        <v>17.111000000000001</v>
      </c>
      <c r="R33" s="54">
        <v>3.0169999999999999</v>
      </c>
      <c r="S33" s="54">
        <v>4.8550000000000004</v>
      </c>
      <c r="T33" s="54">
        <v>2.6669999999999998</v>
      </c>
      <c r="U33" s="54">
        <v>4.1689999999999996</v>
      </c>
      <c r="V33" s="54">
        <v>70.531999999999996</v>
      </c>
      <c r="W33" s="54">
        <v>0.01</v>
      </c>
      <c r="X33" s="1260">
        <f t="shared" si="1"/>
        <v>0</v>
      </c>
      <c r="Y33" s="442">
        <v>135.67500000000001</v>
      </c>
      <c r="Z33" s="54">
        <v>40.363</v>
      </c>
      <c r="AA33" s="54">
        <v>1005.218</v>
      </c>
      <c r="AB33" s="54">
        <v>1.706</v>
      </c>
      <c r="AC33" s="178">
        <v>550.63</v>
      </c>
      <c r="AD33" s="2209"/>
    </row>
    <row r="34" spans="1:30" ht="12.95" customHeight="1">
      <c r="A34" s="558">
        <v>554</v>
      </c>
      <c r="B34" s="564" t="s">
        <v>210</v>
      </c>
      <c r="C34" s="54"/>
      <c r="D34" s="54">
        <v>115.05200000000001</v>
      </c>
      <c r="E34" s="54">
        <v>6.1449999999999996</v>
      </c>
      <c r="F34" s="54">
        <v>3438.143</v>
      </c>
      <c r="G34" s="54">
        <v>41.384</v>
      </c>
      <c r="H34" s="54">
        <v>16.593</v>
      </c>
      <c r="I34" s="54">
        <v>1075.1410000000001</v>
      </c>
      <c r="J34" s="1222">
        <v>0</v>
      </c>
      <c r="K34" s="54">
        <v>20.105</v>
      </c>
      <c r="L34" s="54">
        <v>2.6549999999999998</v>
      </c>
      <c r="M34" s="1260" t="str">
        <f>IF(OR(C34="",C34=0),"",C34-SUM(D34:L34))</f>
        <v/>
      </c>
      <c r="N34" s="54"/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1260" t="str">
        <f>IF(OR(N34="",N34=0),"",N34-SUM(O34:W34))</f>
        <v/>
      </c>
      <c r="Y34" s="442">
        <v>44.418999999999997</v>
      </c>
      <c r="Z34" s="54">
        <v>3.4940000000000002</v>
      </c>
      <c r="AA34" s="54">
        <v>260.47699999999998</v>
      </c>
      <c r="AB34" s="54">
        <v>0.36899999999999999</v>
      </c>
      <c r="AC34" s="178">
        <v>221.15799999999999</v>
      </c>
      <c r="AD34" s="2209"/>
    </row>
    <row r="35" spans="1:30" ht="12.95" customHeight="1">
      <c r="A35" s="558">
        <v>580</v>
      </c>
      <c r="B35" s="564" t="s">
        <v>140</v>
      </c>
      <c r="C35" s="83">
        <f>SUM(Drift!F81,Drift!F82,Drift!F84)</f>
        <v>1152.1369999999999</v>
      </c>
      <c r="D35" s="54">
        <v>136.60400000000001</v>
      </c>
      <c r="E35" s="54">
        <v>4.8529999999999998</v>
      </c>
      <c r="F35" s="54">
        <v>839.17600000000004</v>
      </c>
      <c r="G35" s="54">
        <v>131.45400000000001</v>
      </c>
      <c r="H35" s="54">
        <v>8.5540000000000003</v>
      </c>
      <c r="I35" s="54">
        <v>7.2030000000000003</v>
      </c>
      <c r="J35" s="1222">
        <v>0</v>
      </c>
      <c r="K35" s="55">
        <v>24.294</v>
      </c>
      <c r="L35" s="186">
        <v>0</v>
      </c>
      <c r="M35" s="1260">
        <f t="shared" si="0"/>
        <v>-1.0000000002037268E-3</v>
      </c>
      <c r="N35" s="439">
        <f>SUM(Drift!H81,Drift!H82,Drift!H84)</f>
        <v>11138.509999999998</v>
      </c>
      <c r="O35" s="54">
        <v>256.05399999999997</v>
      </c>
      <c r="P35" s="54">
        <v>1.6870000000000001</v>
      </c>
      <c r="Q35" s="54">
        <v>39.048000000000002</v>
      </c>
      <c r="R35" s="54">
        <v>2.1909999999999998</v>
      </c>
      <c r="S35" s="54">
        <v>3.875</v>
      </c>
      <c r="T35" s="54">
        <v>7.7590000000000003</v>
      </c>
      <c r="U35" s="54">
        <v>1.1120000000000001</v>
      </c>
      <c r="V35" s="54">
        <v>10826.784</v>
      </c>
      <c r="W35" s="54">
        <v>-1E-3</v>
      </c>
      <c r="X35" s="1260">
        <f t="shared" si="1"/>
        <v>9.9999999838473741E-4</v>
      </c>
      <c r="Y35" s="441">
        <v>118.935</v>
      </c>
      <c r="Z35" s="54">
        <v>1.29</v>
      </c>
      <c r="AA35" s="54">
        <v>793.41899999999998</v>
      </c>
      <c r="AB35" s="54">
        <v>20.824999999999999</v>
      </c>
      <c r="AC35" s="99">
        <v>276.673</v>
      </c>
      <c r="AD35" s="2209"/>
    </row>
    <row r="36" spans="1:30" ht="12.95" customHeight="1">
      <c r="A36" s="558">
        <v>600</v>
      </c>
      <c r="B36" s="559" t="s">
        <v>114</v>
      </c>
      <c r="C36" s="83">
        <f>Drift!F87</f>
        <v>2201.4949999999999</v>
      </c>
      <c r="D36" s="66">
        <v>96.216999999999999</v>
      </c>
      <c r="E36" s="66">
        <v>2.0859999999999999</v>
      </c>
      <c r="F36" s="66">
        <v>1767.8489999999999</v>
      </c>
      <c r="G36" s="66">
        <v>67.233999999999995</v>
      </c>
      <c r="H36" s="66">
        <v>10.654999999999999</v>
      </c>
      <c r="I36" s="66">
        <v>197.04300000000001</v>
      </c>
      <c r="J36" s="1228">
        <v>0</v>
      </c>
      <c r="K36" s="186">
        <v>60.41</v>
      </c>
      <c r="L36" s="186">
        <v>0</v>
      </c>
      <c r="M36" s="438">
        <f t="shared" si="0"/>
        <v>1.0000000002037268E-3</v>
      </c>
      <c r="N36" s="439">
        <f>Drift!H87</f>
        <v>1275.6300000000001</v>
      </c>
      <c r="O36" s="66">
        <v>156.40100000000001</v>
      </c>
      <c r="P36" s="66">
        <v>1.7450000000000001</v>
      </c>
      <c r="Q36" s="66">
        <v>16.373999999999999</v>
      </c>
      <c r="R36" s="66">
        <v>2.573</v>
      </c>
      <c r="S36" s="66">
        <v>0.41399999999999998</v>
      </c>
      <c r="T36" s="66">
        <v>0.41799999999999998</v>
      </c>
      <c r="U36" s="66">
        <v>13.552</v>
      </c>
      <c r="V36" s="66">
        <v>1084.153</v>
      </c>
      <c r="W36" s="66">
        <v>0</v>
      </c>
      <c r="X36" s="438">
        <f t="shared" si="1"/>
        <v>0</v>
      </c>
      <c r="Y36" s="442">
        <v>56.518999999999998</v>
      </c>
      <c r="Z36" s="66">
        <v>23.132999999999999</v>
      </c>
      <c r="AA36" s="66">
        <v>8888.2630000000008</v>
      </c>
      <c r="AB36" s="66">
        <v>35.975999999999999</v>
      </c>
      <c r="AC36" s="99">
        <v>272.73</v>
      </c>
      <c r="AD36" s="2209"/>
    </row>
    <row r="37" spans="1:30" ht="12.95" customHeight="1">
      <c r="A37" s="558">
        <v>610</v>
      </c>
      <c r="B37" s="564" t="s">
        <v>141</v>
      </c>
      <c r="C37" s="83">
        <f>Drift!F88</f>
        <v>182.63300000000001</v>
      </c>
      <c r="D37" s="54">
        <v>38.517000000000003</v>
      </c>
      <c r="E37" s="54">
        <v>14.348000000000001</v>
      </c>
      <c r="F37" s="54">
        <v>78.903000000000006</v>
      </c>
      <c r="G37" s="54">
        <v>15.804</v>
      </c>
      <c r="H37" s="54">
        <v>4.891</v>
      </c>
      <c r="I37" s="54">
        <v>8.4190000000000005</v>
      </c>
      <c r="J37" s="1222">
        <v>0</v>
      </c>
      <c r="K37" s="55">
        <v>21.751000000000001</v>
      </c>
      <c r="L37" s="186">
        <v>0</v>
      </c>
      <c r="M37" s="438">
        <f t="shared" si="0"/>
        <v>0</v>
      </c>
      <c r="N37" s="439">
        <f>Drift!H88</f>
        <v>143.75</v>
      </c>
      <c r="O37" s="54">
        <v>63.08</v>
      </c>
      <c r="P37" s="54">
        <v>10.018000000000001</v>
      </c>
      <c r="Q37" s="54">
        <v>21.715</v>
      </c>
      <c r="R37" s="54">
        <v>1.8720000000000001</v>
      </c>
      <c r="S37" s="54">
        <v>1.2310000000000001</v>
      </c>
      <c r="T37" s="54">
        <v>23.495999999999999</v>
      </c>
      <c r="U37" s="54">
        <v>1.9350000000000001</v>
      </c>
      <c r="V37" s="54">
        <v>20.404</v>
      </c>
      <c r="W37" s="54">
        <v>0</v>
      </c>
      <c r="X37" s="438">
        <f t="shared" si="1"/>
        <v>-1.0000000000047748E-3</v>
      </c>
      <c r="Y37" s="442">
        <v>58.149000000000001</v>
      </c>
      <c r="Z37" s="54">
        <v>0.60799999999999998</v>
      </c>
      <c r="AA37" s="54">
        <v>4394.0659999999998</v>
      </c>
      <c r="AB37" s="54">
        <v>153.53200000000001</v>
      </c>
      <c r="AC37" s="99">
        <v>221.446</v>
      </c>
      <c r="AD37" s="2209"/>
    </row>
    <row r="38" spans="1:30" ht="12.95" customHeight="1">
      <c r="A38" s="558">
        <v>890</v>
      </c>
      <c r="B38" s="564" t="s">
        <v>142</v>
      </c>
      <c r="C38" s="83">
        <f>Drift!F109</f>
        <v>5656.8559999999998</v>
      </c>
      <c r="D38" s="54">
        <v>8.5419999999999998</v>
      </c>
      <c r="E38" s="54">
        <v>2199.2370000000001</v>
      </c>
      <c r="F38" s="54">
        <v>2637.3040000000001</v>
      </c>
      <c r="G38" s="54">
        <v>168.143</v>
      </c>
      <c r="H38" s="54">
        <v>283.91300000000001</v>
      </c>
      <c r="I38" s="54">
        <v>65.236000000000004</v>
      </c>
      <c r="J38" s="1222">
        <v>0</v>
      </c>
      <c r="K38" s="55">
        <v>284.45299999999997</v>
      </c>
      <c r="L38" s="186">
        <v>10.031000000000001</v>
      </c>
      <c r="M38" s="438">
        <f t="shared" si="0"/>
        <v>-3.0000000015206751E-3</v>
      </c>
      <c r="N38" s="439">
        <f>Drift!H109</f>
        <v>1208.8249999999998</v>
      </c>
      <c r="O38" s="54">
        <v>16.77</v>
      </c>
      <c r="P38" s="54">
        <v>381.714</v>
      </c>
      <c r="Q38" s="54">
        <v>390.93900000000002</v>
      </c>
      <c r="R38" s="54">
        <v>3.3410000000000002</v>
      </c>
      <c r="S38" s="54">
        <v>193.92500000000001</v>
      </c>
      <c r="T38" s="54">
        <v>192.36199999999999</v>
      </c>
      <c r="U38" s="54">
        <v>23.792000000000002</v>
      </c>
      <c r="V38" s="54">
        <v>3.3079999999999998</v>
      </c>
      <c r="W38" s="54">
        <v>2.6669999999999998</v>
      </c>
      <c r="X38" s="438">
        <f t="shared" si="1"/>
        <v>6.999999999834472E-3</v>
      </c>
      <c r="Y38" s="442">
        <v>172.50399999999999</v>
      </c>
      <c r="Z38" s="54">
        <v>25.451000000000001</v>
      </c>
      <c r="AA38" s="54">
        <v>359.88600000000002</v>
      </c>
      <c r="AB38" s="54">
        <v>11.391999999999999</v>
      </c>
      <c r="AC38" s="99">
        <v>4480.5060000000003</v>
      </c>
      <c r="AD38" s="2209"/>
    </row>
    <row r="39" spans="1:30" ht="12.95" customHeight="1">
      <c r="A39" s="558">
        <v>940</v>
      </c>
      <c r="B39" s="564" t="s">
        <v>143</v>
      </c>
      <c r="C39" s="83">
        <f>SUM(Drift!F111:F112)</f>
        <v>932.01600000000008</v>
      </c>
      <c r="D39" s="54">
        <v>8.5139999999999993</v>
      </c>
      <c r="E39" s="54">
        <v>360.81099999999998</v>
      </c>
      <c r="F39" s="54">
        <v>305.58699999999999</v>
      </c>
      <c r="G39" s="54">
        <v>172.11799999999999</v>
      </c>
      <c r="H39" s="54">
        <v>10.904</v>
      </c>
      <c r="I39" s="54">
        <v>1.4019999999999999</v>
      </c>
      <c r="J39" s="1222">
        <v>0</v>
      </c>
      <c r="K39" s="55">
        <v>72.587000000000003</v>
      </c>
      <c r="L39" s="186">
        <v>9.2999999999999999E-2</v>
      </c>
      <c r="M39" s="438">
        <f t="shared" si="0"/>
        <v>0</v>
      </c>
      <c r="N39" s="439">
        <f>SUM(Drift!H111:H112)</f>
        <v>456.19</v>
      </c>
      <c r="O39" s="54">
        <v>145.85400000000001</v>
      </c>
      <c r="P39" s="54">
        <v>93.587000000000003</v>
      </c>
      <c r="Q39" s="54">
        <v>66.051000000000002</v>
      </c>
      <c r="R39" s="54">
        <v>16.256</v>
      </c>
      <c r="S39" s="54">
        <v>7.6680000000000001</v>
      </c>
      <c r="T39" s="54">
        <v>57.694000000000003</v>
      </c>
      <c r="U39" s="54">
        <v>53.792000000000002</v>
      </c>
      <c r="V39" s="54">
        <v>7.9009999999999998</v>
      </c>
      <c r="W39" s="54">
        <v>7.3869999999999996</v>
      </c>
      <c r="X39" s="438">
        <f t="shared" si="1"/>
        <v>0</v>
      </c>
      <c r="Y39" s="442">
        <v>577.62800000000004</v>
      </c>
      <c r="Z39" s="54">
        <v>40.64</v>
      </c>
      <c r="AA39" s="54">
        <v>1037.4590000000001</v>
      </c>
      <c r="AB39" s="54">
        <v>102.98699999999999</v>
      </c>
      <c r="AC39" s="99">
        <v>828.31200000000001</v>
      </c>
      <c r="AD39" s="2209"/>
    </row>
    <row r="40" spans="1:30" ht="12.95" customHeight="1">
      <c r="A40" s="590" t="s">
        <v>285</v>
      </c>
      <c r="B40" s="1064" t="s">
        <v>36</v>
      </c>
      <c r="C40" s="413">
        <f>SUM(C9:C31,C33,C35:C39)</f>
        <v>136949.53100000002</v>
      </c>
      <c r="D40" s="367">
        <f>SUM(D9:D31,D33,D35:D39)</f>
        <v>16409.254999999997</v>
      </c>
      <c r="E40" s="367">
        <f t="shared" ref="E40:L40" si="2">SUM(E9:E31,E33,E35:E39)</f>
        <v>4686.1369999999997</v>
      </c>
      <c r="F40" s="367">
        <f t="shared" si="2"/>
        <v>89437.84600000002</v>
      </c>
      <c r="G40" s="367">
        <f t="shared" si="2"/>
        <v>12908.044</v>
      </c>
      <c r="H40" s="367">
        <f t="shared" si="2"/>
        <v>2063.3300000000004</v>
      </c>
      <c r="I40" s="367">
        <f t="shared" si="2"/>
        <v>2657.8709999999996</v>
      </c>
      <c r="J40" s="1930">
        <f t="shared" si="2"/>
        <v>0</v>
      </c>
      <c r="K40" s="367">
        <f t="shared" si="2"/>
        <v>8742.4699999999993</v>
      </c>
      <c r="L40" s="367">
        <f t="shared" si="2"/>
        <v>44.585999999999999</v>
      </c>
      <c r="M40" s="370">
        <f>SUM(M9:M31,M33,M35:M39)</f>
        <v>-8.0000000049551545E-3</v>
      </c>
      <c r="N40" s="440">
        <f>SUM(N9:N31,N33,N35:N39)</f>
        <v>28616.142000000003</v>
      </c>
      <c r="O40" s="367">
        <f>SUM(O9:O31,O33,O35:O39)</f>
        <v>4876.353000000001</v>
      </c>
      <c r="P40" s="367">
        <f t="shared" ref="P40:W40" si="3">SUM(P9:P31,P33,P35:P39)</f>
        <v>1446.89</v>
      </c>
      <c r="Q40" s="367">
        <f t="shared" si="3"/>
        <v>2039.2750000000001</v>
      </c>
      <c r="R40" s="367">
        <f t="shared" si="3"/>
        <v>111.53100000000001</v>
      </c>
      <c r="S40" s="367">
        <f t="shared" si="3"/>
        <v>308.88700000000006</v>
      </c>
      <c r="T40" s="367">
        <f t="shared" si="3"/>
        <v>1343.22</v>
      </c>
      <c r="U40" s="367">
        <f t="shared" si="3"/>
        <v>5005.6620000000012</v>
      </c>
      <c r="V40" s="367">
        <f t="shared" si="3"/>
        <v>13458.528</v>
      </c>
      <c r="W40" s="367">
        <f t="shared" si="3"/>
        <v>25.792000000000002</v>
      </c>
      <c r="X40" s="370">
        <f t="shared" ref="X40:AC40" si="4">SUM(X9:X31,X33,X35:X39)</f>
        <v>3.9999999989701607E-3</v>
      </c>
      <c r="Y40" s="443">
        <f t="shared" si="4"/>
        <v>13154.645</v>
      </c>
      <c r="Z40" s="368">
        <f t="shared" si="4"/>
        <v>424.673</v>
      </c>
      <c r="AA40" s="368">
        <f t="shared" si="4"/>
        <v>43528.357999999993</v>
      </c>
      <c r="AB40" s="368">
        <f t="shared" si="4"/>
        <v>717.41500000000008</v>
      </c>
      <c r="AC40" s="369">
        <f t="shared" si="4"/>
        <v>21487.524000000001</v>
      </c>
      <c r="AD40" s="2209"/>
    </row>
    <row r="41" spans="1:30" ht="12" customHeight="1">
      <c r="A41" s="590"/>
      <c r="B41" s="1065" t="s">
        <v>1096</v>
      </c>
      <c r="C41" s="10"/>
      <c r="D41" s="47"/>
      <c r="E41" s="47"/>
      <c r="F41" s="47"/>
      <c r="G41" s="47"/>
      <c r="H41" s="47"/>
      <c r="I41" s="47"/>
      <c r="J41" s="1698"/>
      <c r="K41" s="46"/>
      <c r="L41" s="1700"/>
      <c r="M41" s="2114"/>
      <c r="N41" s="530"/>
      <c r="O41" s="254"/>
      <c r="P41" s="254"/>
      <c r="Q41" s="254"/>
      <c r="R41" s="254"/>
      <c r="S41" s="254"/>
      <c r="T41" s="255"/>
      <c r="V41" s="255"/>
      <c r="W41" s="532"/>
      <c r="X41" s="2115"/>
      <c r="Y41" s="121">
        <f>SUM('Verks int o kostn'!I26+'Verks int o kostn'!I28)</f>
        <v>13154.630000000001</v>
      </c>
      <c r="Z41" s="86">
        <f>'Verks int o kostn'!I27</f>
        <v>424.66199999999998</v>
      </c>
      <c r="AA41" s="86">
        <f>SUM('Verks int o kostn'!D17,'Verks int o kostn'!D18)</f>
        <v>43577.081999999995</v>
      </c>
      <c r="AB41" s="86">
        <f>'Verks int o kostn'!D22</f>
        <v>717.42200000000003</v>
      </c>
      <c r="AC41" s="253">
        <f>SUM('Verks int o kostn'!D14,'Verks int o kostn'!D19,'Verks int o kostn'!D20,'Verks int o kostn'!D21,'Verks int o kostn'!D23,'Verks int o kostn'!D24)</f>
        <v>21519.942999999996</v>
      </c>
      <c r="AD41" s="2209"/>
    </row>
    <row r="42" spans="1:30" ht="12.75" customHeight="1" thickBot="1">
      <c r="A42" s="581"/>
      <c r="B42" s="1066" t="s">
        <v>130</v>
      </c>
      <c r="C42" s="251"/>
      <c r="D42" s="127"/>
      <c r="E42" s="127"/>
      <c r="F42" s="127"/>
      <c r="G42" s="127"/>
      <c r="H42" s="127"/>
      <c r="I42" s="127"/>
      <c r="J42" s="528"/>
      <c r="K42" s="127"/>
      <c r="L42" s="529"/>
      <c r="M42" s="1331"/>
      <c r="N42" s="531"/>
      <c r="O42" s="252"/>
      <c r="P42" s="127"/>
      <c r="Q42" s="127"/>
      <c r="R42" s="127"/>
      <c r="S42" s="127"/>
      <c r="T42" s="128"/>
      <c r="U42" s="535"/>
      <c r="V42" s="128"/>
      <c r="W42" s="252"/>
      <c r="X42" s="533"/>
      <c r="Y42" s="414">
        <f>Y40-Y41</f>
        <v>1.4999999999417923E-2</v>
      </c>
      <c r="Z42" s="415">
        <f>Z40-Z41</f>
        <v>1.1000000000024102E-2</v>
      </c>
      <c r="AA42" s="416">
        <f>AA40-AA41</f>
        <v>-48.724000000001979</v>
      </c>
      <c r="AB42" s="416">
        <f>AB40-AB41</f>
        <v>-6.9999999999481588E-3</v>
      </c>
      <c r="AC42" s="417">
        <f>AC40-AC41</f>
        <v>-32.418999999994412</v>
      </c>
      <c r="AD42" s="2209"/>
    </row>
    <row r="43" spans="1:30" ht="12.75" customHeight="1">
      <c r="A43" s="2209"/>
      <c r="B43" s="2209"/>
      <c r="C43" s="2209"/>
      <c r="D43" s="2209"/>
      <c r="E43" s="2209"/>
      <c r="F43" s="2209"/>
      <c r="G43" s="2209"/>
      <c r="H43" s="2209"/>
      <c r="I43" s="2209"/>
      <c r="J43" s="2209"/>
      <c r="K43" s="2209"/>
      <c r="L43" s="2209"/>
      <c r="M43" s="2209"/>
      <c r="N43" s="2209"/>
      <c r="O43" s="2209"/>
      <c r="P43" s="2209"/>
      <c r="Q43" s="2209"/>
      <c r="R43" s="2209"/>
      <c r="S43" s="2209"/>
      <c r="T43" s="2209"/>
      <c r="U43" s="2209"/>
      <c r="V43" s="2209"/>
      <c r="W43" s="2209"/>
      <c r="X43" s="2209"/>
      <c r="Y43" s="2209"/>
      <c r="Z43" s="2209"/>
      <c r="AA43" s="2209"/>
      <c r="AB43" s="2209"/>
      <c r="AC43" s="2209"/>
      <c r="AD43" s="2209"/>
    </row>
    <row r="44" spans="1:30" ht="12.75" customHeight="1">
      <c r="A44" s="2209"/>
      <c r="B44" s="2209"/>
      <c r="C44" s="2209"/>
      <c r="D44" s="2209"/>
      <c r="E44" s="2209"/>
      <c r="F44" s="2209"/>
      <c r="G44" s="2209"/>
      <c r="H44" s="2209"/>
      <c r="I44" s="2209"/>
      <c r="J44" s="2209"/>
      <c r="K44" s="2209"/>
      <c r="L44" s="2209"/>
      <c r="M44" s="2209"/>
      <c r="N44" s="2209"/>
      <c r="O44" s="2209"/>
      <c r="P44" s="2209"/>
      <c r="Q44" s="2209"/>
      <c r="R44" s="2209"/>
      <c r="S44" s="2209"/>
      <c r="T44" s="2209"/>
      <c r="U44" s="2209"/>
      <c r="V44" s="2209"/>
      <c r="W44" s="2209"/>
      <c r="X44" s="2209"/>
      <c r="Y44" s="2209"/>
      <c r="Z44" s="2209"/>
      <c r="AA44" s="2209"/>
      <c r="AB44" s="2209"/>
      <c r="AC44" s="2209"/>
      <c r="AD44" s="2209"/>
    </row>
    <row r="45" spans="1:30" ht="12.75" customHeight="1">
      <c r="A45" s="2209"/>
      <c r="B45" s="2209"/>
      <c r="C45" s="2209"/>
      <c r="D45" s="2209"/>
      <c r="E45" s="2209"/>
      <c r="F45" s="2209"/>
      <c r="G45" s="2209"/>
      <c r="H45" s="2209"/>
      <c r="I45" s="2209"/>
      <c r="J45" s="2209"/>
      <c r="K45" s="2209"/>
      <c r="L45" s="2209"/>
      <c r="M45" s="2209"/>
      <c r="N45" s="2209"/>
      <c r="O45" s="2209"/>
      <c r="P45" s="2209"/>
      <c r="Q45" s="2209"/>
      <c r="R45" s="2209"/>
      <c r="S45" s="2209"/>
      <c r="T45" s="2209"/>
      <c r="U45" s="2209"/>
      <c r="V45" s="2209"/>
      <c r="W45" s="2209"/>
      <c r="X45" s="2209"/>
      <c r="Y45" s="2209"/>
      <c r="Z45" s="2209"/>
      <c r="AA45" s="2209"/>
      <c r="AB45" s="2209"/>
      <c r="AC45" s="2209"/>
      <c r="AD45" s="2209"/>
    </row>
    <row r="46" spans="1:30" ht="9.75" customHeight="1">
      <c r="A46" s="2209"/>
      <c r="B46" s="2209"/>
      <c r="C46" s="2209"/>
      <c r="D46" s="2209"/>
      <c r="E46" s="2209"/>
      <c r="F46" s="2209"/>
      <c r="G46" s="2209"/>
      <c r="H46" s="2209"/>
      <c r="I46" s="2209"/>
      <c r="J46" s="2209"/>
      <c r="K46" s="2209"/>
      <c r="L46" s="2209"/>
      <c r="M46" s="2209"/>
      <c r="N46" s="2209"/>
      <c r="O46" s="2209"/>
      <c r="P46" s="2209"/>
      <c r="Q46" s="2209"/>
      <c r="R46" s="2209"/>
      <c r="S46" s="2209"/>
      <c r="T46" s="2209"/>
      <c r="U46" s="2209"/>
      <c r="V46" s="2209"/>
      <c r="W46" s="2209"/>
      <c r="X46" s="2209"/>
      <c r="Y46" s="2209"/>
      <c r="Z46" s="2209"/>
      <c r="AA46" s="2209"/>
      <c r="AB46" s="2209"/>
      <c r="AC46" s="2209"/>
      <c r="AD46" s="2209"/>
    </row>
    <row r="47" spans="1:30" ht="10.5" customHeight="1">
      <c r="A47" s="2209"/>
      <c r="B47" s="2209"/>
      <c r="C47" s="2209"/>
      <c r="D47" s="2209"/>
      <c r="E47" s="2209"/>
      <c r="F47" s="2209"/>
      <c r="G47" s="2209"/>
      <c r="H47" s="2209"/>
      <c r="I47" s="2209"/>
      <c r="J47" s="2209"/>
      <c r="K47" s="2209"/>
      <c r="L47" s="2209"/>
      <c r="M47" s="2209"/>
      <c r="N47" s="2209"/>
      <c r="O47" s="2209"/>
      <c r="P47" s="2209"/>
      <c r="Q47" s="2209"/>
      <c r="R47" s="2209"/>
      <c r="S47" s="2209"/>
      <c r="T47" s="2209"/>
      <c r="U47" s="2209"/>
      <c r="V47" s="2209"/>
      <c r="W47" s="2209"/>
      <c r="X47" s="2209"/>
      <c r="Y47" s="2209"/>
      <c r="Z47" s="2209"/>
      <c r="AA47" s="2209"/>
      <c r="AB47" s="2209"/>
      <c r="AC47" s="2209"/>
      <c r="AD47" s="2209"/>
    </row>
    <row r="48" spans="1:30" ht="9.75" customHeight="1">
      <c r="A48" s="2209"/>
      <c r="B48" s="2209"/>
      <c r="C48" s="2209"/>
      <c r="D48" s="2209"/>
      <c r="E48" s="2209"/>
      <c r="F48" s="2209"/>
      <c r="G48" s="2209"/>
      <c r="H48" s="2209"/>
      <c r="I48" s="2209"/>
      <c r="J48" s="2209"/>
      <c r="K48" s="2209"/>
      <c r="L48" s="2209"/>
      <c r="M48" s="2209"/>
      <c r="N48" s="2209"/>
      <c r="O48" s="2209"/>
      <c r="P48" s="2209"/>
      <c r="Q48" s="2209"/>
      <c r="R48" s="2209"/>
      <c r="S48" s="2209"/>
      <c r="T48" s="2209"/>
      <c r="U48" s="2209"/>
      <c r="V48" s="2209"/>
      <c r="W48" s="2209"/>
      <c r="X48" s="2209"/>
      <c r="Y48" s="2209"/>
      <c r="Z48" s="2209"/>
      <c r="AA48" s="2209"/>
      <c r="AB48" s="2209"/>
      <c r="AC48" s="2209"/>
      <c r="AD48" s="2209"/>
    </row>
    <row r="49" spans="1:30" ht="12.75">
      <c r="A49" s="2209"/>
      <c r="B49" s="2209"/>
      <c r="C49" s="2209"/>
      <c r="D49" s="2209"/>
      <c r="E49" s="2209"/>
      <c r="F49" s="2209"/>
      <c r="G49" s="2209"/>
      <c r="H49" s="2209"/>
      <c r="I49" s="2209"/>
      <c r="J49" s="2209"/>
      <c r="K49" s="2209"/>
      <c r="L49" s="2209"/>
      <c r="M49" s="2209"/>
      <c r="N49" s="2209"/>
      <c r="O49" s="2209"/>
      <c r="P49" s="2209"/>
      <c r="Q49" s="2209"/>
      <c r="R49" s="2209"/>
      <c r="S49" s="2209"/>
      <c r="T49" s="2209"/>
      <c r="U49" s="2209"/>
      <c r="V49" s="2209"/>
      <c r="W49" s="2209"/>
      <c r="X49" s="2209"/>
      <c r="Y49" s="2209"/>
      <c r="Z49" s="2209"/>
      <c r="AA49" s="2209"/>
      <c r="AB49" s="2209"/>
      <c r="AC49" s="2209"/>
      <c r="AD49" s="2209"/>
    </row>
    <row r="50" spans="1:30" ht="12.75">
      <c r="A50" s="2209"/>
      <c r="B50" s="2209"/>
      <c r="C50" s="2209"/>
      <c r="D50" s="2209"/>
      <c r="E50" s="2209"/>
      <c r="F50" s="2209"/>
      <c r="G50" s="2209"/>
      <c r="H50" s="2209"/>
      <c r="I50" s="2209"/>
      <c r="J50" s="2209"/>
      <c r="K50" s="2209"/>
      <c r="L50" s="2209"/>
      <c r="M50" s="2209"/>
      <c r="N50" s="2209"/>
      <c r="O50" s="2209"/>
      <c r="P50" s="2209"/>
      <c r="Q50" s="2209"/>
      <c r="R50" s="2209"/>
      <c r="S50" s="2209"/>
      <c r="T50" s="2209"/>
      <c r="U50" s="2209"/>
      <c r="V50" s="2209"/>
      <c r="W50" s="2209"/>
      <c r="X50" s="2209"/>
      <c r="Y50" s="2209"/>
      <c r="Z50" s="2209"/>
      <c r="AA50" s="2209"/>
      <c r="AB50" s="2209"/>
      <c r="AC50" s="2209"/>
      <c r="AD50" s="2209"/>
    </row>
    <row r="51" spans="1:30" ht="12" customHeight="1">
      <c r="A51" s="2209"/>
      <c r="B51" s="2209"/>
      <c r="C51" s="2209"/>
      <c r="D51" s="2209"/>
      <c r="E51" s="2209"/>
      <c r="F51" s="2209"/>
      <c r="G51" s="2209"/>
      <c r="H51" s="2209"/>
      <c r="I51" s="2209"/>
      <c r="J51" s="2209"/>
      <c r="K51" s="2209"/>
      <c r="L51" s="2209"/>
      <c r="M51" s="2209"/>
      <c r="N51" s="2209"/>
      <c r="O51" s="2209"/>
      <c r="P51" s="2209"/>
      <c r="Q51" s="2209"/>
      <c r="R51" s="2209"/>
      <c r="S51" s="2209"/>
      <c r="T51" s="2209"/>
      <c r="U51" s="2209"/>
      <c r="V51" s="2209"/>
      <c r="W51" s="2209"/>
      <c r="X51" s="2209"/>
      <c r="Y51" s="2209"/>
      <c r="Z51" s="2209"/>
      <c r="AA51" s="2209"/>
      <c r="AB51" s="2209"/>
      <c r="AC51" s="2209"/>
      <c r="AD51" s="2209"/>
    </row>
    <row r="52" spans="1:30" ht="12.75">
      <c r="A52" s="2209"/>
      <c r="B52" s="2209"/>
      <c r="C52" s="2209"/>
      <c r="D52" s="2209"/>
      <c r="E52" s="2209"/>
      <c r="F52" s="2209"/>
      <c r="G52" s="2209"/>
      <c r="H52" s="2209"/>
      <c r="I52" s="2209"/>
      <c r="J52" s="2209"/>
      <c r="K52" s="2209"/>
      <c r="L52" s="2209"/>
      <c r="M52" s="2209"/>
      <c r="N52" s="2209"/>
      <c r="O52" s="2209"/>
      <c r="P52" s="2209"/>
      <c r="Q52" s="2209"/>
      <c r="R52" s="2209"/>
      <c r="S52" s="2209"/>
      <c r="T52" s="2209"/>
      <c r="U52" s="2209"/>
      <c r="V52" s="2209"/>
      <c r="W52" s="2209"/>
      <c r="X52" s="2209"/>
      <c r="Y52" s="2209"/>
      <c r="Z52" s="2209"/>
      <c r="AA52" s="2209"/>
      <c r="AB52" s="2209"/>
      <c r="AC52" s="2209"/>
      <c r="AD52" s="2209"/>
    </row>
    <row r="53" spans="1:30" ht="12.75">
      <c r="A53" s="2209"/>
      <c r="B53" s="2209"/>
      <c r="C53" s="2209"/>
      <c r="D53" s="2209"/>
      <c r="E53" s="2209"/>
      <c r="F53" s="2209"/>
      <c r="G53" s="2209"/>
      <c r="H53" s="2209"/>
      <c r="I53" s="2209"/>
      <c r="J53" s="2209"/>
      <c r="K53" s="2209"/>
      <c r="L53" s="2209"/>
      <c r="M53" s="2209"/>
      <c r="N53" s="2209"/>
      <c r="O53" s="2209"/>
      <c r="P53" s="2209"/>
      <c r="Q53" s="2209"/>
      <c r="R53" s="2209"/>
      <c r="S53" s="2209"/>
      <c r="T53" s="2209"/>
      <c r="U53" s="2209"/>
      <c r="V53" s="2209"/>
      <c r="W53" s="2209"/>
      <c r="X53" s="2209"/>
      <c r="Y53" s="2209"/>
      <c r="Z53" s="2209"/>
      <c r="AA53" s="2209"/>
      <c r="AB53" s="2209"/>
      <c r="AC53" s="2209"/>
      <c r="AD53" s="2209"/>
    </row>
    <row r="54" spans="1:30" ht="12.75">
      <c r="A54" s="2209"/>
      <c r="B54" s="2209"/>
      <c r="C54" s="2209"/>
      <c r="D54" s="2209"/>
      <c r="E54" s="2209"/>
      <c r="F54" s="2209"/>
      <c r="G54" s="2209"/>
      <c r="H54" s="2209"/>
      <c r="I54" s="2209"/>
      <c r="J54" s="2209"/>
      <c r="K54" s="2209"/>
      <c r="L54" s="2209"/>
      <c r="M54" s="2209"/>
      <c r="N54" s="2209"/>
      <c r="O54" s="2209"/>
      <c r="P54" s="2209"/>
      <c r="Q54" s="2209"/>
      <c r="R54" s="2209"/>
      <c r="S54" s="2209"/>
      <c r="T54" s="2209"/>
      <c r="U54" s="2209"/>
      <c r="V54" s="2209"/>
      <c r="W54" s="2209"/>
      <c r="X54" s="2209"/>
      <c r="Y54" s="2209"/>
      <c r="Z54" s="2209"/>
      <c r="AA54" s="2209"/>
      <c r="AB54" s="2209"/>
      <c r="AC54" s="2209"/>
      <c r="AD54" s="2209"/>
    </row>
    <row r="55" spans="1:30" ht="12.75">
      <c r="A55" s="2209"/>
      <c r="B55" s="2209"/>
      <c r="C55" s="2209"/>
      <c r="D55" s="2209"/>
      <c r="E55" s="2209"/>
      <c r="F55" s="2209"/>
      <c r="G55" s="2209"/>
      <c r="H55" s="2209"/>
      <c r="I55" s="2209"/>
      <c r="J55" s="2209"/>
      <c r="K55" s="2209"/>
      <c r="L55" s="2209"/>
      <c r="M55" s="2209"/>
      <c r="N55" s="2209"/>
      <c r="O55" s="2209"/>
      <c r="P55" s="2209"/>
      <c r="Q55" s="2209"/>
      <c r="R55" s="2209"/>
      <c r="S55" s="2209"/>
      <c r="T55" s="2209"/>
      <c r="U55" s="2209"/>
      <c r="V55" s="2209"/>
      <c r="W55" s="2209"/>
      <c r="X55" s="2209"/>
      <c r="Y55" s="2209"/>
      <c r="Z55" s="2209"/>
      <c r="AA55" s="2209"/>
      <c r="AB55" s="2209"/>
      <c r="AC55" s="2209"/>
      <c r="AD55" s="2209"/>
    </row>
    <row r="56" spans="1:30" hidden="1"/>
    <row r="57" spans="1:30" hidden="1"/>
    <row r="58" spans="1:30" hidden="1"/>
    <row r="59" spans="1:30" hidden="1"/>
    <row r="60" spans="1:30" hidden="1"/>
    <row r="61" spans="1:30" hidden="1"/>
    <row r="62" spans="1:30" hidden="1"/>
    <row r="63" spans="1:30" hidden="1"/>
    <row r="64" spans="1:30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sheetProtection algorithmName="SHA-512" hashValue="6/Lkpd0lxx5bnoQiFey2A57AeQcwRgC0cM2i1IeBu78CbAD/K0H+0pO8Db4ZuFwCUtz+8D3r058+K9LCYWH+pQ==" saltValue="Vm6egf+Y4omwv/7Oud1eOQ==" spinCount="100000" sheet="1" objects="1" scenarios="1"/>
  <customSheetViews>
    <customSheetView guid="{27C9E95B-0E2B-454F-B637-1CECC9579A10}" showGridLines="0" hiddenRows="1" hiddenColumns="1" showRuler="0">
      <pane xSplit="2" topLeftCell="J1" activePane="topRight" state="frozen"/>
      <selection pane="topRight" activeCell="AD22" sqref="AD2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>
      <pane xSplit="2" topLeftCell="C1" activePane="topRight" state="frozen"/>
      <selection pane="topRight" activeCell="J2" sqref="J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 topLeftCell="A4">
      <pane xSplit="2" topLeftCell="X1" activePane="topRight" state="frozen"/>
      <selection pane="topRight" activeCell="J2" sqref="J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3"/>
      <headerFooter>
        <oddHeader>&amp;L&amp;8Statistiska Centralbyrån
Offentlig ekonomi&amp;R&amp;P</oddHeader>
      </headerFooter>
    </customSheetView>
  </customSheetViews>
  <phoneticPr fontId="87" type="noConversion"/>
  <conditionalFormatting sqref="D32:L32 D34:L34 O34:W34 O32:W32 Y32:AC32 Y34:AC34">
    <cfRule type="cellIs" dxfId="70" priority="40" stopIfTrue="1" operator="lessThan">
      <formula>-500</formula>
    </cfRule>
    <cfRule type="cellIs" dxfId="69" priority="41" stopIfTrue="1" operator="greaterThan">
      <formula>D31</formula>
    </cfRule>
  </conditionalFormatting>
  <conditionalFormatting sqref="M9:M26 M30:M40 X9:X40">
    <cfRule type="cellIs" dxfId="68" priority="27" stopIfTrue="1" operator="notBetween">
      <formula>-500</formula>
      <formula>500</formula>
    </cfRule>
  </conditionalFormatting>
  <conditionalFormatting sqref="M27:M29">
    <cfRule type="cellIs" dxfId="67" priority="11" stopIfTrue="1" operator="notBetween">
      <formula>-10</formula>
      <formula>10</formula>
    </cfRule>
  </conditionalFormatting>
  <conditionalFormatting sqref="D9:L39 Y9:AC39 O9:W39">
    <cfRule type="cellIs" dxfId="66" priority="9" stopIfTrue="1" operator="lessThan">
      <formula>-500</formula>
    </cfRule>
  </conditionalFormatting>
  <conditionalFormatting sqref="J9:J39">
    <cfRule type="cellIs" dxfId="65" priority="8" stopIfTrue="1" operator="greaterThan">
      <formula>1</formula>
    </cfRule>
  </conditionalFormatting>
  <conditionalFormatting sqref="U31">
    <cfRule type="cellIs" dxfId="64" priority="7" stopIfTrue="1" operator="greaterThan">
      <formula>1</formula>
    </cfRule>
  </conditionalFormatting>
  <conditionalFormatting sqref="U33">
    <cfRule type="cellIs" dxfId="63" priority="6" stopIfTrue="1" operator="greaterThan">
      <formula>1</formula>
    </cfRule>
  </conditionalFormatting>
  <dataValidations count="1">
    <dataValidation type="decimal" operator="lessThan" allowBlank="1" showInputMessage="1" showErrorMessage="1" error="Beloppet ska vara i 1000 tal kr" sqref="D9:L39 O9:W39 Y9:AC39 C32 C34 N32 N34">
      <formula1>99999999</formula1>
    </dataValidation>
  </dataValidations>
  <pageMargins left="0.70866141732283472" right="0.70866141732283472" top="0.54" bottom="0.17" header="0.19685039370078741" footer="0.15748031496062992"/>
  <pageSetup paperSize="9" scale="65" orientation="landscape" r:id="rId4"/>
  <headerFooter>
    <oddHeader>&amp;L&amp;8Statistiska Centralbyrån
Offentlig ekonomi&amp;R&amp;P</oddHeader>
  </headerFooter>
  <colBreaks count="2" manualBreakCount="2">
    <brk id="13" max="1048575" man="1"/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tabColor rgb="FFFFFF00"/>
  </sheetPr>
  <dimension ref="A1:IV104"/>
  <sheetViews>
    <sheetView showGridLines="0" zoomScaleNormal="100" workbookViewId="0">
      <pane xSplit="2" ySplit="7" topLeftCell="C8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0" defaultRowHeight="0" customHeight="1" zeroHeight="1"/>
  <cols>
    <col min="1" max="1" width="4" style="265" customWidth="1"/>
    <col min="2" max="2" width="27.140625" style="213" customWidth="1"/>
    <col min="3" max="3" width="10.140625" style="213" customWidth="1"/>
    <col min="4" max="5" width="10.28515625" style="213" customWidth="1"/>
    <col min="6" max="6" width="9.7109375" style="213" customWidth="1"/>
    <col min="7" max="7" width="8.42578125" style="213" customWidth="1"/>
    <col min="8" max="8" width="8.42578125" style="266" hidden="1" customWidth="1"/>
    <col min="9" max="9" width="25.7109375" style="213" customWidth="1"/>
    <col min="10" max="10" width="6.85546875" style="213" customWidth="1"/>
    <col min="11" max="11" width="1.28515625" style="214" customWidth="1"/>
    <col min="12" max="12" width="0.85546875" style="214" customWidth="1"/>
    <col min="13" max="13" width="12.7109375" style="171" customWidth="1"/>
    <col min="14" max="15" width="1" style="171" customWidth="1"/>
    <col min="16" max="16" width="1" style="267" customWidth="1"/>
    <col min="17" max="17" width="59.7109375" style="4" customWidth="1"/>
    <col min="18" max="23" width="8.42578125" style="170" customWidth="1"/>
    <col min="24" max="24" width="8.42578125" style="171" customWidth="1"/>
    <col min="25" max="26" width="9.140625" style="170" customWidth="1"/>
    <col min="27" max="16384" width="0" style="170" hidden="1"/>
  </cols>
  <sheetData>
    <row r="1" spans="1:256" ht="21.75">
      <c r="A1" s="77" t="str">
        <f>"Specificering pedagogisk verksamhet "&amp;År&amp;", miljoner kr"</f>
        <v>Specificering pedagogisk verksamhet 2019, miljoner kr</v>
      </c>
      <c r="B1" s="78"/>
      <c r="C1" s="78"/>
      <c r="D1" s="78"/>
      <c r="E1" s="169"/>
      <c r="F1" s="169"/>
      <c r="G1" s="169"/>
      <c r="H1" s="256"/>
      <c r="I1" s="520" t="s">
        <v>466</v>
      </c>
      <c r="J1" s="517" t="str">
        <f>'Kn Information'!A2</f>
        <v>RIKSTOTAL</v>
      </c>
      <c r="K1" s="197"/>
      <c r="L1" s="197"/>
      <c r="M1" s="1270"/>
      <c r="N1" s="169"/>
      <c r="O1" s="77"/>
      <c r="P1" s="140"/>
      <c r="Q1" s="169"/>
      <c r="R1" s="2209"/>
      <c r="S1" s="2209"/>
      <c r="T1" s="2209"/>
      <c r="U1" s="2209"/>
      <c r="V1" s="2209"/>
      <c r="W1" s="2209"/>
      <c r="X1" s="2209"/>
      <c r="Y1" s="2209"/>
      <c r="Z1" s="220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</row>
    <row r="2" spans="1:256" ht="17.25" customHeight="1">
      <c r="A2" s="2209"/>
      <c r="B2" s="2209"/>
      <c r="C2" s="2209"/>
      <c r="D2" s="2209"/>
      <c r="E2" s="2209"/>
      <c r="F2" s="2209"/>
      <c r="G2" s="2209"/>
      <c r="H2" s="2209"/>
      <c r="I2" s="2209"/>
      <c r="J2" s="2209"/>
      <c r="K2" s="2209"/>
      <c r="L2" s="2209"/>
      <c r="M2" s="2209"/>
      <c r="N2" s="2209"/>
      <c r="O2" s="2209"/>
      <c r="P2" s="2209"/>
      <c r="Q2" s="2209"/>
      <c r="R2" s="2209"/>
      <c r="S2" s="2209"/>
      <c r="T2" s="2209"/>
      <c r="U2" s="2209"/>
      <c r="V2" s="2209"/>
      <c r="W2" s="2209"/>
      <c r="X2" s="2209"/>
      <c r="Y2" s="2209"/>
      <c r="Z2" s="2209"/>
    </row>
    <row r="3" spans="1:256" ht="17.25" customHeight="1" thickBot="1">
      <c r="A3" s="2209"/>
      <c r="B3" s="2209"/>
      <c r="C3" s="2209"/>
      <c r="D3" s="2209"/>
      <c r="E3" s="2209"/>
      <c r="F3" s="2209"/>
      <c r="G3" s="2209"/>
      <c r="H3" s="2209"/>
      <c r="I3" s="2209"/>
      <c r="J3" s="2209"/>
      <c r="K3" s="2209"/>
      <c r="L3" s="2209"/>
      <c r="M3" s="2209"/>
      <c r="N3" s="2209"/>
      <c r="O3" s="2209"/>
      <c r="P3" s="2209"/>
      <c r="Q3" s="2209"/>
      <c r="R3" s="2209"/>
      <c r="S3" s="2209"/>
      <c r="T3" s="2209"/>
      <c r="U3" s="2209"/>
      <c r="V3" s="2209"/>
      <c r="W3" s="2209"/>
      <c r="X3" s="2209"/>
      <c r="Y3" s="2209"/>
      <c r="Z3" s="2209"/>
    </row>
    <row r="4" spans="1:256" ht="11.25" customHeight="1">
      <c r="A4" s="1328" t="s">
        <v>634</v>
      </c>
      <c r="B4" s="1327" t="s">
        <v>465</v>
      </c>
      <c r="C4" s="1067" t="s">
        <v>144</v>
      </c>
      <c r="D4" s="1322"/>
      <c r="E4" s="792" t="s">
        <v>144</v>
      </c>
      <c r="F4" s="1322"/>
      <c r="G4" s="1321"/>
      <c r="H4" s="257" t="s">
        <v>591</v>
      </c>
      <c r="I4" s="2525" t="s">
        <v>1105</v>
      </c>
      <c r="J4" s="2526"/>
      <c r="K4" s="2526"/>
      <c r="L4" s="2526"/>
      <c r="M4" s="2516" t="s">
        <v>963</v>
      </c>
      <c r="N4" s="2209"/>
      <c r="O4" s="2209"/>
      <c r="P4" s="2209"/>
      <c r="Q4" s="2514" t="s">
        <v>61</v>
      </c>
      <c r="R4" s="2209"/>
      <c r="S4" s="2209"/>
      <c r="T4" s="2209"/>
      <c r="U4" s="2209"/>
      <c r="V4" s="2209"/>
      <c r="W4" s="2209"/>
      <c r="X4" s="2209"/>
      <c r="Y4" s="2209"/>
      <c r="Z4" s="2209"/>
    </row>
    <row r="5" spans="1:256" ht="12.75" customHeight="1">
      <c r="A5" s="1329" t="s">
        <v>637</v>
      </c>
      <c r="B5" s="845"/>
      <c r="C5" s="1068" t="s">
        <v>45</v>
      </c>
      <c r="D5" s="2519" t="s">
        <v>838</v>
      </c>
      <c r="E5" s="795" t="s">
        <v>151</v>
      </c>
      <c r="F5" s="2519" t="s">
        <v>1204</v>
      </c>
      <c r="G5" s="2522" t="s">
        <v>1222</v>
      </c>
      <c r="H5" s="150"/>
      <c r="I5" s="2527"/>
      <c r="J5" s="2528"/>
      <c r="K5" s="2528"/>
      <c r="L5" s="2528"/>
      <c r="M5" s="2517"/>
      <c r="N5" s="2209"/>
      <c r="O5" s="2209"/>
      <c r="P5" s="2209"/>
      <c r="Q5" s="2515"/>
      <c r="R5" s="2209"/>
      <c r="S5" s="2209"/>
      <c r="T5" s="2209"/>
      <c r="U5" s="2209"/>
      <c r="V5" s="2209"/>
      <c r="W5" s="2209"/>
      <c r="X5" s="2209"/>
      <c r="Y5" s="2209"/>
      <c r="Z5" s="2209"/>
    </row>
    <row r="6" spans="1:256" ht="36.75" customHeight="1">
      <c r="A6" s="1069"/>
      <c r="B6" s="845"/>
      <c r="C6" s="1068"/>
      <c r="D6" s="2520"/>
      <c r="E6" s="562"/>
      <c r="F6" s="2520"/>
      <c r="G6" s="2523"/>
      <c r="H6" s="150"/>
      <c r="I6" s="1401"/>
      <c r="J6" s="1412"/>
      <c r="K6" s="1412"/>
      <c r="L6" s="2308"/>
      <c r="M6" s="2518"/>
      <c r="N6" s="2209"/>
      <c r="O6" s="2209"/>
      <c r="P6" s="2209"/>
      <c r="Q6" s="2515"/>
      <c r="R6" s="2209"/>
      <c r="S6" s="2209"/>
      <c r="T6" s="2209"/>
      <c r="U6" s="2209"/>
      <c r="V6" s="2209"/>
      <c r="W6" s="2209"/>
      <c r="X6" s="2209"/>
      <c r="Y6" s="2209"/>
      <c r="Z6" s="2209"/>
      <c r="IV6" s="2513"/>
    </row>
    <row r="7" spans="1:256" ht="65.25" customHeight="1" thickBot="1">
      <c r="A7" s="1059"/>
      <c r="B7" s="845"/>
      <c r="C7" s="1061"/>
      <c r="D7" s="2521"/>
      <c r="E7" s="562"/>
      <c r="F7" s="2521"/>
      <c r="G7" s="2524"/>
      <c r="H7" s="150"/>
      <c r="I7" s="1413"/>
      <c r="J7" s="845"/>
      <c r="K7" s="1414"/>
      <c r="L7" s="1410"/>
      <c r="M7" s="2317" t="str">
        <f>"År "&amp;År</f>
        <v>År 2019</v>
      </c>
      <c r="N7" s="2209"/>
      <c r="O7" s="2209"/>
      <c r="P7" s="2209"/>
      <c r="Q7" s="2515"/>
      <c r="R7" s="2209"/>
      <c r="S7" s="2209"/>
      <c r="T7" s="2209"/>
      <c r="U7" s="2209"/>
      <c r="V7" s="2209"/>
      <c r="W7" s="2209"/>
      <c r="X7" s="2209"/>
      <c r="Y7" s="2209"/>
      <c r="Z7" s="2209"/>
      <c r="IV7" s="2513"/>
    </row>
    <row r="8" spans="1:256" ht="12.75">
      <c r="A8" s="1090" t="s">
        <v>402</v>
      </c>
      <c r="B8" s="1091" t="s">
        <v>552</v>
      </c>
      <c r="C8" s="121">
        <f>Drift!P47</f>
        <v>90473.662000000011</v>
      </c>
      <c r="D8" s="122">
        <f>SUM(Motpart!D13:L13)</f>
        <v>16149.297000000002</v>
      </c>
      <c r="E8" s="122">
        <f>Drift!W47</f>
        <v>19742.874</v>
      </c>
      <c r="F8" s="122">
        <f>Motpart!Y13</f>
        <v>383.697</v>
      </c>
      <c r="G8" s="129">
        <f>Drift!V47</f>
        <v>8893.9</v>
      </c>
      <c r="H8" s="151"/>
      <c r="I8" s="1050" t="s">
        <v>879</v>
      </c>
      <c r="J8" s="1508">
        <v>610904</v>
      </c>
      <c r="K8" s="1405"/>
      <c r="L8" s="1405"/>
      <c r="M8" s="2318">
        <f>(C8-F8-G8)*1000000/J8</f>
        <v>132911.33304087061</v>
      </c>
      <c r="N8" s="2209"/>
      <c r="O8" s="2209"/>
      <c r="P8" s="2209"/>
      <c r="Q8" s="2330" t="s">
        <v>885</v>
      </c>
      <c r="R8" s="2209"/>
      <c r="S8" s="2209"/>
      <c r="T8" s="2209"/>
      <c r="U8" s="2209"/>
      <c r="V8" s="2209"/>
      <c r="W8" s="2209"/>
      <c r="X8" s="2209"/>
      <c r="Y8" s="2209"/>
      <c r="Z8" s="2209"/>
    </row>
    <row r="9" spans="1:256" s="1251" customFormat="1" ht="12.75">
      <c r="A9" s="1092" t="s">
        <v>323</v>
      </c>
      <c r="B9" s="1093" t="s">
        <v>371</v>
      </c>
      <c r="C9" s="366">
        <f>C8-G8-D8</f>
        <v>65430.465000000011</v>
      </c>
      <c r="D9" s="1070"/>
      <c r="E9" s="1076"/>
      <c r="F9" s="1076"/>
      <c r="G9" s="1082"/>
      <c r="H9" s="152">
        <v>850</v>
      </c>
      <c r="I9" s="1402"/>
      <c r="J9" s="1403"/>
      <c r="K9" s="1404"/>
      <c r="L9" s="1404"/>
      <c r="M9" s="2319">
        <f>C9*1000000/J8</f>
        <v>107104.33226824511</v>
      </c>
      <c r="N9" s="2209"/>
      <c r="O9" s="2209"/>
      <c r="P9" s="2209"/>
      <c r="Q9" s="2330" t="s">
        <v>886</v>
      </c>
      <c r="R9" s="2209"/>
      <c r="S9" s="2209"/>
      <c r="T9" s="2209"/>
      <c r="U9" s="2209"/>
      <c r="V9" s="2209"/>
      <c r="W9" s="2209"/>
      <c r="X9" s="2209"/>
      <c r="Y9" s="2209"/>
      <c r="Z9" s="2209"/>
    </row>
    <row r="10" spans="1:256" s="1247" customFormat="1" ht="12.75">
      <c r="A10" s="1092" t="s">
        <v>321</v>
      </c>
      <c r="B10" s="1094" t="s">
        <v>1184</v>
      </c>
      <c r="C10" s="83">
        <f>Drift!C47+Drift!D47</f>
        <v>47200.186000000002</v>
      </c>
      <c r="D10" s="1070"/>
      <c r="E10" s="1077"/>
      <c r="F10" s="1077"/>
      <c r="G10" s="1082"/>
      <c r="H10" s="152">
        <v>851</v>
      </c>
      <c r="I10" s="1402"/>
      <c r="J10" s="1403"/>
      <c r="K10" s="1126"/>
      <c r="L10" s="1126"/>
      <c r="M10" s="2319">
        <f>IF(C10=0,0,C10*100/C9)</f>
        <v>72.137934523314172</v>
      </c>
      <c r="N10" s="2209"/>
      <c r="O10" s="2209"/>
      <c r="P10" s="2209"/>
      <c r="Q10" s="2330" t="s">
        <v>372</v>
      </c>
      <c r="R10" s="2209"/>
      <c r="S10" s="2209"/>
      <c r="T10" s="2209"/>
      <c r="U10" s="2209"/>
      <c r="V10" s="2209"/>
      <c r="W10" s="2209"/>
      <c r="X10" s="2209"/>
      <c r="Y10" s="2209"/>
      <c r="Z10" s="2209"/>
    </row>
    <row r="11" spans="1:256" s="1247" customFormat="1" ht="12.75">
      <c r="A11" s="1092" t="s">
        <v>324</v>
      </c>
      <c r="B11" s="1094" t="s">
        <v>549</v>
      </c>
      <c r="C11" s="2179">
        <v>9723.3629999999994</v>
      </c>
      <c r="D11" s="1071"/>
      <c r="E11" s="247">
        <v>222.47800000000001</v>
      </c>
      <c r="F11" s="1077"/>
      <c r="G11" s="268">
        <v>169.523</v>
      </c>
      <c r="H11" s="152"/>
      <c r="I11" s="845"/>
      <c r="J11" s="1509"/>
      <c r="K11" s="1122"/>
      <c r="L11" s="1122"/>
      <c r="M11" s="2319">
        <f>(C11-E11)*1000000/J8</f>
        <v>15552.17350025536</v>
      </c>
      <c r="N11" s="2209"/>
      <c r="O11" s="2209"/>
      <c r="P11" s="2209"/>
      <c r="Q11" s="2330" t="s">
        <v>887</v>
      </c>
      <c r="R11" s="2209"/>
      <c r="S11" s="2209"/>
      <c r="T11" s="2209"/>
      <c r="U11" s="2209"/>
      <c r="V11" s="2209"/>
      <c r="W11" s="2209"/>
      <c r="X11" s="2209"/>
      <c r="Y11" s="2209"/>
      <c r="Z11" s="2209"/>
    </row>
    <row r="12" spans="1:256" s="1247" customFormat="1" ht="12.75">
      <c r="A12" s="1092" t="s">
        <v>467</v>
      </c>
      <c r="B12" s="1094" t="s">
        <v>504</v>
      </c>
      <c r="C12" s="1074"/>
      <c r="D12" s="1072"/>
      <c r="E12" s="84">
        <f>Drift!R47</f>
        <v>4884.2190000000001</v>
      </c>
      <c r="F12" s="1078"/>
      <c r="G12" s="1266"/>
      <c r="H12" s="166" t="s">
        <v>565</v>
      </c>
      <c r="I12" s="1124"/>
      <c r="J12" s="1403"/>
      <c r="K12" s="1404"/>
      <c r="L12" s="1404"/>
      <c r="M12" s="2319">
        <f>(Motpart!G13+Motpart!K13)*1000000/J8</f>
        <v>643.05684690229566</v>
      </c>
      <c r="N12" s="2209"/>
      <c r="O12" s="2209"/>
      <c r="P12" s="2209"/>
      <c r="Q12" s="2330" t="s">
        <v>888</v>
      </c>
      <c r="R12" s="2209"/>
      <c r="S12" s="2209"/>
      <c r="T12" s="2209"/>
      <c r="U12" s="2209"/>
      <c r="V12" s="2209"/>
      <c r="W12" s="2209"/>
      <c r="X12" s="2209"/>
      <c r="Y12" s="2209"/>
      <c r="Z12" s="2209"/>
    </row>
    <row r="13" spans="1:256" s="1247" customFormat="1" ht="12.75">
      <c r="A13" s="1092" t="s">
        <v>468</v>
      </c>
      <c r="B13" s="1094" t="s">
        <v>469</v>
      </c>
      <c r="C13" s="1075"/>
      <c r="D13" s="1072"/>
      <c r="E13" s="247">
        <v>494.71899999999999</v>
      </c>
      <c r="F13" s="1078"/>
      <c r="G13" s="1266"/>
      <c r="H13" s="167" t="s">
        <v>566</v>
      </c>
      <c r="I13" s="1124"/>
      <c r="J13" s="1403"/>
      <c r="K13" s="1404"/>
      <c r="L13" s="1404"/>
      <c r="M13" s="2319">
        <f>F8*1000000/J8</f>
        <v>628.08068043424169</v>
      </c>
      <c r="N13" s="2209"/>
      <c r="O13" s="2209"/>
      <c r="P13" s="2209"/>
      <c r="Q13" s="2330" t="s">
        <v>889</v>
      </c>
      <c r="R13" s="2209"/>
      <c r="S13" s="2209"/>
      <c r="T13" s="2209"/>
      <c r="U13" s="2209"/>
      <c r="V13" s="2209"/>
      <c r="W13" s="2209"/>
      <c r="X13" s="2209"/>
      <c r="Y13" s="2209"/>
      <c r="Z13" s="2209"/>
    </row>
    <row r="14" spans="1:256" s="1247" customFormat="1" ht="12.75">
      <c r="A14" s="1095" t="s">
        <v>582</v>
      </c>
      <c r="B14" s="1096"/>
      <c r="C14" s="1075"/>
      <c r="D14" s="1073"/>
      <c r="E14" s="1081"/>
      <c r="F14" s="1079"/>
      <c r="G14" s="1266"/>
      <c r="H14" s="166" t="s">
        <v>567</v>
      </c>
      <c r="I14" s="1124"/>
      <c r="J14" s="1403"/>
      <c r="K14" s="1404"/>
      <c r="L14" s="1404"/>
      <c r="M14" s="2319">
        <f>((Motpart!D13+Motpart!E13+Motpart!F13+Motpart!J13)-((Motpart!D13+Motpart!E13+Motpart!F13+Motpart!J13)*0.06))*1000000/J8</f>
        <v>24199.422200542151</v>
      </c>
      <c r="N14" s="2209"/>
      <c r="O14" s="2209"/>
      <c r="P14" s="2209"/>
      <c r="Q14" s="2330" t="s">
        <v>890</v>
      </c>
      <c r="R14" s="2209"/>
      <c r="S14" s="2209"/>
      <c r="T14" s="2209"/>
      <c r="U14" s="2209"/>
      <c r="V14" s="2209"/>
      <c r="W14" s="2209"/>
      <c r="X14" s="2209"/>
      <c r="Y14" s="2209"/>
      <c r="Z14" s="2209"/>
    </row>
    <row r="15" spans="1:256" s="1252" customFormat="1" ht="13.5" thickBot="1">
      <c r="A15" s="1095" t="s">
        <v>319</v>
      </c>
      <c r="B15" s="1096"/>
      <c r="C15" s="1075"/>
      <c r="D15" s="1073"/>
      <c r="E15" s="1073"/>
      <c r="F15" s="1080"/>
      <c r="G15" s="1083"/>
      <c r="H15" s="153"/>
      <c r="I15" s="1411"/>
      <c r="J15" s="1510"/>
      <c r="K15" s="1123"/>
      <c r="L15" s="1123"/>
      <c r="M15" s="2320">
        <f>IF(C9=0,0,(E12-E13)*100/C9)</f>
        <v>6.7086486394373006</v>
      </c>
      <c r="N15" s="2209"/>
      <c r="O15" s="2209"/>
      <c r="P15" s="2209"/>
      <c r="Q15" s="2330" t="s">
        <v>534</v>
      </c>
      <c r="R15" s="2209"/>
      <c r="S15" s="2209"/>
      <c r="T15" s="2209"/>
      <c r="U15" s="2209"/>
      <c r="V15" s="2209"/>
      <c r="W15" s="2209"/>
      <c r="X15" s="2209"/>
      <c r="Y15" s="2209"/>
      <c r="Z15" s="2209"/>
    </row>
    <row r="16" spans="1:256" ht="12.75">
      <c r="A16" s="1097" t="s">
        <v>686</v>
      </c>
      <c r="B16" s="1098" t="s">
        <v>553</v>
      </c>
      <c r="C16" s="81">
        <f>Drift!P50</f>
        <v>22599.86</v>
      </c>
      <c r="D16" s="82">
        <f>SUM(Motpart!D15:L15)</f>
        <v>2425.3890000000001</v>
      </c>
      <c r="E16" s="85">
        <f>Drift!W50</f>
        <v>7358.5360000000001</v>
      </c>
      <c r="F16" s="82">
        <f>Motpart!Y15</f>
        <v>163.268</v>
      </c>
      <c r="G16" s="130">
        <f>Drift!V50</f>
        <v>2793.77</v>
      </c>
      <c r="H16" s="150"/>
      <c r="I16" s="1050" t="s">
        <v>880</v>
      </c>
      <c r="J16" s="1508">
        <v>869971</v>
      </c>
      <c r="K16" s="1410"/>
      <c r="L16" s="1405"/>
      <c r="M16" s="2321">
        <f>(C16-G16-F16)*1000000/J16</f>
        <v>22578.708945470597</v>
      </c>
      <c r="N16" s="2209"/>
      <c r="O16" s="2209"/>
      <c r="P16" s="2209"/>
      <c r="Q16" s="2331" t="s">
        <v>927</v>
      </c>
      <c r="R16" s="2209"/>
      <c r="S16" s="2209"/>
      <c r="T16" s="2209"/>
      <c r="U16" s="2209"/>
      <c r="V16" s="2209"/>
      <c r="W16" s="2209"/>
      <c r="X16" s="2209"/>
      <c r="Y16" s="2209"/>
      <c r="Z16" s="2209"/>
    </row>
    <row r="17" spans="1:256" ht="12.75">
      <c r="A17" s="1092" t="s">
        <v>385</v>
      </c>
      <c r="B17" s="1099" t="s">
        <v>371</v>
      </c>
      <c r="C17" s="366">
        <f>C16-G16-D16</f>
        <v>17380.701000000001</v>
      </c>
      <c r="D17" s="1084"/>
      <c r="E17" s="1085"/>
      <c r="F17" s="1085"/>
      <c r="G17" s="1082"/>
      <c r="H17" s="154" t="s">
        <v>279</v>
      </c>
      <c r="I17" s="1402"/>
      <c r="J17" s="1403"/>
      <c r="K17" s="1404"/>
      <c r="L17" s="1404"/>
      <c r="M17" s="2319">
        <f>C17*1000000/J16</f>
        <v>19978.483190819003</v>
      </c>
      <c r="N17" s="2209"/>
      <c r="O17" s="2209"/>
      <c r="P17" s="2209"/>
      <c r="Q17" s="2330" t="s">
        <v>928</v>
      </c>
      <c r="R17" s="2209"/>
      <c r="S17" s="2209"/>
      <c r="T17" s="2209"/>
      <c r="U17" s="2209"/>
      <c r="V17" s="2209"/>
      <c r="W17" s="2209"/>
      <c r="X17" s="2209"/>
      <c r="Y17" s="2209"/>
      <c r="Z17" s="2209"/>
    </row>
    <row r="18" spans="1:256" ht="12.75">
      <c r="A18" s="1092" t="s">
        <v>386</v>
      </c>
      <c r="B18" s="2102" t="s">
        <v>1185</v>
      </c>
      <c r="C18" s="86">
        <f>Drift!C50+Drift!D50</f>
        <v>12501.824999999999</v>
      </c>
      <c r="D18" s="1084"/>
      <c r="E18" s="1077"/>
      <c r="F18" s="1077"/>
      <c r="G18" s="1082"/>
      <c r="H18" s="152" t="s">
        <v>593</v>
      </c>
      <c r="I18" s="1402"/>
      <c r="J18" s="1403"/>
      <c r="K18" s="1126"/>
      <c r="L18" s="1126"/>
      <c r="M18" s="2319">
        <f>IF(C18=0,0,(C18*100/C17))</f>
        <v>71.929348534331268</v>
      </c>
      <c r="N18" s="2209"/>
      <c r="O18" s="2209"/>
      <c r="P18" s="2209"/>
      <c r="Q18" s="2330" t="s">
        <v>380</v>
      </c>
      <c r="R18" s="2209"/>
      <c r="S18" s="2209"/>
      <c r="T18" s="2209"/>
      <c r="U18" s="2209"/>
      <c r="V18" s="2209"/>
      <c r="W18" s="2209"/>
      <c r="X18" s="2209"/>
      <c r="Y18" s="2209"/>
      <c r="Z18" s="2209"/>
    </row>
    <row r="19" spans="1:256" ht="12.75">
      <c r="A19" s="1092" t="s">
        <v>387</v>
      </c>
      <c r="B19" s="1094" t="s">
        <v>549</v>
      </c>
      <c r="C19" s="2179">
        <v>2797.5169999999998</v>
      </c>
      <c r="D19" s="1084"/>
      <c r="E19" s="247">
        <v>70.287000000000006</v>
      </c>
      <c r="F19" s="1079"/>
      <c r="G19" s="268">
        <v>51.683</v>
      </c>
      <c r="H19" s="150"/>
      <c r="I19" s="1402"/>
      <c r="J19" s="1509"/>
      <c r="K19" s="1122"/>
      <c r="L19" s="1122"/>
      <c r="M19" s="2322">
        <f>(C19-E19)*1000000/J16</f>
        <v>3134.8516214908313</v>
      </c>
      <c r="N19" s="2209"/>
      <c r="O19" s="2209"/>
      <c r="P19" s="2209"/>
      <c r="Q19" s="2330" t="s">
        <v>929</v>
      </c>
      <c r="R19" s="2209"/>
      <c r="S19" s="2209"/>
      <c r="T19" s="2209"/>
      <c r="U19" s="2209"/>
      <c r="V19" s="2209"/>
      <c r="W19" s="2209"/>
      <c r="X19" s="2209"/>
      <c r="Y19" s="2209"/>
      <c r="Z19" s="2209"/>
    </row>
    <row r="20" spans="1:256" ht="12.75">
      <c r="A20" s="1092" t="s">
        <v>568</v>
      </c>
      <c r="B20" s="1094" t="s">
        <v>504</v>
      </c>
      <c r="C20" s="1074"/>
      <c r="D20" s="1072"/>
      <c r="E20" s="86">
        <f>Drift!R50</f>
        <v>3018.2379999999998</v>
      </c>
      <c r="F20" s="1078"/>
      <c r="G20" s="1266"/>
      <c r="H20" s="426" t="s">
        <v>594</v>
      </c>
      <c r="I20" s="1124"/>
      <c r="J20" s="1403"/>
      <c r="K20" s="1404"/>
      <c r="L20" s="1404"/>
      <c r="M20" s="2319">
        <f>IF(D16=0,0,(Motpart!G15+Motpart!K15)*1000000/J16)</f>
        <v>210.17597138295415</v>
      </c>
      <c r="N20" s="2209"/>
      <c r="O20" s="2209"/>
      <c r="P20" s="2209"/>
      <c r="Q20" s="2330" t="s">
        <v>930</v>
      </c>
      <c r="R20" s="2209"/>
      <c r="S20" s="2209"/>
      <c r="T20" s="2209"/>
      <c r="U20" s="2209"/>
      <c r="V20" s="2209"/>
      <c r="W20" s="2209"/>
      <c r="X20" s="2209"/>
      <c r="Y20" s="2209"/>
      <c r="Z20" s="2209"/>
    </row>
    <row r="21" spans="1:256" ht="12.75">
      <c r="A21" s="1092" t="s">
        <v>569</v>
      </c>
      <c r="B21" s="1094" t="s">
        <v>469</v>
      </c>
      <c r="C21" s="1075"/>
      <c r="D21" s="1072"/>
      <c r="E21" s="247">
        <v>115.943</v>
      </c>
      <c r="F21" s="1078"/>
      <c r="G21" s="1266"/>
      <c r="H21" s="426" t="s">
        <v>595</v>
      </c>
      <c r="I21" s="1124"/>
      <c r="J21" s="1403"/>
      <c r="K21" s="1404"/>
      <c r="L21" s="1404"/>
      <c r="M21" s="2319">
        <f>IF(F16=0,0,(F16*1000000/J16))</f>
        <v>187.67062350354206</v>
      </c>
      <c r="N21" s="2209"/>
      <c r="O21" s="2209"/>
      <c r="P21" s="2209"/>
      <c r="Q21" s="2330" t="s">
        <v>931</v>
      </c>
      <c r="R21" s="2209"/>
      <c r="S21" s="2209"/>
      <c r="T21" s="2209"/>
      <c r="U21" s="2209"/>
      <c r="V21" s="2209"/>
      <c r="W21" s="2209"/>
      <c r="X21" s="2209"/>
      <c r="Y21" s="2209"/>
      <c r="Z21" s="2209"/>
      <c r="IV21" s="258"/>
    </row>
    <row r="22" spans="1:256" ht="12.75">
      <c r="A22" s="1095" t="s">
        <v>581</v>
      </c>
      <c r="B22" s="1100"/>
      <c r="C22" s="1075"/>
      <c r="D22" s="1073"/>
      <c r="E22" s="1081"/>
      <c r="F22" s="1079"/>
      <c r="G22" s="1266"/>
      <c r="H22" s="426" t="s">
        <v>596</v>
      </c>
      <c r="I22" s="1124"/>
      <c r="J22" s="1403"/>
      <c r="K22" s="1404"/>
      <c r="L22" s="1404"/>
      <c r="M22" s="2319">
        <f>IF(D16=0,0,((Motpart!D15+Motpart!E15+Motpart!F15+Motpart!I15+Motpart!J15)-((Motpart!D15+Motpart!E15+Motpart!F15+Motpart!J15)*0.06))*1000000/J16)</f>
        <v>2425.5510126199611</v>
      </c>
      <c r="N22" s="2209"/>
      <c r="O22" s="2209"/>
      <c r="P22" s="2209"/>
      <c r="Q22" s="2330" t="s">
        <v>932</v>
      </c>
      <c r="R22" s="2209"/>
      <c r="S22" s="2209"/>
      <c r="T22" s="2209"/>
      <c r="U22" s="2209"/>
      <c r="V22" s="2209"/>
      <c r="W22" s="2209"/>
      <c r="X22" s="2209"/>
      <c r="Y22" s="2209"/>
      <c r="Z22" s="2209"/>
      <c r="IV22" s="258"/>
    </row>
    <row r="23" spans="1:256" ht="13.5" thickBot="1">
      <c r="A23" s="1095" t="s">
        <v>570</v>
      </c>
      <c r="B23" s="1100"/>
      <c r="C23" s="1075"/>
      <c r="D23" s="1073"/>
      <c r="E23" s="1073"/>
      <c r="F23" s="1073"/>
      <c r="G23" s="1083"/>
      <c r="H23" s="427"/>
      <c r="I23" s="656"/>
      <c r="J23" s="1510"/>
      <c r="K23" s="1123"/>
      <c r="L23" s="1123"/>
      <c r="M23" s="2323">
        <f>IF(E20=0,0,(E20-E21)*100/C17)</f>
        <v>16.698377125295458</v>
      </c>
      <c r="N23" s="2209"/>
      <c r="O23" s="2209"/>
      <c r="P23" s="2209"/>
      <c r="Q23" s="2332" t="s">
        <v>535</v>
      </c>
      <c r="R23" s="2209"/>
      <c r="S23" s="2209"/>
      <c r="T23" s="2209"/>
      <c r="U23" s="2209"/>
      <c r="V23" s="2209"/>
      <c r="W23" s="2209"/>
      <c r="X23" s="2209"/>
      <c r="Y23" s="2209"/>
      <c r="Z23" s="2209"/>
      <c r="IV23" s="258"/>
    </row>
    <row r="24" spans="1:256" ht="12.75">
      <c r="A24" s="1097" t="s">
        <v>391</v>
      </c>
      <c r="B24" s="1101" t="s">
        <v>554</v>
      </c>
      <c r="C24" s="81">
        <f>Drift!P53</f>
        <v>8851.384</v>
      </c>
      <c r="D24" s="82">
        <f>SUM(Motpart!D17:L17)</f>
        <v>924.87100000000009</v>
      </c>
      <c r="E24" s="82">
        <f>Drift!W53</f>
        <v>1560.223</v>
      </c>
      <c r="F24" s="82">
        <f>Motpart!Y17</f>
        <v>46.505000000000003</v>
      </c>
      <c r="G24" s="130">
        <f>Drift!V53</f>
        <v>1135.22</v>
      </c>
      <c r="H24" s="166"/>
      <c r="I24" s="1050" t="s">
        <v>881</v>
      </c>
      <c r="J24" s="1508">
        <v>123335</v>
      </c>
      <c r="K24" s="1407"/>
      <c r="L24" s="1405"/>
      <c r="M24" s="2321">
        <f>(C24-G24-F24)*1000000/J24</f>
        <v>62185.583978594885</v>
      </c>
      <c r="N24" s="2209"/>
      <c r="O24" s="2209"/>
      <c r="P24" s="2209"/>
      <c r="Q24" s="2330" t="s">
        <v>921</v>
      </c>
      <c r="R24" s="2209"/>
      <c r="S24" s="2209"/>
      <c r="T24" s="2209"/>
      <c r="U24" s="2209"/>
      <c r="V24" s="2209"/>
      <c r="W24" s="2209"/>
      <c r="X24" s="2209"/>
      <c r="Y24" s="2209"/>
      <c r="Z24" s="2209"/>
    </row>
    <row r="25" spans="1:256" ht="12.75">
      <c r="A25" s="1092" t="s">
        <v>388</v>
      </c>
      <c r="B25" s="1102" t="s">
        <v>371</v>
      </c>
      <c r="C25" s="366">
        <f>C24-G24-D24</f>
        <v>6791.2929999999997</v>
      </c>
      <c r="D25" s="1084"/>
      <c r="E25" s="1085"/>
      <c r="F25" s="1085"/>
      <c r="G25" s="1082"/>
      <c r="H25" s="426" t="s">
        <v>597</v>
      </c>
      <c r="I25" s="1124"/>
      <c r="J25" s="1403"/>
      <c r="K25" s="1404"/>
      <c r="L25" s="1404"/>
      <c r="M25" s="2319">
        <f>C25*1000000/J24</f>
        <v>55063.79373251713</v>
      </c>
      <c r="N25" s="2209"/>
      <c r="O25" s="2209"/>
      <c r="P25" s="2209"/>
      <c r="Q25" s="2330" t="s">
        <v>922</v>
      </c>
      <c r="R25" s="2209"/>
      <c r="S25" s="2209"/>
      <c r="T25" s="2209"/>
      <c r="U25" s="2209"/>
      <c r="V25" s="2209"/>
      <c r="W25" s="2209"/>
      <c r="X25" s="2209"/>
      <c r="Y25" s="2209"/>
      <c r="Z25" s="2209"/>
    </row>
    <row r="26" spans="1:256" ht="12.75">
      <c r="A26" s="1092" t="s">
        <v>389</v>
      </c>
      <c r="B26" s="2103" t="s">
        <v>1185</v>
      </c>
      <c r="C26" s="86">
        <f>Drift!C53+Drift!D53</f>
        <v>4434.16</v>
      </c>
      <c r="D26" s="1084"/>
      <c r="E26" s="1077"/>
      <c r="F26" s="1077"/>
      <c r="G26" s="1082"/>
      <c r="H26" s="166" t="s">
        <v>391</v>
      </c>
      <c r="I26" s="1124"/>
      <c r="J26" s="1403"/>
      <c r="K26" s="1126"/>
      <c r="L26" s="1126"/>
      <c r="M26" s="2320">
        <f>IF(C26=0,0,C26*100/C25)</f>
        <v>65.291837651534109</v>
      </c>
      <c r="N26" s="2209"/>
      <c r="O26" s="2209"/>
      <c r="P26" s="2209"/>
      <c r="Q26" s="2330" t="s">
        <v>381</v>
      </c>
      <c r="R26" s="2209"/>
      <c r="S26" s="2209"/>
      <c r="T26" s="2209"/>
      <c r="U26" s="2209"/>
      <c r="V26" s="2209"/>
      <c r="W26" s="2209"/>
      <c r="X26" s="2209"/>
      <c r="Y26" s="2209"/>
      <c r="Z26" s="2209"/>
    </row>
    <row r="27" spans="1:256" ht="12.75">
      <c r="A27" s="1095" t="s">
        <v>390</v>
      </c>
      <c r="B27" s="1094" t="s">
        <v>549</v>
      </c>
      <c r="C27" s="2179">
        <v>1434.117</v>
      </c>
      <c r="D27" s="1084"/>
      <c r="E27" s="247">
        <v>34.621000000000002</v>
      </c>
      <c r="F27" s="1079"/>
      <c r="G27" s="268">
        <v>26.048999999999999</v>
      </c>
      <c r="H27" s="426"/>
      <c r="I27" s="1124"/>
      <c r="J27" s="1217"/>
      <c r="K27" s="1122"/>
      <c r="L27" s="1122"/>
      <c r="M27" s="2319">
        <f>(C27-E27)*1000000/J24</f>
        <v>11347.111525519924</v>
      </c>
      <c r="N27" s="2209"/>
      <c r="O27" s="2209"/>
      <c r="P27" s="2209"/>
      <c r="Q27" s="2330" t="s">
        <v>923</v>
      </c>
      <c r="R27" s="2209"/>
      <c r="S27" s="2209"/>
      <c r="T27" s="2209"/>
      <c r="U27" s="2209"/>
      <c r="V27" s="2209"/>
      <c r="W27" s="2209"/>
      <c r="X27" s="2209"/>
      <c r="Y27" s="2209"/>
      <c r="Z27" s="2209"/>
    </row>
    <row r="28" spans="1:256" ht="12.75">
      <c r="A28" s="1095" t="s">
        <v>571</v>
      </c>
      <c r="B28" s="1103"/>
      <c r="C28" s="1084"/>
      <c r="D28" s="1084"/>
      <c r="E28" s="1084"/>
      <c r="F28" s="1079"/>
      <c r="G28" s="1266"/>
      <c r="H28" s="166" t="s">
        <v>598</v>
      </c>
      <c r="I28" s="1124"/>
      <c r="J28" s="1403"/>
      <c r="K28" s="1404"/>
      <c r="L28" s="1404"/>
      <c r="M28" s="2320">
        <f>(Motpart!G17+Motpart!K17)*1000000/J24</f>
        <v>464.95317630842828</v>
      </c>
      <c r="N28" s="2209"/>
      <c r="O28" s="2209"/>
      <c r="P28" s="2209"/>
      <c r="Q28" s="2330" t="s">
        <v>924</v>
      </c>
      <c r="R28" s="2209"/>
      <c r="S28" s="2209"/>
      <c r="T28" s="2209"/>
      <c r="U28" s="2209"/>
      <c r="V28" s="2209"/>
      <c r="W28" s="2209"/>
      <c r="X28" s="2209"/>
      <c r="Y28" s="2209"/>
      <c r="Z28" s="2209"/>
    </row>
    <row r="29" spans="1:256" ht="12.75">
      <c r="A29" s="1095" t="s">
        <v>572</v>
      </c>
      <c r="B29" s="1104"/>
      <c r="C29" s="1084"/>
      <c r="D29" s="1084"/>
      <c r="E29" s="1084"/>
      <c r="F29" s="1079"/>
      <c r="G29" s="1266"/>
      <c r="H29" s="425" t="s">
        <v>599</v>
      </c>
      <c r="I29" s="1124"/>
      <c r="J29" s="1403"/>
      <c r="K29" s="1404"/>
      <c r="L29" s="1404"/>
      <c r="M29" s="2324">
        <f>F24*1000000/J24</f>
        <v>377.06247212875502</v>
      </c>
      <c r="N29" s="2209"/>
      <c r="O29" s="2209"/>
      <c r="P29" s="2209"/>
      <c r="Q29" s="2330" t="s">
        <v>925</v>
      </c>
      <c r="R29" s="2209"/>
      <c r="S29" s="2209"/>
      <c r="T29" s="2209"/>
      <c r="U29" s="2209"/>
      <c r="V29" s="2209"/>
      <c r="W29" s="2209"/>
      <c r="X29" s="2209"/>
      <c r="Y29" s="2209"/>
      <c r="Z29" s="2209"/>
    </row>
    <row r="30" spans="1:256" ht="13.5" thickBot="1">
      <c r="A30" s="1095" t="s">
        <v>580</v>
      </c>
      <c r="B30" s="1105"/>
      <c r="C30" s="1084"/>
      <c r="D30" s="1084"/>
      <c r="E30" s="1084"/>
      <c r="F30" s="1079"/>
      <c r="G30" s="1267"/>
      <c r="H30" s="428" t="s">
        <v>600</v>
      </c>
      <c r="I30" s="656"/>
      <c r="J30" s="1408"/>
      <c r="K30" s="1409"/>
      <c r="L30" s="1409"/>
      <c r="M30" s="2325">
        <f>(Motpart!D17+Motpart!E17+Motpart!F17+Motpart!I17+Motpart!J17-(Motpart!D17+Motpart!E17+Motpart!F17+Motpart!J17)*0.06)*1000000/J24</f>
        <v>6613.0683098877043</v>
      </c>
      <c r="N30" s="2209"/>
      <c r="O30" s="2209"/>
      <c r="P30" s="2209"/>
      <c r="Q30" s="2332" t="s">
        <v>926</v>
      </c>
      <c r="R30" s="2209"/>
      <c r="S30" s="2209"/>
      <c r="T30" s="2209"/>
      <c r="U30" s="2209"/>
      <c r="V30" s="2209"/>
      <c r="W30" s="2209"/>
      <c r="X30" s="2209"/>
      <c r="Y30" s="2209"/>
      <c r="Z30" s="2209"/>
    </row>
    <row r="31" spans="1:256" ht="12.75">
      <c r="A31" s="1097" t="s">
        <v>403</v>
      </c>
      <c r="B31" s="1106" t="s">
        <v>555</v>
      </c>
      <c r="C31" s="81">
        <f>Drift!P54</f>
        <v>144764.06699999998</v>
      </c>
      <c r="D31" s="82">
        <f>SUM(Motpart!D18:L18)</f>
        <v>18917.107000000004</v>
      </c>
      <c r="E31" s="82">
        <f>Drift!W54</f>
        <v>29237.529000000002</v>
      </c>
      <c r="F31" s="82">
        <f>Motpart!Y18</f>
        <v>1455.769</v>
      </c>
      <c r="G31" s="130">
        <f>Drift!V54</f>
        <v>15707.939</v>
      </c>
      <c r="H31" s="429"/>
      <c r="I31" s="1050" t="s">
        <v>882</v>
      </c>
      <c r="J31" s="1508">
        <v>1102143</v>
      </c>
      <c r="K31" s="1405"/>
      <c r="L31" s="1405"/>
      <c r="M31" s="2326">
        <f>SUM(M32:M34,M36:M38)</f>
        <v>96175.88915412972</v>
      </c>
      <c r="N31" s="2209"/>
      <c r="O31" s="2209"/>
      <c r="P31" s="2209"/>
      <c r="Q31" s="2330" t="s">
        <v>909</v>
      </c>
      <c r="R31" s="2209"/>
      <c r="S31" s="2209"/>
      <c r="T31" s="2209"/>
      <c r="U31" s="2209"/>
      <c r="V31" s="2209"/>
      <c r="W31" s="2209"/>
      <c r="X31" s="2209"/>
      <c r="Y31" s="2209"/>
      <c r="Z31" s="2209"/>
    </row>
    <row r="32" spans="1:256" ht="12.75">
      <c r="A32" s="1092" t="s">
        <v>392</v>
      </c>
      <c r="B32" s="1107" t="s">
        <v>511</v>
      </c>
      <c r="C32" s="269">
        <v>65815.504000000001</v>
      </c>
      <c r="D32" s="1084"/>
      <c r="E32" s="247">
        <v>5583.2610000000004</v>
      </c>
      <c r="F32" s="1085"/>
      <c r="G32" s="268">
        <v>5413.6059999999998</v>
      </c>
      <c r="H32" s="152" t="s">
        <v>601</v>
      </c>
      <c r="I32" s="1991"/>
      <c r="J32" s="1992"/>
      <c r="K32" s="1992"/>
      <c r="L32" s="2309"/>
      <c r="M32" s="2319">
        <f t="shared" ref="M32:M37" si="0">(C32-E32)*1000000/$J$31</f>
        <v>54650.116182745798</v>
      </c>
      <c r="N32" s="2209"/>
      <c r="O32" s="2209"/>
      <c r="P32" s="2209"/>
      <c r="Q32" s="2330" t="s">
        <v>910</v>
      </c>
      <c r="R32" s="2209"/>
      <c r="S32" s="2209"/>
      <c r="T32" s="2209"/>
      <c r="U32" s="2209"/>
      <c r="V32" s="2209"/>
      <c r="W32" s="2209"/>
      <c r="X32" s="2209"/>
      <c r="Y32" s="2209"/>
      <c r="Z32" s="2209"/>
    </row>
    <row r="33" spans="1:26" ht="12.75">
      <c r="A33" s="1092" t="s">
        <v>393</v>
      </c>
      <c r="B33" s="1107" t="s">
        <v>870</v>
      </c>
      <c r="C33" s="269">
        <v>4833.384</v>
      </c>
      <c r="D33" s="1084"/>
      <c r="E33" s="247">
        <v>206.614</v>
      </c>
      <c r="F33" s="1077"/>
      <c r="G33" s="268">
        <v>120.10599999999999</v>
      </c>
      <c r="H33" s="152" t="s">
        <v>602</v>
      </c>
      <c r="I33" s="1402"/>
      <c r="J33" s="1403"/>
      <c r="K33" s="1126"/>
      <c r="L33" s="1126"/>
      <c r="M33" s="2319">
        <f t="shared" si="0"/>
        <v>4197.976124695253</v>
      </c>
      <c r="N33" s="2209"/>
      <c r="O33" s="2209"/>
      <c r="P33" s="2209"/>
      <c r="Q33" s="2330" t="s">
        <v>911</v>
      </c>
      <c r="R33" s="2209"/>
      <c r="S33" s="2209"/>
      <c r="T33" s="2209"/>
      <c r="U33" s="2209"/>
      <c r="V33" s="2209"/>
      <c r="W33" s="2209"/>
      <c r="X33" s="2209"/>
      <c r="Y33" s="2209"/>
      <c r="Z33" s="2209"/>
    </row>
    <row r="34" spans="1:26" ht="12.75">
      <c r="A34" s="1092" t="s">
        <v>394</v>
      </c>
      <c r="B34" s="1107" t="s">
        <v>532</v>
      </c>
      <c r="C34" s="269">
        <v>7104.0630000000001</v>
      </c>
      <c r="D34" s="1084"/>
      <c r="E34" s="247">
        <v>1180.6780000000001</v>
      </c>
      <c r="F34" s="1077"/>
      <c r="G34" s="268">
        <v>1027.809</v>
      </c>
      <c r="H34" s="152"/>
      <c r="I34" s="1402"/>
      <c r="J34" s="1217"/>
      <c r="K34" s="1122"/>
      <c r="L34" s="1122"/>
      <c r="M34" s="2319">
        <f t="shared" si="0"/>
        <v>5374.4250972877389</v>
      </c>
      <c r="N34" s="2209"/>
      <c r="O34" s="2209"/>
      <c r="P34" s="2209"/>
      <c r="Q34" s="2330" t="s">
        <v>912</v>
      </c>
      <c r="R34" s="2209"/>
      <c r="S34" s="2209"/>
      <c r="T34" s="2209"/>
      <c r="U34" s="2209"/>
      <c r="V34" s="2209"/>
      <c r="W34" s="2209"/>
      <c r="X34" s="2209"/>
      <c r="Y34" s="2209"/>
      <c r="Z34" s="2209"/>
    </row>
    <row r="35" spans="1:26" ht="12.75">
      <c r="A35" s="1092" t="s">
        <v>395</v>
      </c>
      <c r="B35" s="1107" t="s">
        <v>512</v>
      </c>
      <c r="C35" s="269">
        <v>3597.4380000000001</v>
      </c>
      <c r="D35" s="1084"/>
      <c r="E35" s="247">
        <v>27.166</v>
      </c>
      <c r="F35" s="1077"/>
      <c r="G35" s="268">
        <v>13.597</v>
      </c>
      <c r="H35" s="152" t="s">
        <v>603</v>
      </c>
      <c r="I35" s="845"/>
      <c r="J35" s="1403"/>
      <c r="K35" s="1404"/>
      <c r="L35" s="1404"/>
      <c r="M35" s="2319">
        <f t="shared" si="0"/>
        <v>3239.3908957367603</v>
      </c>
      <c r="N35" s="2209"/>
      <c r="O35" s="2209"/>
      <c r="P35" s="2209"/>
      <c r="Q35" s="2330" t="s">
        <v>913</v>
      </c>
      <c r="R35" s="2209"/>
      <c r="S35" s="2209"/>
      <c r="T35" s="2209"/>
      <c r="U35" s="2209"/>
      <c r="V35" s="2209"/>
      <c r="W35" s="2209"/>
      <c r="X35" s="2209"/>
      <c r="Y35" s="2209"/>
      <c r="Z35" s="2209"/>
    </row>
    <row r="36" spans="1:26" ht="15" customHeight="1">
      <c r="A36" s="1092" t="s">
        <v>396</v>
      </c>
      <c r="B36" s="1108" t="s">
        <v>775</v>
      </c>
      <c r="C36" s="269">
        <v>3656.8649999999998</v>
      </c>
      <c r="D36" s="1084"/>
      <c r="E36" s="247">
        <v>259.63200000000001</v>
      </c>
      <c r="F36" s="1076"/>
      <c r="G36" s="268">
        <v>205.77699999999999</v>
      </c>
      <c r="H36" s="152" t="s">
        <v>604</v>
      </c>
      <c r="I36" s="1998"/>
      <c r="J36" s="1403"/>
      <c r="K36" s="1404"/>
      <c r="L36" s="1404"/>
      <c r="M36" s="2319">
        <f t="shared" si="0"/>
        <v>3082.3885829697233</v>
      </c>
      <c r="N36" s="2209"/>
      <c r="O36" s="2209"/>
      <c r="P36" s="2209"/>
      <c r="Q36" s="2330" t="s">
        <v>914</v>
      </c>
      <c r="R36" s="2209"/>
      <c r="S36" s="2209"/>
      <c r="T36" s="2209"/>
      <c r="U36" s="2209"/>
      <c r="V36" s="2209"/>
      <c r="W36" s="2209"/>
      <c r="X36" s="2209"/>
      <c r="Y36" s="2209"/>
      <c r="Z36" s="2209"/>
    </row>
    <row r="37" spans="1:26" s="205" customFormat="1" ht="12.75">
      <c r="A37" s="1092" t="s">
        <v>244</v>
      </c>
      <c r="B37" s="1109" t="s">
        <v>550</v>
      </c>
      <c r="C37" s="269">
        <v>18150.284</v>
      </c>
      <c r="D37" s="1084"/>
      <c r="E37" s="247">
        <v>1057.963</v>
      </c>
      <c r="F37" s="1004"/>
      <c r="G37" s="268">
        <v>965.255</v>
      </c>
      <c r="H37" s="167" t="s">
        <v>605</v>
      </c>
      <c r="I37" s="1999"/>
      <c r="J37" s="1403"/>
      <c r="K37" s="1404"/>
      <c r="L37" s="1404"/>
      <c r="M37" s="2319">
        <f t="shared" si="0"/>
        <v>15508.260724787981</v>
      </c>
      <c r="N37" s="2209"/>
      <c r="O37" s="2209"/>
      <c r="P37" s="2209"/>
      <c r="Q37" s="2330" t="s">
        <v>915</v>
      </c>
      <c r="R37" s="2209"/>
      <c r="S37" s="2209"/>
      <c r="T37" s="2209"/>
      <c r="U37" s="2209"/>
      <c r="V37" s="2209"/>
      <c r="W37" s="2209"/>
      <c r="X37" s="2209"/>
      <c r="Y37" s="2209"/>
      <c r="Z37" s="2209"/>
    </row>
    <row r="38" spans="1:26" s="205" customFormat="1" ht="12.75" customHeight="1">
      <c r="A38" s="1092" t="s">
        <v>397</v>
      </c>
      <c r="B38" s="1107" t="s">
        <v>464</v>
      </c>
      <c r="C38" s="269">
        <v>18888.583999999999</v>
      </c>
      <c r="D38" s="1084"/>
      <c r="E38" s="247">
        <v>18444.695</v>
      </c>
      <c r="F38" s="1004"/>
      <c r="G38" s="268">
        <v>7961.7910000000002</v>
      </c>
      <c r="H38" s="152"/>
      <c r="I38" s="2531" t="str">
        <f>IF(SUM(E38-G38+100)&lt;Motpart!AA18,"I Motparten är statsbidragen "&amp;""&amp;(Motpart!AA18)&amp;" tkr. Alla bidrag från staten o statliga myndigheter, inklusive de från Migrationsverket, ska ingå under Övrigt som extern intäkt. De externa intäkterna på Övrigt-raden är dock bara "&amp;""&amp;(ROUND(E38-G38,0))&amp;" tkr. ","")</f>
        <v/>
      </c>
      <c r="J38" s="1995"/>
      <c r="K38" s="1995"/>
      <c r="L38" s="2310"/>
      <c r="M38" s="2319">
        <f>((C38+C39-G38)*1000000/J31)</f>
        <v>13362.722441643233</v>
      </c>
      <c r="N38" s="2209"/>
      <c r="O38" s="2209"/>
      <c r="P38" s="2209"/>
      <c r="Q38" s="2330" t="s">
        <v>916</v>
      </c>
      <c r="R38" s="2209"/>
      <c r="S38" s="2209"/>
      <c r="T38" s="2209"/>
      <c r="U38" s="2209"/>
      <c r="V38" s="2209"/>
      <c r="W38" s="2209"/>
      <c r="X38" s="2209"/>
      <c r="Y38" s="2209"/>
      <c r="Z38" s="2209"/>
    </row>
    <row r="39" spans="1:26" s="205" customFormat="1" ht="12.75">
      <c r="A39" s="1092" t="s">
        <v>398</v>
      </c>
      <c r="B39" s="1110" t="s">
        <v>513</v>
      </c>
      <c r="C39" s="269">
        <v>3800.8380000000002</v>
      </c>
      <c r="D39" s="1071"/>
      <c r="E39" s="1006"/>
      <c r="F39" s="1006"/>
      <c r="G39" s="1086"/>
      <c r="H39" s="166"/>
      <c r="I39" s="2532"/>
      <c r="J39" s="1996"/>
      <c r="K39" s="1996"/>
      <c r="L39" s="2311"/>
      <c r="M39" s="2320">
        <f>(M31*J31/1000000+D31-F31-(Motpart!D18+Motpart!E18+Motpart!F18+Motpart!J18)*0.06)*1000000/J31+M35</f>
        <v>114331.31234331659</v>
      </c>
      <c r="N39" s="2209"/>
      <c r="O39" s="2209"/>
      <c r="P39" s="2209"/>
      <c r="Q39" s="2330" t="s">
        <v>917</v>
      </c>
      <c r="R39" s="2209"/>
      <c r="S39" s="2209"/>
      <c r="T39" s="2209"/>
      <c r="U39" s="2209"/>
      <c r="V39" s="2209"/>
      <c r="W39" s="2209"/>
      <c r="X39" s="2209"/>
      <c r="Y39" s="2209"/>
      <c r="Z39" s="2209"/>
    </row>
    <row r="40" spans="1:26" ht="12.75">
      <c r="A40" s="1111" t="s">
        <v>573</v>
      </c>
      <c r="B40" s="1112" t="s">
        <v>130</v>
      </c>
      <c r="C40" s="1263">
        <f>(C31-SUM(C32:C39)-D31)*-1</f>
        <v>2.9103830456733704E-11</v>
      </c>
      <c r="D40" s="1073"/>
      <c r="E40" s="1264">
        <f>(E31-SUM(E32:E38)-F31-SUM(Motpart!D18+Motpart!E18+Motpart!F18+Motpart!J18)*0.06)*-1</f>
        <v>-1.358000000402626E-2</v>
      </c>
      <c r="F40" s="1073"/>
      <c r="G40" s="1265">
        <f>(G31-SUM(G32:G38))*-1</f>
        <v>1.9999999985884642E-3</v>
      </c>
      <c r="H40" s="154"/>
      <c r="I40" s="2532"/>
      <c r="J40" s="1996"/>
      <c r="K40" s="1996"/>
      <c r="L40" s="2311"/>
      <c r="M40" s="2319">
        <f>(Motpart!G18+Motpart!K18)*1000000/J31</f>
        <v>1399.3701361801509</v>
      </c>
      <c r="N40" s="2209"/>
      <c r="O40" s="2209"/>
      <c r="P40" s="2209"/>
      <c r="Q40" s="2330" t="s">
        <v>918</v>
      </c>
      <c r="R40" s="2209"/>
      <c r="S40" s="2209"/>
      <c r="T40" s="2209"/>
      <c r="U40" s="2209"/>
      <c r="V40" s="2209"/>
      <c r="W40" s="2209"/>
      <c r="X40" s="2209"/>
      <c r="Y40" s="2209"/>
      <c r="Z40" s="2209"/>
    </row>
    <row r="41" spans="1:26" ht="12.75">
      <c r="A41" s="1111" t="s">
        <v>574</v>
      </c>
      <c r="B41" s="1112"/>
      <c r="C41" s="1075"/>
      <c r="D41" s="1073"/>
      <c r="E41" s="1073"/>
      <c r="F41" s="1073"/>
      <c r="G41" s="1083"/>
      <c r="H41" s="154"/>
      <c r="I41" s="2532"/>
      <c r="J41" s="1996"/>
      <c r="K41" s="1996"/>
      <c r="L41" s="2311"/>
      <c r="M41" s="2320">
        <f>F31*1000000/J31</f>
        <v>1320.853101639261</v>
      </c>
      <c r="N41" s="2209"/>
      <c r="O41" s="2209"/>
      <c r="P41" s="2209"/>
      <c r="Q41" s="2330" t="s">
        <v>919</v>
      </c>
      <c r="R41" s="2209"/>
      <c r="S41" s="2209"/>
      <c r="T41" s="2209"/>
      <c r="U41" s="2209"/>
      <c r="V41" s="2209"/>
      <c r="W41" s="2209"/>
      <c r="X41" s="2209"/>
      <c r="Y41" s="2209"/>
      <c r="Z41" s="2209"/>
    </row>
    <row r="42" spans="1:26" ht="12.75">
      <c r="A42" s="1092" t="s">
        <v>575</v>
      </c>
      <c r="B42" s="1110"/>
      <c r="C42" s="1075"/>
      <c r="D42" s="1073"/>
      <c r="E42" s="1073"/>
      <c r="F42" s="1073"/>
      <c r="G42" s="1083"/>
      <c r="H42" s="154"/>
      <c r="I42" s="2532"/>
      <c r="J42" s="1997"/>
      <c r="K42" s="1997"/>
      <c r="L42" s="2312"/>
      <c r="M42" s="2324">
        <f>((Motpart!D18+Motpart!E18+Motpart!F18+Motpart!J18-(Motpart!D18+Motpart!E18+Motpart!F18+Motpart!J18)*0.06))*1000000/J31</f>
        <v>14523.722947022303</v>
      </c>
      <c r="N42" s="2209"/>
      <c r="O42" s="2209"/>
      <c r="P42" s="2209"/>
      <c r="Q42" s="2330" t="s">
        <v>920</v>
      </c>
      <c r="R42" s="2209"/>
      <c r="S42" s="2209"/>
      <c r="T42" s="2209"/>
      <c r="U42" s="2209"/>
      <c r="V42" s="2209"/>
      <c r="W42" s="2209"/>
      <c r="X42" s="2209"/>
      <c r="Y42" s="2209"/>
      <c r="Z42" s="2209"/>
    </row>
    <row r="43" spans="1:26" ht="13.5" thickBot="1">
      <c r="A43" s="1113"/>
      <c r="B43" s="1114"/>
      <c r="C43" s="1849" t="str">
        <f>IF(ABS(C40)&lt;100,"",IF(C31=0,"C31",IF(ABS(C40/C31)&gt;0.01,"C40")))</f>
        <v/>
      </c>
      <c r="D43" s="1850"/>
      <c r="E43" s="1847" t="str">
        <f>IF(ABS(E40)&lt;100,"",IF(E31=0,"E31",IF(ABS(E40/E31)&gt;0.01,"E40")))</f>
        <v/>
      </c>
      <c r="F43" s="1850"/>
      <c r="G43" s="1851" t="str">
        <f>IF(ABS(G40)&lt;100,"",IF(G31=0,"G31",IF(ABS(G40/G31)&gt;0.01,"G40")))</f>
        <v/>
      </c>
      <c r="H43" s="153"/>
      <c r="I43" s="1125"/>
      <c r="J43" s="1510"/>
      <c r="K43" s="1123"/>
      <c r="L43" s="1123"/>
      <c r="M43" s="2325"/>
      <c r="N43" s="2209"/>
      <c r="O43" s="2209"/>
      <c r="P43" s="2209"/>
      <c r="Q43" s="2332" t="s">
        <v>515</v>
      </c>
      <c r="R43" s="2209"/>
      <c r="S43" s="2209"/>
      <c r="T43" s="2209"/>
      <c r="U43" s="2209"/>
      <c r="V43" s="2209"/>
      <c r="W43" s="2209"/>
      <c r="X43" s="2209"/>
      <c r="Y43" s="2209"/>
      <c r="Z43" s="2209"/>
    </row>
    <row r="44" spans="1:26" ht="12.75">
      <c r="A44" s="1097" t="s">
        <v>404</v>
      </c>
      <c r="B44" s="1106" t="s">
        <v>592</v>
      </c>
      <c r="C44" s="81">
        <f>Drift!P55</f>
        <v>6740.4049999999997</v>
      </c>
      <c r="D44" s="82">
        <f>SUM(Motpart!D19:L19)</f>
        <v>637.79200000000003</v>
      </c>
      <c r="E44" s="82">
        <f>Drift!W55</f>
        <v>1065.28</v>
      </c>
      <c r="F44" s="82">
        <f>Motpart!Y19</f>
        <v>307.85399999999998</v>
      </c>
      <c r="G44" s="130">
        <f>Drift!V55</f>
        <v>594.28</v>
      </c>
      <c r="H44" s="156"/>
      <c r="I44" s="1406" t="s">
        <v>882</v>
      </c>
      <c r="J44" s="1508">
        <v>1102143</v>
      </c>
      <c r="K44" s="1407"/>
      <c r="L44" s="1405"/>
      <c r="M44" s="2320">
        <f>SUM(M45:M47,M49:M51)</f>
        <v>4434.0353293538128</v>
      </c>
      <c r="N44" s="2209"/>
      <c r="O44" s="2209"/>
      <c r="P44" s="2209"/>
      <c r="Q44" s="2330" t="s">
        <v>909</v>
      </c>
      <c r="R44" s="2209"/>
      <c r="S44" s="2209"/>
      <c r="T44" s="2209"/>
      <c r="U44" s="2209"/>
      <c r="V44" s="2209"/>
      <c r="W44" s="2209"/>
      <c r="X44" s="2209"/>
      <c r="Y44" s="2209"/>
      <c r="Z44" s="2209"/>
    </row>
    <row r="45" spans="1:26" ht="12.75">
      <c r="A45" s="1092" t="s">
        <v>399</v>
      </c>
      <c r="B45" s="1107" t="s">
        <v>514</v>
      </c>
      <c r="C45" s="269">
        <v>2884.9360000000001</v>
      </c>
      <c r="D45" s="1084"/>
      <c r="E45" s="247">
        <v>224.24799999999999</v>
      </c>
      <c r="F45" s="1077"/>
      <c r="G45" s="268">
        <v>222.08699999999999</v>
      </c>
      <c r="H45" s="150" t="s">
        <v>606</v>
      </c>
      <c r="I45" s="1402"/>
      <c r="J45" s="1403"/>
      <c r="K45" s="1404"/>
      <c r="L45" s="1404"/>
      <c r="M45" s="2324">
        <f t="shared" ref="M45:M50" si="1">(C45-E45)*1000000/$J$44</f>
        <v>2414.1041588977109</v>
      </c>
      <c r="N45" s="2209"/>
      <c r="O45" s="2209"/>
      <c r="P45" s="2209"/>
      <c r="Q45" s="2330" t="s">
        <v>948</v>
      </c>
      <c r="R45" s="2209"/>
      <c r="S45" s="2209"/>
      <c r="T45" s="2209"/>
      <c r="U45" s="2209"/>
      <c r="V45" s="2209"/>
      <c r="W45" s="2209"/>
      <c r="X45" s="2209"/>
      <c r="Y45" s="2209"/>
      <c r="Z45" s="2209"/>
    </row>
    <row r="46" spans="1:26" ht="12.75">
      <c r="A46" s="1092" t="s">
        <v>405</v>
      </c>
      <c r="B46" s="1107" t="s">
        <v>870</v>
      </c>
      <c r="C46" s="269">
        <v>90.234999999999999</v>
      </c>
      <c r="D46" s="1084"/>
      <c r="E46" s="247">
        <v>2.7839999999999998</v>
      </c>
      <c r="F46" s="1077"/>
      <c r="G46" s="268">
        <v>2.25</v>
      </c>
      <c r="H46" s="154" t="s">
        <v>607</v>
      </c>
      <c r="I46" s="1402"/>
      <c r="J46" s="1403"/>
      <c r="K46" s="1126"/>
      <c r="L46" s="1126"/>
      <c r="M46" s="2324">
        <f t="shared" si="1"/>
        <v>79.346328017326243</v>
      </c>
      <c r="N46" s="2209"/>
      <c r="O46" s="2209"/>
      <c r="P46" s="2209"/>
      <c r="Q46" s="2330" t="s">
        <v>949</v>
      </c>
      <c r="R46" s="2209"/>
      <c r="S46" s="2209"/>
      <c r="T46" s="2209"/>
      <c r="U46" s="2209"/>
      <c r="V46" s="2209"/>
      <c r="W46" s="2209"/>
      <c r="X46" s="2209"/>
      <c r="Y46" s="2209"/>
      <c r="Z46" s="2209"/>
    </row>
    <row r="47" spans="1:26" ht="12.75">
      <c r="A47" s="1092" t="s">
        <v>406</v>
      </c>
      <c r="B47" s="1107" t="s">
        <v>532</v>
      </c>
      <c r="C47" s="269">
        <v>88.882999999999996</v>
      </c>
      <c r="D47" s="1084"/>
      <c r="E47" s="247">
        <v>8.5269999999999992</v>
      </c>
      <c r="F47" s="1076"/>
      <c r="G47" s="268">
        <v>5.5259999999999998</v>
      </c>
      <c r="H47" s="154"/>
      <c r="I47" s="1402"/>
      <c r="J47" s="1509"/>
      <c r="K47" s="1122"/>
      <c r="L47" s="1122"/>
      <c r="M47" s="2324">
        <f t="shared" si="1"/>
        <v>72.90886935724312</v>
      </c>
      <c r="N47" s="2209"/>
      <c r="O47" s="2209"/>
      <c r="P47" s="2209"/>
      <c r="Q47" s="2330" t="s">
        <v>950</v>
      </c>
      <c r="R47" s="2209"/>
      <c r="S47" s="2209"/>
      <c r="T47" s="2209"/>
      <c r="U47" s="2209"/>
      <c r="V47" s="2209"/>
      <c r="W47" s="2209"/>
      <c r="X47" s="2209"/>
      <c r="Y47" s="2209"/>
      <c r="Z47" s="2209"/>
    </row>
    <row r="48" spans="1:26" ht="12.75">
      <c r="A48" s="1092" t="s">
        <v>400</v>
      </c>
      <c r="B48" s="1107" t="s">
        <v>512</v>
      </c>
      <c r="C48" s="269">
        <v>615.00699999999995</v>
      </c>
      <c r="D48" s="1084"/>
      <c r="E48" s="247">
        <v>6.9589999999999996</v>
      </c>
      <c r="F48" s="1004"/>
      <c r="G48" s="268">
        <v>0.72099999999999997</v>
      </c>
      <c r="H48" s="152" t="s">
        <v>608</v>
      </c>
      <c r="I48" s="1402"/>
      <c r="J48" s="1403"/>
      <c r="K48" s="1404"/>
      <c r="L48" s="1404"/>
      <c r="M48" s="2324">
        <f t="shared" si="1"/>
        <v>551.69610477043364</v>
      </c>
      <c r="N48" s="2209"/>
      <c r="O48" s="2209"/>
      <c r="P48" s="2209"/>
      <c r="Q48" s="2330" t="s">
        <v>951</v>
      </c>
      <c r="R48" s="2209"/>
      <c r="S48" s="2209"/>
      <c r="T48" s="2209"/>
      <c r="U48" s="2209"/>
      <c r="V48" s="2209"/>
      <c r="W48" s="2209"/>
      <c r="X48" s="2209"/>
      <c r="Y48" s="2209"/>
      <c r="Z48" s="2209"/>
    </row>
    <row r="49" spans="1:26" ht="12.75">
      <c r="A49" s="1092" t="s">
        <v>407</v>
      </c>
      <c r="B49" s="1108" t="s">
        <v>775</v>
      </c>
      <c r="C49" s="269">
        <v>87.301000000000002</v>
      </c>
      <c r="D49" s="1084"/>
      <c r="E49" s="247">
        <v>3.0409999999999999</v>
      </c>
      <c r="F49" s="1087"/>
      <c r="G49" s="268">
        <v>2.2320000000000002</v>
      </c>
      <c r="H49" s="154" t="s">
        <v>609</v>
      </c>
      <c r="I49" s="1402"/>
      <c r="J49" s="1403"/>
      <c r="K49" s="1404"/>
      <c r="L49" s="1404"/>
      <c r="M49" s="2324">
        <f t="shared" si="1"/>
        <v>76.451059436026</v>
      </c>
      <c r="N49" s="2209"/>
      <c r="O49" s="2209"/>
      <c r="P49" s="2209"/>
      <c r="Q49" s="2330" t="s">
        <v>952</v>
      </c>
      <c r="R49" s="2209"/>
      <c r="S49" s="2209"/>
      <c r="T49" s="2209"/>
      <c r="U49" s="2209"/>
      <c r="V49" s="2209"/>
      <c r="W49" s="2209"/>
      <c r="X49" s="2209"/>
      <c r="Y49" s="2209"/>
      <c r="Z49" s="2209"/>
    </row>
    <row r="50" spans="1:26" ht="12.75">
      <c r="A50" s="1092" t="s">
        <v>408</v>
      </c>
      <c r="B50" s="1109" t="s">
        <v>550</v>
      </c>
      <c r="C50" s="269">
        <v>517.17700000000002</v>
      </c>
      <c r="D50" s="1084"/>
      <c r="E50" s="247">
        <v>15.672000000000001</v>
      </c>
      <c r="F50" s="1076"/>
      <c r="G50" s="268">
        <v>15.061</v>
      </c>
      <c r="H50" s="152" t="s">
        <v>610</v>
      </c>
      <c r="I50" s="1402"/>
      <c r="J50" s="1403"/>
      <c r="K50" s="1404"/>
      <c r="L50" s="1404"/>
      <c r="M50" s="2324">
        <f t="shared" si="1"/>
        <v>455.02716072233818</v>
      </c>
      <c r="N50" s="2209"/>
      <c r="O50" s="2209"/>
      <c r="P50" s="2209"/>
      <c r="Q50" s="2330" t="s">
        <v>953</v>
      </c>
      <c r="R50" s="2209"/>
      <c r="S50" s="2209"/>
      <c r="T50" s="2209"/>
      <c r="U50" s="2209"/>
      <c r="V50" s="2209"/>
      <c r="W50" s="2209"/>
      <c r="X50" s="2209"/>
      <c r="Y50" s="2209"/>
      <c r="Z50" s="2209"/>
    </row>
    <row r="51" spans="1:26" ht="12.75">
      <c r="A51" s="1092" t="s">
        <v>409</v>
      </c>
      <c r="B51" s="1107" t="s">
        <v>464</v>
      </c>
      <c r="C51" s="269">
        <v>1648.527</v>
      </c>
      <c r="D51" s="1325"/>
      <c r="E51" s="247">
        <v>476.81200000000001</v>
      </c>
      <c r="F51" s="1076"/>
      <c r="G51" s="268">
        <v>346.404</v>
      </c>
      <c r="H51" s="150" t="s">
        <v>611</v>
      </c>
      <c r="I51" s="2533" t="str">
        <f>IF(SUM(E51-G51+100)&lt;Motpart!AA19,"I Motparten är statsbidragen "&amp;""&amp;(Motpart!AA19)&amp;" tkr. Alla bidrag från staten o statliga myndigheter, inklusive de från Migrationsverket, ska ingå under Övrigt som extern intäkt. De externa intäkterna på Övrigt-raden är dock bara "&amp;""&amp;(ROUND(E51-G51,0))&amp;" tkr. ","")</f>
        <v/>
      </c>
      <c r="J51" s="1999"/>
      <c r="K51" s="1999"/>
      <c r="L51" s="2313"/>
      <c r="M51" s="2324">
        <f>(C51+C52-G51)*1000000/$J$44</f>
        <v>1336.1977529231688</v>
      </c>
      <c r="N51" s="2209"/>
      <c r="O51" s="2209"/>
      <c r="P51" s="2209"/>
      <c r="Q51" s="2330" t="s">
        <v>954</v>
      </c>
      <c r="R51" s="2209"/>
      <c r="S51" s="2209"/>
      <c r="T51" s="2209"/>
      <c r="U51" s="2209"/>
      <c r="V51" s="2209"/>
      <c r="W51" s="2209"/>
      <c r="X51" s="2209"/>
      <c r="Y51" s="2209"/>
      <c r="Z51" s="2209"/>
    </row>
    <row r="52" spans="1:26" ht="12.75">
      <c r="A52" s="1092" t="s">
        <v>410</v>
      </c>
      <c r="B52" s="1110" t="s">
        <v>474</v>
      </c>
      <c r="C52" s="269">
        <v>170.55799999999999</v>
      </c>
      <c r="D52" s="1326"/>
      <c r="E52" s="1084"/>
      <c r="F52" s="1084"/>
      <c r="G52" s="1086"/>
      <c r="H52" s="154"/>
      <c r="I52" s="2530"/>
      <c r="J52" s="1999"/>
      <c r="K52" s="1999"/>
      <c r="L52" s="2313"/>
      <c r="M52" s="2319">
        <f>((M44*J44/1000000+D44-F44-(Motpart!D19+Motpart!E19+Motpart!F19+Motpart!J19)*0.06))*1000000/J44+M48</f>
        <v>5267.5043982495908</v>
      </c>
      <c r="N52" s="2209"/>
      <c r="O52" s="2209"/>
      <c r="P52" s="2209"/>
      <c r="Q52" s="2330" t="s">
        <v>955</v>
      </c>
      <c r="R52" s="2209"/>
      <c r="S52" s="2209"/>
      <c r="T52" s="2209"/>
      <c r="U52" s="2209"/>
      <c r="V52" s="2209"/>
      <c r="W52" s="2209"/>
      <c r="X52" s="2209"/>
      <c r="Y52" s="2209"/>
      <c r="Z52" s="2209"/>
    </row>
    <row r="53" spans="1:26" ht="12.75">
      <c r="A53" s="1113" t="s">
        <v>576</v>
      </c>
      <c r="B53" s="1110" t="s">
        <v>130</v>
      </c>
      <c r="C53" s="1263">
        <f>(C44-SUM(C45:C52)-D44)*-1</f>
        <v>1.1000000000080945E-2</v>
      </c>
      <c r="D53" s="1084"/>
      <c r="E53" s="1264">
        <f>(E44-SUM(E45:E51)-F44-SUM(Motpart!D19+Motpart!E19+Motpart!F19+Motpart!J19)*0.06)*-1</f>
        <v>9.0000000001921876E-4</v>
      </c>
      <c r="F53" s="1084"/>
      <c r="G53" s="1265">
        <f>(G44-SUM(G45:G51))*-1</f>
        <v>9.9999999997635314E-4</v>
      </c>
      <c r="H53" s="154"/>
      <c r="I53" s="2530"/>
      <c r="J53" s="1999"/>
      <c r="K53" s="1999"/>
      <c r="L53" s="2313"/>
      <c r="M53" s="2320">
        <f>(Motpart!G19+Motpart!K19)*1000000/J44</f>
        <v>272.294067103815</v>
      </c>
      <c r="N53" s="2209"/>
      <c r="O53" s="2209"/>
      <c r="P53" s="2209"/>
      <c r="Q53" s="2330" t="s">
        <v>956</v>
      </c>
      <c r="R53" s="2209"/>
      <c r="S53" s="2209"/>
      <c r="T53" s="2209"/>
      <c r="U53" s="2209"/>
      <c r="V53" s="2209"/>
      <c r="W53" s="2209"/>
      <c r="X53" s="2209"/>
      <c r="Y53" s="2209"/>
      <c r="Z53" s="2209"/>
    </row>
    <row r="54" spans="1:26" ht="12.75">
      <c r="A54" s="1113" t="s">
        <v>577</v>
      </c>
      <c r="B54" s="1110"/>
      <c r="C54" s="1084"/>
      <c r="D54" s="1084"/>
      <c r="E54" s="1084"/>
      <c r="F54" s="1084"/>
      <c r="G54" s="1086"/>
      <c r="H54" s="152"/>
      <c r="I54" s="2530"/>
      <c r="J54" s="1999"/>
      <c r="K54" s="1999"/>
      <c r="L54" s="2313"/>
      <c r="M54" s="2324">
        <f>F44*1000000/J44</f>
        <v>279.32310054139981</v>
      </c>
      <c r="N54" s="2209"/>
      <c r="O54" s="2209"/>
      <c r="P54" s="2209"/>
      <c r="Q54" s="2330" t="s">
        <v>957</v>
      </c>
      <c r="R54" s="2209"/>
      <c r="S54" s="2209"/>
      <c r="T54" s="2209"/>
      <c r="U54" s="2209"/>
      <c r="V54" s="2209"/>
      <c r="W54" s="2209"/>
      <c r="X54" s="2209"/>
      <c r="Y54" s="2209"/>
      <c r="Z54" s="2209"/>
    </row>
    <row r="55" spans="1:26" ht="12.75">
      <c r="A55" s="1113" t="s">
        <v>578</v>
      </c>
      <c r="B55" s="1115"/>
      <c r="C55" s="1084"/>
      <c r="D55" s="1084"/>
      <c r="E55" s="1084"/>
      <c r="F55" s="1084"/>
      <c r="G55" s="1086"/>
      <c r="H55" s="150"/>
      <c r="I55" s="2530"/>
      <c r="J55" s="1999"/>
      <c r="K55" s="1999"/>
      <c r="L55" s="2313"/>
      <c r="M55" s="2324">
        <f>Motpart!H19*1000000/J44</f>
        <v>3.1955925864429569</v>
      </c>
      <c r="N55" s="2209"/>
      <c r="O55" s="2209"/>
      <c r="P55" s="2209"/>
      <c r="Q55" s="2330" t="s">
        <v>1207</v>
      </c>
      <c r="R55" s="2209"/>
      <c r="S55" s="2209"/>
      <c r="T55" s="2209"/>
      <c r="U55" s="2209"/>
      <c r="V55" s="2209"/>
      <c r="W55" s="2209"/>
      <c r="X55" s="2209"/>
      <c r="Y55" s="2209"/>
      <c r="Z55" s="2209"/>
    </row>
    <row r="56" spans="1:26" ht="12.75">
      <c r="A56" s="1095" t="s">
        <v>579</v>
      </c>
      <c r="B56" s="1110"/>
      <c r="C56" s="1073"/>
      <c r="D56" s="1073"/>
      <c r="E56" s="1073"/>
      <c r="F56" s="1073"/>
      <c r="G56" s="1083"/>
      <c r="H56" s="1268"/>
      <c r="I56" s="1269"/>
      <c r="J56" s="1509"/>
      <c r="K56" s="1126"/>
      <c r="L56" s="1126"/>
      <c r="M56" s="2324">
        <f>(Motpart!D19+Motpart!E19+Motpart!F19+Motpart!J19-(Motpart!D19+Motpart!E19+Motpart!F19+Motpart!J19)*0.06)*1000000/J44</f>
        <v>275.53693123306141</v>
      </c>
      <c r="N56" s="2209"/>
      <c r="O56" s="2209"/>
      <c r="P56" s="2209"/>
      <c r="Q56" s="2330" t="s">
        <v>958</v>
      </c>
      <c r="R56" s="2209"/>
      <c r="S56" s="2209"/>
      <c r="T56" s="2209"/>
      <c r="U56" s="2209"/>
      <c r="V56" s="2209"/>
      <c r="W56" s="2209"/>
      <c r="X56" s="2209"/>
      <c r="Y56" s="2209"/>
      <c r="Z56" s="2209"/>
    </row>
    <row r="57" spans="1:26" ht="13.5" thickBot="1">
      <c r="A57" s="1113"/>
      <c r="B57" s="1116"/>
      <c r="C57" s="1847" t="str">
        <f>IF(ABS(C53)&lt;100,"",IF(C44=0,"C44",IF(ABS(C53/C44)&gt;0.01,"C53")))</f>
        <v/>
      </c>
      <c r="D57" s="1847"/>
      <c r="E57" s="1847" t="str">
        <f>IF(ABS(E53)&lt;100,"",IF(E44=0,"E44",IF(ABS(E53/E44)&gt;0.01,"E53")))</f>
        <v/>
      </c>
      <c r="F57" s="1847"/>
      <c r="G57" s="1848" t="str">
        <f>IF(ABS(G53)&lt;100,"",IF(G44=0,"G44",IF(ABS(G53/G44)&gt;0.01,"G53")))</f>
        <v/>
      </c>
      <c r="H57" s="168"/>
      <c r="I57" s="1127"/>
      <c r="J57" s="1510"/>
      <c r="K57" s="1123"/>
      <c r="L57" s="1123"/>
      <c r="M57" s="2325"/>
      <c r="N57" s="2209"/>
      <c r="O57" s="2209"/>
      <c r="P57" s="2209"/>
      <c r="Q57" s="2332" t="s">
        <v>516</v>
      </c>
      <c r="R57" s="2209"/>
      <c r="S57" s="2209"/>
      <c r="T57" s="2209"/>
      <c r="U57" s="2209"/>
      <c r="V57" s="2209"/>
      <c r="W57" s="2209"/>
      <c r="X57" s="2209"/>
      <c r="Y57" s="2209"/>
      <c r="Z57" s="2209"/>
    </row>
    <row r="58" spans="1:26" ht="12.75">
      <c r="A58" s="1097" t="s">
        <v>411</v>
      </c>
      <c r="B58" s="1106" t="s">
        <v>556</v>
      </c>
      <c r="C58" s="81">
        <f>Drift!P56</f>
        <v>56761.799000000021</v>
      </c>
      <c r="D58" s="82">
        <f>SUM(Motpart!D20:L20)</f>
        <v>21332.955999999998</v>
      </c>
      <c r="E58" s="82">
        <f>Drift!W56</f>
        <v>14859.822</v>
      </c>
      <c r="F58" s="82">
        <f>Motpart!Y20</f>
        <v>7387.3770000000004</v>
      </c>
      <c r="G58" s="130">
        <f>Drift!V56</f>
        <v>3737.7350000000001</v>
      </c>
      <c r="H58" s="150"/>
      <c r="I58" s="1406" t="s">
        <v>883</v>
      </c>
      <c r="J58" s="1508">
        <v>339069</v>
      </c>
      <c r="K58" s="1405"/>
      <c r="L58" s="1405"/>
      <c r="M58" s="2326">
        <f>SUM(M59:M61,M63:M65)</f>
        <v>88174.44531938927</v>
      </c>
      <c r="N58" s="2209"/>
      <c r="O58" s="2209"/>
      <c r="P58" s="2209"/>
      <c r="Q58" s="2330" t="s">
        <v>891</v>
      </c>
      <c r="R58" s="2209"/>
      <c r="S58" s="2209"/>
      <c r="T58" s="2209"/>
      <c r="U58" s="2209"/>
      <c r="V58" s="2209"/>
      <c r="W58" s="2209"/>
      <c r="X58" s="2209"/>
      <c r="Y58" s="2209"/>
      <c r="Z58" s="2209"/>
    </row>
    <row r="59" spans="1:26" ht="12.75">
      <c r="A59" s="1092" t="s">
        <v>412</v>
      </c>
      <c r="B59" s="1107" t="s">
        <v>514</v>
      </c>
      <c r="C59" s="269">
        <v>17455.823</v>
      </c>
      <c r="D59" s="1084"/>
      <c r="E59" s="247">
        <v>1658.5530000000001</v>
      </c>
      <c r="F59" s="1076"/>
      <c r="G59" s="268">
        <v>1534.076</v>
      </c>
      <c r="H59" s="154" t="s">
        <v>612</v>
      </c>
      <c r="I59" s="1402"/>
      <c r="J59" s="1403"/>
      <c r="K59" s="1404"/>
      <c r="L59" s="1404"/>
      <c r="M59" s="2324">
        <f t="shared" ref="M59:M64" si="2">(C59-E59)*1000000/$J$58</f>
        <v>46590.133571632912</v>
      </c>
      <c r="N59" s="2209"/>
      <c r="O59" s="2209"/>
      <c r="P59" s="2209"/>
      <c r="Q59" s="2330" t="s">
        <v>892</v>
      </c>
      <c r="R59" s="2209"/>
      <c r="S59" s="2209"/>
      <c r="T59" s="2209"/>
      <c r="U59" s="2209"/>
      <c r="V59" s="2209"/>
      <c r="W59" s="2209"/>
      <c r="X59" s="2209"/>
      <c r="Y59" s="2209"/>
      <c r="Z59" s="2209"/>
    </row>
    <row r="60" spans="1:26" ht="12.75">
      <c r="A60" s="1092" t="s">
        <v>413</v>
      </c>
      <c r="B60" s="1107" t="s">
        <v>870</v>
      </c>
      <c r="C60" s="269">
        <v>2392.8449999999998</v>
      </c>
      <c r="D60" s="1084"/>
      <c r="E60" s="247">
        <v>236.64099999999999</v>
      </c>
      <c r="F60" s="1076"/>
      <c r="G60" s="268">
        <v>76.141999999999996</v>
      </c>
      <c r="H60" s="154" t="s">
        <v>613</v>
      </c>
      <c r="I60" s="1402"/>
      <c r="J60" s="1403"/>
      <c r="K60" s="1126"/>
      <c r="L60" s="1126"/>
      <c r="M60" s="2324">
        <f t="shared" si="2"/>
        <v>6359.1894275206505</v>
      </c>
      <c r="N60" s="2209"/>
      <c r="O60" s="2209"/>
      <c r="P60" s="2209"/>
      <c r="Q60" s="2330" t="s">
        <v>893</v>
      </c>
      <c r="R60" s="2209"/>
      <c r="S60" s="2209"/>
      <c r="T60" s="2209"/>
      <c r="U60" s="2209"/>
      <c r="V60" s="2209"/>
      <c r="W60" s="2209"/>
      <c r="X60" s="2209"/>
      <c r="Y60" s="2209"/>
      <c r="Z60" s="2209"/>
    </row>
    <row r="61" spans="1:26" ht="12.75">
      <c r="A61" s="1092" t="s">
        <v>414</v>
      </c>
      <c r="B61" s="1107" t="s">
        <v>532</v>
      </c>
      <c r="C61" s="269">
        <v>1488.4490000000001</v>
      </c>
      <c r="D61" s="1084"/>
      <c r="E61" s="247">
        <v>186.01900000000001</v>
      </c>
      <c r="F61" s="1076"/>
      <c r="G61" s="268">
        <v>81.162000000000006</v>
      </c>
      <c r="H61" s="152"/>
      <c r="I61" s="1402"/>
      <c r="J61" s="1217"/>
      <c r="K61" s="1122"/>
      <c r="L61" s="1122"/>
      <c r="M61" s="2324">
        <f t="shared" si="2"/>
        <v>3841.1945651180145</v>
      </c>
      <c r="N61" s="2209"/>
      <c r="O61" s="2209"/>
      <c r="P61" s="2209"/>
      <c r="Q61" s="2330" t="s">
        <v>894</v>
      </c>
      <c r="R61" s="2209"/>
      <c r="S61" s="2209"/>
      <c r="T61" s="2209"/>
      <c r="U61" s="2209"/>
      <c r="V61" s="2209"/>
      <c r="W61" s="2209"/>
      <c r="X61" s="2209"/>
      <c r="Y61" s="2209"/>
      <c r="Z61" s="2209"/>
    </row>
    <row r="62" spans="1:26" ht="12.75">
      <c r="A62" s="1092" t="s">
        <v>260</v>
      </c>
      <c r="B62" s="1107" t="s">
        <v>512</v>
      </c>
      <c r="C62" s="269">
        <v>1334.7639999999999</v>
      </c>
      <c r="D62" s="1084"/>
      <c r="E62" s="247">
        <v>57.658000000000001</v>
      </c>
      <c r="F62" s="1076"/>
      <c r="G62" s="268">
        <v>3.9710000000000001</v>
      </c>
      <c r="H62" s="150" t="s">
        <v>614</v>
      </c>
      <c r="I62" s="1402"/>
      <c r="J62" s="1403"/>
      <c r="K62" s="1404"/>
      <c r="L62" s="1404"/>
      <c r="M62" s="2324">
        <f t="shared" si="2"/>
        <v>3766.5077019721648</v>
      </c>
      <c r="N62" s="2209"/>
      <c r="O62" s="2209"/>
      <c r="P62" s="2209"/>
      <c r="Q62" s="2330" t="s">
        <v>895</v>
      </c>
      <c r="R62" s="2209"/>
      <c r="S62" s="2209"/>
      <c r="T62" s="2209"/>
      <c r="U62" s="2209"/>
      <c r="V62" s="2209"/>
      <c r="W62" s="2209"/>
      <c r="X62" s="2209"/>
      <c r="Y62" s="2209"/>
      <c r="Z62" s="2209"/>
    </row>
    <row r="63" spans="1:26" ht="12.75">
      <c r="A63" s="1092" t="s">
        <v>415</v>
      </c>
      <c r="B63" s="1108" t="s">
        <v>775</v>
      </c>
      <c r="C63" s="269">
        <v>809.69</v>
      </c>
      <c r="D63" s="1084"/>
      <c r="E63" s="247">
        <v>41.445</v>
      </c>
      <c r="F63" s="1076"/>
      <c r="G63" s="268">
        <v>26.756</v>
      </c>
      <c r="H63" s="154" t="s">
        <v>615</v>
      </c>
      <c r="I63" s="1402"/>
      <c r="J63" s="1403"/>
      <c r="K63" s="1404"/>
      <c r="L63" s="1404"/>
      <c r="M63" s="2324">
        <f t="shared" si="2"/>
        <v>2265.7482695262615</v>
      </c>
      <c r="N63" s="2209"/>
      <c r="O63" s="2209"/>
      <c r="P63" s="2209"/>
      <c r="Q63" s="2330" t="s">
        <v>896</v>
      </c>
      <c r="R63" s="2209"/>
      <c r="S63" s="2209"/>
      <c r="T63" s="2209"/>
      <c r="U63" s="2209"/>
      <c r="V63" s="2209"/>
      <c r="W63" s="2209"/>
      <c r="X63" s="2209"/>
      <c r="Y63" s="2209"/>
      <c r="Z63" s="2209"/>
    </row>
    <row r="64" spans="1:26" ht="12.75">
      <c r="A64" s="1092" t="s">
        <v>416</v>
      </c>
      <c r="B64" s="1109" t="s">
        <v>550</v>
      </c>
      <c r="C64" s="269">
        <v>5330.9880000000003</v>
      </c>
      <c r="D64" s="1084"/>
      <c r="E64" s="247">
        <v>190.15</v>
      </c>
      <c r="F64" s="1076"/>
      <c r="G64" s="268">
        <v>131.56</v>
      </c>
      <c r="H64" s="154" t="s">
        <v>616</v>
      </c>
      <c r="I64" s="1402"/>
      <c r="J64" s="1403"/>
      <c r="K64" s="1404"/>
      <c r="L64" s="1404"/>
      <c r="M64" s="2324">
        <f t="shared" si="2"/>
        <v>15161.627869253754</v>
      </c>
      <c r="N64" s="2209"/>
      <c r="O64" s="2209"/>
      <c r="P64" s="2209"/>
      <c r="Q64" s="2330" t="s">
        <v>897</v>
      </c>
      <c r="R64" s="2209"/>
      <c r="S64" s="2209"/>
      <c r="T64" s="2209"/>
      <c r="U64" s="2209"/>
      <c r="V64" s="2209"/>
      <c r="W64" s="2209"/>
      <c r="X64" s="2209"/>
      <c r="Y64" s="2209"/>
      <c r="Z64" s="2209"/>
    </row>
    <row r="65" spans="1:26" ht="12.75">
      <c r="A65" s="1092" t="s">
        <v>417</v>
      </c>
      <c r="B65" s="1117" t="s">
        <v>464</v>
      </c>
      <c r="C65" s="269">
        <v>5604.5460000000003</v>
      </c>
      <c r="D65" s="1084"/>
      <c r="E65" s="247">
        <v>4447.5749999999998</v>
      </c>
      <c r="F65" s="1076"/>
      <c r="G65" s="268">
        <v>1884.069</v>
      </c>
      <c r="H65" s="154" t="s">
        <v>617</v>
      </c>
      <c r="I65" s="2534" t="str">
        <f>IF(SUM(E65-G65+100)&lt;Motpart!AA20,"I Motparten är statsbidragen "&amp;""&amp;(Motpart!AA20)&amp;" tkr. Alla bidrag från staten o statliga myndigheter, inklusive de från Migrationsverket, ska ingå under Övrigt som extern intäkt. De externa intäkterna på Övrigt-raden är dock bara "&amp;""&amp;(ROUND(E65-G65,0))&amp;" tkr. ","")</f>
        <v/>
      </c>
      <c r="J65" s="2000"/>
      <c r="K65" s="2000"/>
      <c r="L65" s="2314"/>
      <c r="M65" s="2324">
        <f>(C65+C66-G65)*1000000/$J$58</f>
        <v>13956.551616337678</v>
      </c>
      <c r="N65" s="2209"/>
      <c r="O65" s="2209"/>
      <c r="P65" s="2209"/>
      <c r="Q65" s="2330" t="s">
        <v>898</v>
      </c>
      <c r="R65" s="2209"/>
      <c r="S65" s="2209"/>
      <c r="T65" s="2209"/>
      <c r="U65" s="2209"/>
      <c r="V65" s="2209"/>
      <c r="W65" s="2209"/>
      <c r="X65" s="2209"/>
      <c r="Y65" s="2209"/>
      <c r="Z65" s="2209"/>
    </row>
    <row r="66" spans="1:26" ht="12.75">
      <c r="A66" s="1092" t="s">
        <v>418</v>
      </c>
      <c r="B66" s="1118" t="s">
        <v>474</v>
      </c>
      <c r="C66" s="269">
        <v>1011.7569999999999</v>
      </c>
      <c r="D66" s="1071"/>
      <c r="E66" s="1084"/>
      <c r="F66" s="1084"/>
      <c r="G66" s="1086"/>
      <c r="H66" s="154"/>
      <c r="I66" s="2535"/>
      <c r="J66" s="2000"/>
      <c r="K66" s="2000"/>
      <c r="L66" s="2314"/>
      <c r="M66" s="2324">
        <f>(M58*J58/1000000+D58-F58-(Motpart!D20+Motpart!E20+Motpart!F20+Motpart!J20)*0.06)*1000000/J58+M62</f>
        <v>131140.00200549152</v>
      </c>
      <c r="N66" s="2209"/>
      <c r="O66" s="2209"/>
      <c r="P66" s="2209"/>
      <c r="Q66" s="2330" t="s">
        <v>899</v>
      </c>
      <c r="R66" s="2209"/>
      <c r="S66" s="2209"/>
      <c r="T66" s="2209"/>
      <c r="U66" s="2209"/>
      <c r="V66" s="2209"/>
      <c r="W66" s="2209"/>
      <c r="X66" s="2209"/>
      <c r="Y66" s="2209"/>
      <c r="Z66" s="2209"/>
    </row>
    <row r="67" spans="1:26" ht="12.75">
      <c r="A67" s="1092" t="s">
        <v>583</v>
      </c>
      <c r="B67" s="1110" t="s">
        <v>130</v>
      </c>
      <c r="C67" s="1263">
        <f>(C58-SUM(C59:C66)-D58)*-1</f>
        <v>1.8999999978404958E-2</v>
      </c>
      <c r="D67" s="1072"/>
      <c r="E67" s="1264">
        <f>(E58-SUM(E59:E65)-F58-SUM(Motpart!D20+Motpart!E20+Motpart!F20+Motpart!J20)*0.06)*-1</f>
        <v>-7.3399999995444887E-3</v>
      </c>
      <c r="F67" s="1072"/>
      <c r="G67" s="1265">
        <f>(G58-SUM(G59:G65))*-1</f>
        <v>9.9999999974897946E-4</v>
      </c>
      <c r="H67" s="154"/>
      <c r="I67" s="2535"/>
      <c r="J67" s="2000"/>
      <c r="K67" s="2000"/>
      <c r="L67" s="2314"/>
      <c r="M67" s="2324">
        <f>(Motpart!G20+Motpart!K20)*1000000/J58</f>
        <v>29035.037116339154</v>
      </c>
      <c r="N67" s="2209"/>
      <c r="O67" s="2209"/>
      <c r="P67" s="2209"/>
      <c r="Q67" s="2330" t="s">
        <v>1206</v>
      </c>
      <c r="R67" s="2209"/>
      <c r="S67" s="2209"/>
      <c r="T67" s="2209"/>
      <c r="U67" s="2209"/>
      <c r="V67" s="2209"/>
      <c r="W67" s="2209"/>
      <c r="X67" s="2209"/>
      <c r="Y67" s="2209"/>
      <c r="Z67" s="2209"/>
    </row>
    <row r="68" spans="1:26" ht="12.75">
      <c r="A68" s="1111" t="s">
        <v>584</v>
      </c>
      <c r="B68" s="1110"/>
      <c r="C68" s="1084"/>
      <c r="D68" s="1073"/>
      <c r="E68" s="1084"/>
      <c r="F68" s="1084"/>
      <c r="G68" s="1086"/>
      <c r="H68" s="152"/>
      <c r="I68" s="2535"/>
      <c r="J68" s="2000"/>
      <c r="K68" s="2000"/>
      <c r="L68" s="2314"/>
      <c r="M68" s="2324">
        <f>F58*1000000/J58</f>
        <v>21787.237995806165</v>
      </c>
      <c r="N68" s="2209"/>
      <c r="O68" s="2209"/>
      <c r="P68" s="2209"/>
      <c r="Q68" s="2330" t="s">
        <v>1205</v>
      </c>
      <c r="R68" s="2209"/>
      <c r="S68" s="2209"/>
      <c r="T68" s="2209"/>
      <c r="U68" s="2209"/>
      <c r="V68" s="2209"/>
      <c r="W68" s="2209"/>
      <c r="X68" s="2209"/>
      <c r="Y68" s="2209"/>
      <c r="Z68" s="2209"/>
    </row>
    <row r="69" spans="1:26" ht="12.75">
      <c r="A69" s="1111" t="s">
        <v>585</v>
      </c>
      <c r="B69" s="1115"/>
      <c r="C69" s="1084"/>
      <c r="D69" s="1073"/>
      <c r="E69" s="1084"/>
      <c r="F69" s="1084"/>
      <c r="G69" s="1086"/>
      <c r="H69" s="150"/>
      <c r="I69" s="2535"/>
      <c r="J69" s="2000"/>
      <c r="K69" s="2000"/>
      <c r="L69" s="2314"/>
      <c r="M69" s="2324">
        <f>Motpart!H20*1000000/J58</f>
        <v>1303.1772294134821</v>
      </c>
      <c r="N69" s="2209"/>
      <c r="O69" s="2209"/>
      <c r="P69" s="2209"/>
      <c r="Q69" s="2330" t="s">
        <v>1208</v>
      </c>
      <c r="R69" s="2209"/>
      <c r="S69" s="2209"/>
      <c r="T69" s="2209"/>
      <c r="U69" s="2209"/>
      <c r="V69" s="2209"/>
      <c r="W69" s="2209"/>
      <c r="X69" s="2209"/>
      <c r="Y69" s="2209"/>
      <c r="Z69" s="2209"/>
    </row>
    <row r="70" spans="1:26" ht="12.75">
      <c r="A70" s="1111" t="s">
        <v>586</v>
      </c>
      <c r="B70" s="1110"/>
      <c r="C70" s="1073"/>
      <c r="D70" s="1073"/>
      <c r="E70" s="1073"/>
      <c r="F70" s="1073"/>
      <c r="G70" s="1083"/>
      <c r="H70" s="1268"/>
      <c r="I70" s="1269"/>
      <c r="J70" s="1509"/>
      <c r="K70" s="1126"/>
      <c r="L70" s="1126"/>
      <c r="M70" s="2324">
        <f>((Motpart!D20+Motpart!E20+Motpart!F20+Motpart!J20)-(Motpart!D20+Motpart!E20+Motpart!F20+Motpart!J20)*0.06)*1000000/J58</f>
        <v>30236.365872433045</v>
      </c>
      <c r="N70" s="2209"/>
      <c r="O70" s="2209"/>
      <c r="P70" s="2209"/>
      <c r="Q70" s="2330" t="s">
        <v>900</v>
      </c>
      <c r="R70" s="2209"/>
      <c r="S70" s="2209"/>
      <c r="T70" s="2209"/>
      <c r="U70" s="2209"/>
      <c r="V70" s="2209"/>
      <c r="W70" s="2209"/>
      <c r="X70" s="2209"/>
      <c r="Y70" s="2209"/>
      <c r="Z70" s="2209"/>
    </row>
    <row r="71" spans="1:26" ht="13.5" thickBot="1">
      <c r="A71" s="1119"/>
      <c r="B71" s="1120"/>
      <c r="C71" s="1843" t="str">
        <f>IF(ABS(C67)&lt;100,"",IF(C58=0,"C58",IF(ABS(C67/C58)&gt;0.01,"C67")))</f>
        <v/>
      </c>
      <c r="D71" s="1844"/>
      <c r="E71" s="1844" t="str">
        <f>IF(ABS(E67)&lt;100,"",IF(E58=0,"E58",IF(ABS(E67/E58)&gt;0.01,"E67")))</f>
        <v/>
      </c>
      <c r="F71" s="1846"/>
      <c r="G71" s="1845" t="str">
        <f>IF(ABS(G67)&lt;100,"",IF(G58=0,"G58",IF(ABS(G67/G58)&gt;0.01,"G67")))</f>
        <v/>
      </c>
      <c r="H71" s="153"/>
      <c r="I71" s="1125"/>
      <c r="J71" s="1510"/>
      <c r="K71" s="1123"/>
      <c r="L71" s="1123"/>
      <c r="M71" s="2325"/>
      <c r="N71" s="2209"/>
      <c r="O71" s="2209"/>
      <c r="P71" s="2209"/>
      <c r="Q71" s="2332" t="s">
        <v>517</v>
      </c>
      <c r="R71" s="2209"/>
      <c r="S71" s="2209"/>
      <c r="T71" s="2209"/>
      <c r="U71" s="2209"/>
      <c r="V71" s="2209"/>
      <c r="W71" s="2209"/>
      <c r="X71" s="2209"/>
      <c r="Y71" s="2209"/>
      <c r="Z71" s="2209"/>
    </row>
    <row r="72" spans="1:26" ht="12.75">
      <c r="A72" s="1097" t="s">
        <v>419</v>
      </c>
      <c r="B72" s="1106" t="s">
        <v>557</v>
      </c>
      <c r="C72" s="81">
        <f>Drift!P57</f>
        <v>3849.7570000000001</v>
      </c>
      <c r="D72" s="82">
        <f>SUM(Motpart!D21:L21)</f>
        <v>1092.31</v>
      </c>
      <c r="E72" s="82">
        <f>Drift!W57</f>
        <v>944.26700000000005</v>
      </c>
      <c r="F72" s="82">
        <f>Motpart!Y21</f>
        <v>600.46900000000005</v>
      </c>
      <c r="G72" s="130">
        <f>Drift!V57</f>
        <v>221.84800000000001</v>
      </c>
      <c r="H72" s="150"/>
      <c r="I72" s="1416" t="s">
        <v>883</v>
      </c>
      <c r="J72" s="1508">
        <v>339069</v>
      </c>
      <c r="K72" s="1407"/>
      <c r="L72" s="1405"/>
      <c r="M72" s="2326">
        <f>SUM(M73:M75,M77:M79)</f>
        <v>6585.8040693782086</v>
      </c>
      <c r="N72" s="2209"/>
      <c r="O72" s="2209"/>
      <c r="P72" s="2209"/>
      <c r="Q72" s="2330" t="s">
        <v>891</v>
      </c>
      <c r="R72" s="2209"/>
      <c r="S72" s="2209"/>
      <c r="T72" s="2209"/>
      <c r="U72" s="2209"/>
      <c r="V72" s="2209"/>
      <c r="W72" s="2209"/>
      <c r="X72" s="2209"/>
      <c r="Y72" s="2209"/>
      <c r="Z72" s="2209"/>
    </row>
    <row r="73" spans="1:26" ht="12.75">
      <c r="A73" s="1092" t="s">
        <v>420</v>
      </c>
      <c r="B73" s="1107" t="s">
        <v>514</v>
      </c>
      <c r="C73" s="269">
        <v>1236.212</v>
      </c>
      <c r="D73" s="1084"/>
      <c r="E73" s="247">
        <v>106.407</v>
      </c>
      <c r="F73" s="1076"/>
      <c r="G73" s="268">
        <v>101.792</v>
      </c>
      <c r="H73" s="167" t="s">
        <v>618</v>
      </c>
      <c r="I73" s="845"/>
      <c r="J73" s="1403"/>
      <c r="K73" s="1404"/>
      <c r="L73" s="1404"/>
      <c r="M73" s="2324">
        <f t="shared" ref="M73:M78" si="3">(C73-E73)*1000000/$J$72</f>
        <v>3332.0799011410659</v>
      </c>
      <c r="N73" s="2209"/>
      <c r="O73" s="2209"/>
      <c r="P73" s="2209"/>
      <c r="Q73" s="2330" t="s">
        <v>892</v>
      </c>
      <c r="R73" s="2209"/>
      <c r="S73" s="2209"/>
      <c r="T73" s="2209"/>
      <c r="U73" s="2209"/>
      <c r="V73" s="2209"/>
      <c r="W73" s="2209"/>
      <c r="X73" s="2209"/>
      <c r="Y73" s="2209"/>
      <c r="Z73" s="2209"/>
    </row>
    <row r="74" spans="1:26" ht="12.75">
      <c r="A74" s="1092" t="s">
        <v>421</v>
      </c>
      <c r="B74" s="1107" t="s">
        <v>870</v>
      </c>
      <c r="C74" s="269">
        <v>85.433000000000007</v>
      </c>
      <c r="D74" s="1084"/>
      <c r="E74" s="247">
        <v>13.423999999999999</v>
      </c>
      <c r="F74" s="1076"/>
      <c r="G74" s="268">
        <v>5.0449999999999999</v>
      </c>
      <c r="H74" s="166" t="s">
        <v>619</v>
      </c>
      <c r="I74" s="845"/>
      <c r="J74" s="1403"/>
      <c r="K74" s="1126"/>
      <c r="L74" s="1126"/>
      <c r="M74" s="2324">
        <f t="shared" si="3"/>
        <v>212.37270290117945</v>
      </c>
      <c r="N74" s="2209"/>
      <c r="O74" s="2209"/>
      <c r="P74" s="2209"/>
      <c r="Q74" s="2330" t="s">
        <v>893</v>
      </c>
      <c r="R74" s="2209"/>
      <c r="S74" s="2209"/>
      <c r="T74" s="2209"/>
      <c r="U74" s="2209"/>
      <c r="V74" s="2209"/>
      <c r="W74" s="2209"/>
      <c r="X74" s="2209"/>
      <c r="Y74" s="2209"/>
      <c r="Z74" s="2209"/>
    </row>
    <row r="75" spans="1:26" ht="12.75">
      <c r="A75" s="1092" t="s">
        <v>422</v>
      </c>
      <c r="B75" s="1107" t="s">
        <v>532</v>
      </c>
      <c r="C75" s="269">
        <v>41.322000000000003</v>
      </c>
      <c r="D75" s="1084"/>
      <c r="E75" s="247">
        <v>4.2779999999999996</v>
      </c>
      <c r="F75" s="1076"/>
      <c r="G75" s="268">
        <v>1.7210000000000001</v>
      </c>
      <c r="H75" s="1415"/>
      <c r="I75" s="845"/>
      <c r="J75" s="1217"/>
      <c r="K75" s="1122"/>
      <c r="L75" s="1122"/>
      <c r="M75" s="2324">
        <f t="shared" si="3"/>
        <v>109.25209913026555</v>
      </c>
      <c r="N75" s="2209"/>
      <c r="O75" s="2209"/>
      <c r="P75" s="2209"/>
      <c r="Q75" s="2330" t="s">
        <v>894</v>
      </c>
      <c r="R75" s="2209"/>
      <c r="S75" s="2209"/>
      <c r="T75" s="2209"/>
      <c r="U75" s="2209"/>
      <c r="V75" s="2209"/>
      <c r="W75" s="2209"/>
      <c r="X75" s="2209"/>
      <c r="Y75" s="2209"/>
      <c r="Z75" s="2209"/>
    </row>
    <row r="76" spans="1:26" ht="12.75">
      <c r="A76" s="1092" t="s">
        <v>423</v>
      </c>
      <c r="B76" s="1107" t="s">
        <v>512</v>
      </c>
      <c r="C76" s="269">
        <v>287.86599999999999</v>
      </c>
      <c r="D76" s="1084"/>
      <c r="E76" s="247">
        <v>5.8780000000000001</v>
      </c>
      <c r="F76" s="1076"/>
      <c r="G76" s="268">
        <v>1.56</v>
      </c>
      <c r="H76" s="1415" t="s">
        <v>620</v>
      </c>
      <c r="I76" s="845"/>
      <c r="J76" s="1403"/>
      <c r="K76" s="1404"/>
      <c r="L76" s="1404"/>
      <c r="M76" s="2324">
        <f t="shared" si="3"/>
        <v>831.65373419569471</v>
      </c>
      <c r="N76" s="2209"/>
      <c r="O76" s="2209"/>
      <c r="P76" s="2209"/>
      <c r="Q76" s="2330" t="s">
        <v>895</v>
      </c>
      <c r="R76" s="2209"/>
      <c r="S76" s="2209"/>
      <c r="T76" s="2209"/>
      <c r="U76" s="2209"/>
      <c r="V76" s="2209"/>
      <c r="W76" s="2209"/>
      <c r="X76" s="2209"/>
      <c r="Y76" s="2209"/>
      <c r="Z76" s="2209"/>
    </row>
    <row r="77" spans="1:26" ht="12.75">
      <c r="A77" s="1092" t="s">
        <v>424</v>
      </c>
      <c r="B77" s="1108" t="s">
        <v>775</v>
      </c>
      <c r="C77" s="269">
        <v>57.825000000000003</v>
      </c>
      <c r="D77" s="1084"/>
      <c r="E77" s="247">
        <v>1.135</v>
      </c>
      <c r="F77" s="1076"/>
      <c r="G77" s="268">
        <v>0.93</v>
      </c>
      <c r="H77" s="1415" t="s">
        <v>621</v>
      </c>
      <c r="I77" s="845"/>
      <c r="J77" s="1403"/>
      <c r="K77" s="1404"/>
      <c r="L77" s="1404"/>
      <c r="M77" s="2324">
        <f t="shared" si="3"/>
        <v>167.19310818741911</v>
      </c>
      <c r="N77" s="2209"/>
      <c r="O77" s="2209"/>
      <c r="P77" s="2209"/>
      <c r="Q77" s="2330" t="s">
        <v>896</v>
      </c>
      <c r="R77" s="2209"/>
      <c r="S77" s="2209"/>
      <c r="T77" s="2209"/>
      <c r="U77" s="2209"/>
      <c r="V77" s="2209"/>
      <c r="W77" s="2209"/>
      <c r="X77" s="2209"/>
      <c r="Y77" s="2209"/>
      <c r="Z77" s="2209"/>
    </row>
    <row r="78" spans="1:26" ht="12.75">
      <c r="A78" s="1092" t="s">
        <v>425</v>
      </c>
      <c r="B78" s="1109" t="s">
        <v>550</v>
      </c>
      <c r="C78" s="269">
        <v>287.36200000000002</v>
      </c>
      <c r="D78" s="1084"/>
      <c r="E78" s="247">
        <v>3.6179999999999999</v>
      </c>
      <c r="F78" s="1076"/>
      <c r="G78" s="268">
        <v>3.1230000000000002</v>
      </c>
      <c r="H78" s="1415" t="s">
        <v>622</v>
      </c>
      <c r="I78" s="845"/>
      <c r="J78" s="1403"/>
      <c r="K78" s="1404"/>
      <c r="L78" s="1404"/>
      <c r="M78" s="2324">
        <f t="shared" si="3"/>
        <v>836.83262108892291</v>
      </c>
      <c r="N78" s="2209"/>
      <c r="O78" s="2209"/>
      <c r="P78" s="2209"/>
      <c r="Q78" s="2330" t="s">
        <v>897</v>
      </c>
      <c r="R78" s="2209"/>
      <c r="S78" s="2209"/>
      <c r="T78" s="2209"/>
      <c r="U78" s="2209"/>
      <c r="V78" s="2209"/>
      <c r="W78" s="2209"/>
      <c r="X78" s="2209"/>
      <c r="Y78" s="2209"/>
      <c r="Z78" s="2209"/>
    </row>
    <row r="79" spans="1:26" ht="12.75">
      <c r="A79" s="1092" t="s">
        <v>426</v>
      </c>
      <c r="B79" s="1107" t="s">
        <v>464</v>
      </c>
      <c r="C79" s="269">
        <v>686.06500000000005</v>
      </c>
      <c r="D79" s="1084"/>
      <c r="E79" s="247">
        <v>192.80099999999999</v>
      </c>
      <c r="F79" s="1076"/>
      <c r="G79" s="268">
        <v>107.676</v>
      </c>
      <c r="H79" s="167" t="s">
        <v>623</v>
      </c>
      <c r="I79" s="2531" t="str">
        <f>IF(SUM(E79-G79+100)&lt;Motpart!AA21,"I Motparten är statsbidragen "&amp;""&amp;(Motpart!AA21)&amp;" tkr. Alla bidrag från staten o statliga myndigheter, inklusive de från Migrationsverket, ska ingå under Övrigt som extern intäkt. De externa intäkterna på Övrigt-raden är dock bara "&amp;""&amp;(ROUND(E79-G79,0))&amp;" tkr. ","")</f>
        <v/>
      </c>
      <c r="J79" s="1999"/>
      <c r="K79" s="1999"/>
      <c r="L79" s="2313"/>
      <c r="M79" s="2319">
        <f>(C79+C80-G79)*1000000/$J$72</f>
        <v>1928.0736369293566</v>
      </c>
      <c r="N79" s="2209"/>
      <c r="O79" s="2209"/>
      <c r="P79" s="2209"/>
      <c r="Q79" s="2330" t="s">
        <v>898</v>
      </c>
      <c r="R79" s="2209"/>
      <c r="S79" s="2209"/>
      <c r="T79" s="2209"/>
      <c r="U79" s="2209"/>
      <c r="V79" s="2209"/>
      <c r="W79" s="2209"/>
      <c r="X79" s="2209"/>
      <c r="Y79" s="2209"/>
      <c r="Z79" s="2209"/>
    </row>
    <row r="80" spans="1:26" ht="12.75">
      <c r="A80" s="1092" t="s">
        <v>427</v>
      </c>
      <c r="B80" s="1121" t="s">
        <v>474</v>
      </c>
      <c r="C80" s="269">
        <v>75.361000000000004</v>
      </c>
      <c r="D80" s="1071"/>
      <c r="E80" s="1084"/>
      <c r="F80" s="1084"/>
      <c r="G80" s="1086"/>
      <c r="H80" s="166"/>
      <c r="I80" s="2536"/>
      <c r="J80" s="1999"/>
      <c r="K80" s="2191"/>
      <c r="L80" s="2313"/>
      <c r="M80" s="2319">
        <f>((M72*J72/1000000+D72-F72-(Motpart!D21+Motpart!E21+Motpart!F21+Motpart!J21)*0.06))/J72*1000000+M76</f>
        <v>8820.0616983563814</v>
      </c>
      <c r="N80" s="2209"/>
      <c r="O80" s="2209"/>
      <c r="P80" s="2209"/>
      <c r="Q80" s="2330" t="s">
        <v>899</v>
      </c>
      <c r="R80" s="2209"/>
      <c r="S80" s="2209"/>
      <c r="T80" s="2209"/>
      <c r="U80" s="2209"/>
      <c r="V80" s="2209"/>
      <c r="W80" s="2209"/>
      <c r="X80" s="2209"/>
      <c r="Y80" s="2209"/>
      <c r="Z80" s="2209"/>
    </row>
    <row r="81" spans="1:26" ht="12.75">
      <c r="A81" s="1111" t="s">
        <v>587</v>
      </c>
      <c r="B81" s="1110" t="s">
        <v>130</v>
      </c>
      <c r="C81" s="1263">
        <f>(C72-SUM(C73:C80)-D72)*-1</f>
        <v>-1.0000000002037268E-3</v>
      </c>
      <c r="D81" s="1072"/>
      <c r="E81" s="1264">
        <f>(E72-SUM(E73:E79)-F72-SUM(Motpart!D21+Motpart!E21+Motpart!F21+Motpart!J21)*0.06)*-1</f>
        <v>4.4999999999362217E-3</v>
      </c>
      <c r="F81" s="1072"/>
      <c r="G81" s="1265">
        <f>(G72-SUM(G73:G79))*-1</f>
        <v>-9.9999999997635314E-4</v>
      </c>
      <c r="H81" s="152"/>
      <c r="I81" s="2536"/>
      <c r="J81" s="1999"/>
      <c r="K81" s="1999"/>
      <c r="L81" s="2313"/>
      <c r="M81" s="2324">
        <f>(Motpart!G21+Motpart!K21)*1000000/J72</f>
        <v>2268.52646511477</v>
      </c>
      <c r="N81" s="2209"/>
      <c r="O81" s="2209"/>
      <c r="P81" s="2209"/>
      <c r="Q81" s="2330" t="s">
        <v>1206</v>
      </c>
      <c r="R81" s="2209"/>
      <c r="S81" s="2209"/>
      <c r="T81" s="2209"/>
      <c r="U81" s="2209"/>
      <c r="V81" s="2209"/>
      <c r="W81" s="2209"/>
      <c r="X81" s="2209"/>
      <c r="Y81" s="2209"/>
      <c r="Z81" s="2209"/>
    </row>
    <row r="82" spans="1:26" ht="12.75">
      <c r="A82" s="1111" t="s">
        <v>588</v>
      </c>
      <c r="B82" s="1110"/>
      <c r="C82" s="1084"/>
      <c r="D82" s="1073"/>
      <c r="E82" s="1084"/>
      <c r="F82" s="1084"/>
      <c r="G82" s="1086"/>
      <c r="H82" s="150"/>
      <c r="I82" s="2536"/>
      <c r="J82" s="1999"/>
      <c r="K82" s="1999"/>
      <c r="L82" s="2313"/>
      <c r="M82" s="2324">
        <f>F72*1000000/J72</f>
        <v>1770.9345295500325</v>
      </c>
      <c r="N82" s="2209"/>
      <c r="O82" s="2209"/>
      <c r="P82" s="2209"/>
      <c r="Q82" s="2330" t="s">
        <v>1205</v>
      </c>
      <c r="R82" s="2209"/>
      <c r="S82" s="2209"/>
      <c r="T82" s="2209"/>
      <c r="U82" s="2209"/>
      <c r="V82" s="2209"/>
      <c r="W82" s="2209"/>
      <c r="X82" s="2209"/>
      <c r="Y82" s="2209"/>
      <c r="Z82" s="2209"/>
    </row>
    <row r="83" spans="1:26" ht="12.75">
      <c r="A83" s="1111" t="s">
        <v>589</v>
      </c>
      <c r="B83" s="1115"/>
      <c r="C83" s="1084"/>
      <c r="D83" s="1073"/>
      <c r="E83" s="1084"/>
      <c r="F83" s="1084"/>
      <c r="G83" s="1086"/>
      <c r="H83" s="154"/>
      <c r="I83" s="2536"/>
      <c r="J83" s="1999"/>
      <c r="K83" s="1999"/>
      <c r="L83" s="2313"/>
      <c r="M83" s="2319">
        <f>Motpart!H21*1000000/J72</f>
        <v>145.09436132468613</v>
      </c>
      <c r="N83" s="2209"/>
      <c r="O83" s="2209"/>
      <c r="P83" s="2209"/>
      <c r="Q83" s="2330" t="s">
        <v>1208</v>
      </c>
      <c r="R83" s="2209"/>
      <c r="S83" s="2209"/>
      <c r="T83" s="2209"/>
      <c r="U83" s="2209"/>
      <c r="V83" s="2209"/>
      <c r="W83" s="2209"/>
      <c r="X83" s="2209"/>
      <c r="Y83" s="2209"/>
      <c r="Z83" s="2209"/>
    </row>
    <row r="84" spans="1:26" ht="12.75">
      <c r="A84" s="1092" t="s">
        <v>590</v>
      </c>
      <c r="B84" s="1110"/>
      <c r="C84" s="1073"/>
      <c r="D84" s="1073"/>
      <c r="E84" s="1073"/>
      <c r="F84" s="1073"/>
      <c r="G84" s="1083"/>
      <c r="H84" s="1268"/>
      <c r="I84" s="1269"/>
      <c r="J84" s="1509"/>
      <c r="K84" s="1126"/>
      <c r="L84" s="1126"/>
      <c r="M84" s="2319">
        <f>((Motpart!D21+Motpart!E21+Motpart!F21+Motpart!J21)-(Motpart!D21+Motpart!E21+Motpart!F21+Motpart!J21)*0.06)*1000000/J72</f>
        <v>751.36181721124603</v>
      </c>
      <c r="N84" s="2209"/>
      <c r="O84" s="2209"/>
      <c r="P84" s="2209"/>
      <c r="Q84" s="2330" t="s">
        <v>901</v>
      </c>
      <c r="R84" s="2209"/>
      <c r="S84" s="2209"/>
      <c r="T84" s="2209"/>
      <c r="U84" s="2209"/>
      <c r="V84" s="2209"/>
      <c r="W84" s="2209"/>
      <c r="X84" s="2209"/>
      <c r="Y84" s="2209"/>
      <c r="Z84" s="2209"/>
    </row>
    <row r="85" spans="1:26" ht="13.5" thickBot="1">
      <c r="A85" s="1113"/>
      <c r="B85" s="1120"/>
      <c r="C85" s="1843" t="str">
        <f>IF(ABS(C81)&lt;100,"",IF(C72=0,"C72",IF(ABS(C81/C72)&gt;0.01,"C81")))</f>
        <v/>
      </c>
      <c r="D85" s="1844"/>
      <c r="E85" s="1844" t="str">
        <f>IF(ABS(E81)&lt;100,"",IF(E72=0,"E72",IF(ABS(E81/E72)&gt;0.01,"E81")))</f>
        <v/>
      </c>
      <c r="F85" s="1844"/>
      <c r="G85" s="1845" t="str">
        <f>IF(ABS(G81)&lt;100,"",IF(G72=0,"G72",IF(ABS(G81/G72)&gt;0.01,"G81")))</f>
        <v/>
      </c>
      <c r="H85" s="153"/>
      <c r="I85" s="1125"/>
      <c r="J85" s="1510"/>
      <c r="K85" s="1123"/>
      <c r="L85" s="1126"/>
      <c r="M85" s="2320"/>
      <c r="N85" s="2209"/>
      <c r="O85" s="2209"/>
      <c r="P85" s="2209"/>
      <c r="Q85" s="2332" t="s">
        <v>518</v>
      </c>
      <c r="R85" s="2209"/>
      <c r="S85" s="2209"/>
      <c r="T85" s="2209"/>
      <c r="U85" s="2209"/>
      <c r="V85" s="2209"/>
      <c r="W85" s="2209"/>
      <c r="X85" s="2209"/>
      <c r="Y85" s="2209"/>
      <c r="Z85" s="2209"/>
    </row>
    <row r="86" spans="1:26" ht="12.75" customHeight="1">
      <c r="A86" s="1097" t="s">
        <v>428</v>
      </c>
      <c r="B86" s="1106" t="s">
        <v>559</v>
      </c>
      <c r="C86" s="165">
        <f>Drift!P60</f>
        <v>1665.3230000000001</v>
      </c>
      <c r="D86" s="82">
        <f>SUM(Motpart!D22:L22)</f>
        <v>512.37199999999996</v>
      </c>
      <c r="E86" s="164">
        <f>Drift!W60</f>
        <v>284.44100000000003</v>
      </c>
      <c r="F86" s="82">
        <f>Motpart!Y22</f>
        <v>63.585000000000001</v>
      </c>
      <c r="G86" s="131">
        <f>Drift!V60</f>
        <v>102.991</v>
      </c>
      <c r="H86" s="155"/>
      <c r="I86" s="1128" t="s">
        <v>551</v>
      </c>
      <c r="J86" s="1508">
        <v>5971388</v>
      </c>
      <c r="K86" s="1129"/>
      <c r="L86" s="1129"/>
      <c r="M86" s="2326">
        <f>SUM(M87:M91)</f>
        <v>174.34288309518658</v>
      </c>
      <c r="N86" s="2209"/>
      <c r="O86" s="2209"/>
      <c r="P86" s="2209"/>
      <c r="Q86" s="2330" t="s">
        <v>902</v>
      </c>
      <c r="R86" s="2209"/>
      <c r="S86" s="2209"/>
      <c r="T86" s="2209"/>
      <c r="U86" s="2209"/>
      <c r="V86" s="2209"/>
      <c r="W86" s="2209"/>
      <c r="X86" s="2209"/>
      <c r="Y86" s="2209"/>
      <c r="Z86" s="2209"/>
    </row>
    <row r="87" spans="1:26" ht="12.75" customHeight="1">
      <c r="A87" s="1092" t="s">
        <v>429</v>
      </c>
      <c r="B87" s="1107" t="s">
        <v>514</v>
      </c>
      <c r="C87" s="269">
        <v>643.55999999999995</v>
      </c>
      <c r="D87" s="1084"/>
      <c r="E87" s="247">
        <v>32.905000000000001</v>
      </c>
      <c r="F87" s="1076"/>
      <c r="G87" s="268">
        <v>23.838999999999999</v>
      </c>
      <c r="H87" s="154"/>
      <c r="I87" s="1130"/>
      <c r="J87" s="1511"/>
      <c r="K87" s="1126"/>
      <c r="L87" s="1126"/>
      <c r="M87" s="2324">
        <f>(C87-E87)*1000000/$J$86</f>
        <v>102.26349384766155</v>
      </c>
      <c r="N87" s="2209"/>
      <c r="O87" s="2209"/>
      <c r="P87" s="2209"/>
      <c r="Q87" s="2330" t="s">
        <v>903</v>
      </c>
      <c r="R87" s="2209"/>
      <c r="S87" s="2209"/>
      <c r="T87" s="2209"/>
      <c r="U87" s="2209"/>
      <c r="V87" s="2209"/>
      <c r="W87" s="2209"/>
      <c r="X87" s="2209"/>
      <c r="Y87" s="2209"/>
      <c r="Z87" s="2209"/>
    </row>
    <row r="88" spans="1:26" ht="12.75" customHeight="1">
      <c r="A88" s="1092" t="s">
        <v>430</v>
      </c>
      <c r="B88" s="1107" t="s">
        <v>870</v>
      </c>
      <c r="C88" s="269">
        <v>31.975000000000001</v>
      </c>
      <c r="D88" s="1084"/>
      <c r="E88" s="247">
        <v>0.41499999999999998</v>
      </c>
      <c r="F88" s="1076"/>
      <c r="G88" s="268">
        <v>0.122</v>
      </c>
      <c r="H88" s="154"/>
      <c r="I88" s="1130"/>
      <c r="J88" s="1511"/>
      <c r="K88" s="1126"/>
      <c r="L88" s="1126"/>
      <c r="M88" s="2324">
        <f>(C88-E88)*1000000/$J$86</f>
        <v>5.2852033731521049</v>
      </c>
      <c r="N88" s="2209"/>
      <c r="O88" s="2209"/>
      <c r="P88" s="2209"/>
      <c r="Q88" s="2330" t="s">
        <v>904</v>
      </c>
      <c r="R88" s="2209"/>
      <c r="S88" s="2209"/>
      <c r="T88" s="2209"/>
      <c r="U88" s="2209"/>
      <c r="V88" s="2209"/>
      <c r="W88" s="2209"/>
      <c r="X88" s="2209"/>
      <c r="Y88" s="2209"/>
      <c r="Z88" s="2209"/>
    </row>
    <row r="89" spans="1:26" ht="15.75" customHeight="1">
      <c r="A89" s="1092" t="s">
        <v>431</v>
      </c>
      <c r="B89" s="1117" t="s">
        <v>775</v>
      </c>
      <c r="C89" s="269">
        <v>6.024</v>
      </c>
      <c r="D89" s="1084"/>
      <c r="E89" s="247">
        <v>7.0000000000000007E-2</v>
      </c>
      <c r="F89" s="1076"/>
      <c r="G89" s="268">
        <v>1.4E-2</v>
      </c>
      <c r="H89" s="154"/>
      <c r="I89" s="1131"/>
      <c r="J89" s="1512"/>
      <c r="K89" s="1132"/>
      <c r="L89" s="1132"/>
      <c r="M89" s="2324">
        <f>(C89-E89)*1000000/$J$86</f>
        <v>0.99708811418718735</v>
      </c>
      <c r="N89" s="2209"/>
      <c r="O89" s="2209"/>
      <c r="P89" s="2209"/>
      <c r="Q89" s="2330" t="s">
        <v>905</v>
      </c>
      <c r="R89" s="2209"/>
      <c r="S89" s="2209"/>
      <c r="T89" s="2209"/>
      <c r="U89" s="2209"/>
      <c r="V89" s="2209"/>
      <c r="W89" s="2209"/>
      <c r="X89" s="2209"/>
      <c r="Y89" s="2209"/>
      <c r="Z89" s="2209"/>
    </row>
    <row r="90" spans="1:26" ht="12.75" customHeight="1">
      <c r="A90" s="1092" t="s">
        <v>432</v>
      </c>
      <c r="B90" s="1109" t="s">
        <v>550</v>
      </c>
      <c r="C90" s="269">
        <v>142.495</v>
      </c>
      <c r="D90" s="1084"/>
      <c r="E90" s="247">
        <v>1.165</v>
      </c>
      <c r="F90" s="1076"/>
      <c r="G90" s="268">
        <v>1.6879999999999999</v>
      </c>
      <c r="H90" s="154"/>
      <c r="I90" s="2537" t="str">
        <f>IF(SUM(E91-G91+100)&lt;Motpart!AA22,"I Motparten är statsbidragen "&amp;""&amp;(Motpart!AA22)&amp;" tkr. Alla bidrag från staten o statliga myndigheter, inklusive de från Migrationsverket, ska ingå under Övrigt som extern intäkt. De externa intäkterna på Övrigt-raden är dock bara "&amp;""&amp;(ROUND(E91-G91,0))&amp;" tkr. ","")</f>
        <v/>
      </c>
      <c r="J90" s="1993"/>
      <c r="K90" s="1993"/>
      <c r="L90" s="2315"/>
      <c r="M90" s="2324">
        <f>(C90-E90)*1000000/$J$86</f>
        <v>23.667864154866507</v>
      </c>
      <c r="N90" s="2209"/>
      <c r="O90" s="2209"/>
      <c r="P90" s="2209"/>
      <c r="Q90" s="2330" t="s">
        <v>906</v>
      </c>
      <c r="R90" s="2209"/>
      <c r="S90" s="2209"/>
      <c r="T90" s="2209"/>
      <c r="U90" s="2209"/>
      <c r="V90" s="2209"/>
      <c r="W90" s="2209"/>
      <c r="X90" s="2209"/>
      <c r="Y90" s="2209"/>
      <c r="Z90" s="2209"/>
    </row>
    <row r="91" spans="1:26" ht="12.75" customHeight="1">
      <c r="A91" s="1092" t="s">
        <v>433</v>
      </c>
      <c r="B91" s="1107" t="s">
        <v>464</v>
      </c>
      <c r="C91" s="269">
        <v>287.82100000000003</v>
      </c>
      <c r="D91" s="1084"/>
      <c r="E91" s="247">
        <v>167.577</v>
      </c>
      <c r="F91" s="1076"/>
      <c r="G91" s="268">
        <v>77.328000000000003</v>
      </c>
      <c r="H91" s="154"/>
      <c r="I91" s="2536"/>
      <c r="J91" s="1993"/>
      <c r="K91" s="1993"/>
      <c r="L91" s="2315"/>
      <c r="M91" s="2324">
        <f>(C91+C92-G91)*1000000/J86</f>
        <v>42.129233605319236</v>
      </c>
      <c r="N91" s="2209"/>
      <c r="O91" s="2209"/>
      <c r="P91" s="2209"/>
      <c r="Q91" s="2330" t="s">
        <v>907</v>
      </c>
      <c r="R91" s="2209"/>
      <c r="S91" s="2209"/>
      <c r="T91" s="2209"/>
      <c r="U91" s="2209"/>
      <c r="V91" s="2209"/>
      <c r="W91" s="2209"/>
      <c r="X91" s="2209"/>
      <c r="Y91" s="2209"/>
      <c r="Z91" s="2209"/>
    </row>
    <row r="92" spans="1:26" ht="12.75" customHeight="1">
      <c r="A92" s="1092" t="s">
        <v>434</v>
      </c>
      <c r="B92" s="1121" t="s">
        <v>513</v>
      </c>
      <c r="C92" s="269">
        <v>41.076999999999998</v>
      </c>
      <c r="D92" s="1071"/>
      <c r="E92" s="1084"/>
      <c r="F92" s="1084"/>
      <c r="G92" s="1086"/>
      <c r="H92" s="154"/>
      <c r="I92" s="2536"/>
      <c r="J92" s="1993"/>
      <c r="K92" s="1993"/>
      <c r="L92" s="2315"/>
      <c r="M92" s="2327"/>
      <c r="N92" s="2209"/>
      <c r="O92" s="2209"/>
      <c r="P92" s="2209"/>
      <c r="Q92" s="2333"/>
      <c r="R92" s="2209"/>
      <c r="S92" s="2209"/>
      <c r="T92" s="2209"/>
      <c r="U92" s="2209"/>
      <c r="V92" s="2209"/>
      <c r="W92" s="2209"/>
      <c r="X92" s="2209"/>
      <c r="Y92" s="2209"/>
      <c r="Z92" s="2209"/>
    </row>
    <row r="93" spans="1:26" ht="12.75" customHeight="1">
      <c r="A93" s="1092"/>
      <c r="B93" s="1121" t="s">
        <v>130</v>
      </c>
      <c r="C93" s="1263">
        <f>(C86-SUM(C87:C92)-D86)*-1</f>
        <v>9.999999998626663E-4</v>
      </c>
      <c r="D93" s="1088"/>
      <c r="E93" s="1264">
        <f>(E86-SUM(E87:E91)-F86-SUM(Motpart!D22+Motpart!E22+Motpart!F22+Motpart!J22)*0.06)*-1</f>
        <v>-5.800000000242278E-4</v>
      </c>
      <c r="F93" s="1088"/>
      <c r="G93" s="1265">
        <f>(G86-SUM(G87:G91))*-1</f>
        <v>0</v>
      </c>
      <c r="H93" s="152"/>
      <c r="I93" s="2536"/>
      <c r="J93" s="1993"/>
      <c r="K93" s="1993"/>
      <c r="L93" s="2315"/>
      <c r="M93" s="2327"/>
      <c r="N93" s="2209"/>
      <c r="O93" s="2209"/>
      <c r="P93" s="2209"/>
      <c r="Q93" s="2330" t="s">
        <v>519</v>
      </c>
      <c r="R93" s="2209"/>
      <c r="S93" s="2209"/>
      <c r="T93" s="2209"/>
      <c r="U93" s="2209"/>
      <c r="V93" s="2209"/>
      <c r="W93" s="2209"/>
      <c r="X93" s="2209"/>
      <c r="Y93" s="2209"/>
      <c r="Z93" s="2209"/>
    </row>
    <row r="94" spans="1:26" ht="16.5" customHeight="1" thickBot="1">
      <c r="A94" s="1113"/>
      <c r="B94" s="1114"/>
      <c r="C94" s="1843" t="str">
        <f>IF(ABS(C93)&lt;100,"",IF(C86=0,"C86",IF(ABS(C93/C86)&gt;0.01,"C93")))</f>
        <v/>
      </c>
      <c r="D94" s="1844"/>
      <c r="E94" s="1844" t="str">
        <f>IF(ABS(E93)&lt;100,"",IF(E86=0,"E86",IF(ABS(E93/E86)&gt;0.01,"E93")))</f>
        <v/>
      </c>
      <c r="F94" s="1844"/>
      <c r="G94" s="1845" t="str">
        <f>IF(ABS(G93)&lt;100,"",IF(G86=0,"G86",IF(ABS(G93/G86)&gt;0.01,"G93")))</f>
        <v/>
      </c>
      <c r="H94" s="168"/>
      <c r="I94" s="2538"/>
      <c r="J94" s="2001"/>
      <c r="K94" s="2001"/>
      <c r="L94" s="2001"/>
      <c r="M94" s="2328"/>
      <c r="N94" s="2209"/>
      <c r="O94" s="2209"/>
      <c r="P94" s="2209"/>
      <c r="Q94" s="2332"/>
      <c r="R94" s="2209"/>
      <c r="S94" s="2209"/>
      <c r="T94" s="2209"/>
      <c r="U94" s="2209"/>
      <c r="V94" s="2209"/>
      <c r="W94" s="2209"/>
      <c r="X94" s="2209"/>
      <c r="Y94" s="2209"/>
      <c r="Z94" s="2209"/>
    </row>
    <row r="95" spans="1:26" ht="12.75" customHeight="1">
      <c r="A95" s="1097" t="s">
        <v>435</v>
      </c>
      <c r="B95" s="1106" t="s">
        <v>560</v>
      </c>
      <c r="C95" s="81">
        <f>Drift!P61</f>
        <v>5498.9009999999989</v>
      </c>
      <c r="D95" s="1089">
        <f>SUM(Motpart!D23:L23)</f>
        <v>2074.7439999999997</v>
      </c>
      <c r="E95" s="164">
        <f>Drift!W61</f>
        <v>2529.645</v>
      </c>
      <c r="F95" s="82">
        <f>Motpart!Y23</f>
        <v>416.87099999999998</v>
      </c>
      <c r="G95" s="131">
        <f>Drift!V61</f>
        <v>319.44200000000001</v>
      </c>
      <c r="H95" s="155"/>
      <c r="I95" s="1128" t="s">
        <v>551</v>
      </c>
      <c r="J95" s="1508">
        <v>5971388</v>
      </c>
      <c r="K95" s="1129"/>
      <c r="L95" s="1129"/>
      <c r="M95" s="2326">
        <f>SUM(M96:M100)</f>
        <v>507.87622576191666</v>
      </c>
      <c r="N95" s="2209"/>
      <c r="O95" s="2209"/>
      <c r="P95" s="2209"/>
      <c r="Q95" s="2330" t="s">
        <v>902</v>
      </c>
      <c r="R95" s="2209"/>
      <c r="S95" s="2209"/>
      <c r="T95" s="2209"/>
      <c r="U95" s="2209"/>
      <c r="V95" s="2209"/>
      <c r="W95" s="2209"/>
      <c r="X95" s="2209"/>
      <c r="Y95" s="2209"/>
      <c r="Z95" s="2209"/>
    </row>
    <row r="96" spans="1:26" ht="12.75" customHeight="1">
      <c r="A96" s="1092" t="s">
        <v>436</v>
      </c>
      <c r="B96" s="1107" t="s">
        <v>514</v>
      </c>
      <c r="C96" s="269">
        <v>1705.5409999999999</v>
      </c>
      <c r="D96" s="1084"/>
      <c r="E96" s="247">
        <v>140.304</v>
      </c>
      <c r="F96" s="1076"/>
      <c r="G96" s="268">
        <v>81.135000000000005</v>
      </c>
      <c r="H96" s="154"/>
      <c r="I96" s="1130"/>
      <c r="J96" s="1511"/>
      <c r="K96" s="1126"/>
      <c r="L96" s="1126"/>
      <c r="M96" s="2324">
        <f>(C96-E96)*1000000/$J$95</f>
        <v>262.12280963822815</v>
      </c>
      <c r="N96" s="2209"/>
      <c r="O96" s="2209"/>
      <c r="P96" s="2209"/>
      <c r="Q96" s="2330" t="s">
        <v>903</v>
      </c>
      <c r="R96" s="2209"/>
      <c r="S96" s="2209"/>
      <c r="T96" s="2209"/>
      <c r="U96" s="2209"/>
      <c r="V96" s="2209"/>
      <c r="W96" s="2209"/>
      <c r="X96" s="2209"/>
      <c r="Y96" s="2209"/>
      <c r="Z96" s="2209"/>
    </row>
    <row r="97" spans="1:26" ht="12.75" customHeight="1">
      <c r="A97" s="1092" t="s">
        <v>437</v>
      </c>
      <c r="B97" s="1107" t="s">
        <v>870</v>
      </c>
      <c r="C97" s="269">
        <v>124.265</v>
      </c>
      <c r="D97" s="1084"/>
      <c r="E97" s="247">
        <v>11.292</v>
      </c>
      <c r="F97" s="1076"/>
      <c r="G97" s="268">
        <v>3.1190000000000002</v>
      </c>
      <c r="H97" s="152"/>
      <c r="I97" s="1130"/>
      <c r="J97" s="1511"/>
      <c r="K97" s="1126"/>
      <c r="L97" s="1126"/>
      <c r="M97" s="2324">
        <f>(C97-E97)*1000000/$J$95</f>
        <v>18.919051985903444</v>
      </c>
      <c r="N97" s="2209"/>
      <c r="O97" s="2209"/>
      <c r="P97" s="2209"/>
      <c r="Q97" s="2330" t="s">
        <v>904</v>
      </c>
      <c r="R97" s="2209"/>
      <c r="S97" s="2209"/>
      <c r="T97" s="2209"/>
      <c r="U97" s="2209"/>
      <c r="V97" s="2209"/>
      <c r="W97" s="2209"/>
      <c r="X97" s="2209"/>
      <c r="Y97" s="2209"/>
      <c r="Z97" s="2209"/>
    </row>
    <row r="98" spans="1:26" ht="14.25" customHeight="1">
      <c r="A98" s="1092" t="s">
        <v>438</v>
      </c>
      <c r="B98" s="1108" t="s">
        <v>775</v>
      </c>
      <c r="C98" s="269">
        <v>9.0690000000000008</v>
      </c>
      <c r="D98" s="1084"/>
      <c r="E98" s="247">
        <v>0.41</v>
      </c>
      <c r="F98" s="1076"/>
      <c r="G98" s="268">
        <v>2.3E-2</v>
      </c>
      <c r="H98" s="150"/>
      <c r="I98" s="1131"/>
      <c r="J98" s="1512"/>
      <c r="K98" s="1132"/>
      <c r="L98" s="1132"/>
      <c r="M98" s="2324">
        <f>(C98-E98)*1000000/$J$95</f>
        <v>1.4500816225641342</v>
      </c>
      <c r="N98" s="2209"/>
      <c r="O98" s="2209"/>
      <c r="P98" s="2209"/>
      <c r="Q98" s="2330" t="s">
        <v>905</v>
      </c>
      <c r="R98" s="2209"/>
      <c r="S98" s="2209"/>
      <c r="T98" s="2209"/>
      <c r="U98" s="2209"/>
      <c r="V98" s="2209"/>
      <c r="W98" s="2209"/>
      <c r="X98" s="2209"/>
      <c r="Y98" s="2209"/>
      <c r="Z98" s="2209"/>
    </row>
    <row r="99" spans="1:26" ht="15" customHeight="1">
      <c r="A99" s="1092" t="s">
        <v>439</v>
      </c>
      <c r="B99" s="1109" t="s">
        <v>550</v>
      </c>
      <c r="C99" s="269">
        <v>394.57100000000003</v>
      </c>
      <c r="D99" s="1084"/>
      <c r="E99" s="247">
        <v>17.971</v>
      </c>
      <c r="F99" s="1076"/>
      <c r="G99" s="268">
        <v>13.707000000000001</v>
      </c>
      <c r="H99" s="154"/>
      <c r="I99" s="2529" t="str">
        <f>IF(SUM(E100-G100+100)&lt;Motpart!AA23,"I Motparten är statsbidragen "&amp;""&amp;(Motpart!AA23)&amp;" tkr. Alla bidrag från staten o statliga myndigheter, inklusive de från Migrationsverket, ska ingå under Övrigt som extern intäkt. De externa intäkterna på Övrigt-raden är dock bara "&amp;""&amp;(ROUND(E100-G100,0))&amp;" tkr. ","")</f>
        <v/>
      </c>
      <c r="J99" s="2002"/>
      <c r="K99" s="2002"/>
      <c r="L99" s="2316"/>
      <c r="M99" s="2324">
        <f>(C99-E99)*1000000/$J$95</f>
        <v>63.067414142239627</v>
      </c>
      <c r="N99" s="2209"/>
      <c r="O99" s="2209"/>
      <c r="P99" s="2209"/>
      <c r="Q99" s="2330" t="s">
        <v>906</v>
      </c>
      <c r="R99" s="2209"/>
      <c r="S99" s="2209"/>
      <c r="T99" s="2209"/>
      <c r="U99" s="2209"/>
      <c r="V99" s="2209"/>
      <c r="W99" s="2209"/>
      <c r="X99" s="2209"/>
      <c r="Y99" s="2209"/>
      <c r="Z99" s="2209"/>
    </row>
    <row r="100" spans="1:26" ht="12.75" customHeight="1">
      <c r="A100" s="1092" t="s">
        <v>440</v>
      </c>
      <c r="B100" s="1107" t="s">
        <v>464</v>
      </c>
      <c r="C100" s="269">
        <v>1079.97</v>
      </c>
      <c r="D100" s="1084"/>
      <c r="E100" s="247">
        <v>1856.702</v>
      </c>
      <c r="F100" s="1076"/>
      <c r="G100" s="268">
        <v>221.459</v>
      </c>
      <c r="H100" s="152"/>
      <c r="I100" s="2530"/>
      <c r="J100" s="2002"/>
      <c r="K100" s="2002"/>
      <c r="L100" s="2316"/>
      <c r="M100" s="2324">
        <f>(C100+C101-G100)*1000000/J95</f>
        <v>162.3168683729813</v>
      </c>
      <c r="N100" s="2209"/>
      <c r="O100" s="2209"/>
      <c r="P100" s="2209"/>
      <c r="Q100" s="2330" t="s">
        <v>907</v>
      </c>
      <c r="R100" s="2209"/>
      <c r="S100" s="2209"/>
      <c r="T100" s="2209"/>
      <c r="U100" s="2209"/>
      <c r="V100" s="2209"/>
      <c r="W100" s="2209"/>
      <c r="X100" s="2209"/>
      <c r="Y100" s="2209"/>
      <c r="Z100" s="2209"/>
    </row>
    <row r="101" spans="1:26" ht="19.5" customHeight="1">
      <c r="A101" s="1092" t="s">
        <v>441</v>
      </c>
      <c r="B101" s="1107" t="s">
        <v>513</v>
      </c>
      <c r="C101" s="269">
        <v>110.746</v>
      </c>
      <c r="D101" s="1071"/>
      <c r="E101" s="1084"/>
      <c r="F101" s="1084"/>
      <c r="G101" s="1086"/>
      <c r="H101" s="152"/>
      <c r="I101" s="2530"/>
      <c r="J101" s="2002"/>
      <c r="K101" s="2002"/>
      <c r="L101" s="2316"/>
      <c r="M101" s="2327">
        <f>(((M95*J95/1000000)+D95-F95+((M86*J86/1000000)+D86-F86)))/(J86)*1000000</f>
        <v>1035.0114579725853</v>
      </c>
      <c r="N101" s="2209"/>
      <c r="O101" s="2209"/>
      <c r="P101" s="2209"/>
      <c r="Q101" s="2330" t="s">
        <v>908</v>
      </c>
      <c r="R101" s="2209"/>
      <c r="S101" s="2209"/>
      <c r="T101" s="2209"/>
      <c r="U101" s="2209"/>
      <c r="V101" s="2209"/>
      <c r="W101" s="2209"/>
      <c r="X101" s="2209"/>
      <c r="Y101" s="2209"/>
      <c r="Z101" s="2209"/>
    </row>
    <row r="102" spans="1:26" ht="15" customHeight="1">
      <c r="A102" s="1831"/>
      <c r="B102" s="1832" t="s">
        <v>130</v>
      </c>
      <c r="C102" s="1833">
        <f>(C95-SUM(C96:C101)-D95)*-1</f>
        <v>5.0000000010186341E-3</v>
      </c>
      <c r="D102" s="1072"/>
      <c r="E102" s="1834">
        <f>(E95-SUM(E96:E100)-F95-SUM(Motpart!D23+Motpart!E23+Motpart!F23+Motpart!J23)*0.06)*-1</f>
        <v>4.3400000000843875E-3</v>
      </c>
      <c r="F102" s="1072"/>
      <c r="G102" s="1835">
        <f>(G95-SUM(G96:G100))*-1</f>
        <v>9.9999999997635314E-4</v>
      </c>
      <c r="H102" s="1330"/>
      <c r="I102" s="2530"/>
      <c r="J102" s="1993"/>
      <c r="K102" s="1993"/>
      <c r="L102" s="2315"/>
      <c r="M102" s="2327"/>
      <c r="N102" s="2209"/>
      <c r="O102" s="2209"/>
      <c r="P102" s="2209"/>
      <c r="Q102" s="2330" t="s">
        <v>520</v>
      </c>
      <c r="R102" s="2209"/>
      <c r="S102" s="2209"/>
      <c r="T102" s="2209"/>
      <c r="U102" s="2209"/>
      <c r="V102" s="2209"/>
      <c r="W102" s="2209"/>
      <c r="X102" s="2209"/>
      <c r="Y102" s="2209"/>
      <c r="Z102" s="2209"/>
    </row>
    <row r="103" spans="1:26" ht="12.75" customHeight="1" thickBot="1">
      <c r="A103" s="1836"/>
      <c r="B103" s="1837"/>
      <c r="C103" s="1839" t="str">
        <f>IF(ABS(C102)&lt;100,"",IF(C95=0,"C95",IF(ABS(C102/C95)&gt;0.01,"C102")))</f>
        <v/>
      </c>
      <c r="D103" s="1840"/>
      <c r="E103" s="1841" t="str">
        <f>IF(ABS(E102)&lt;100,"",IF(E95=0,"E95",IF(ABS(E102/E95)&gt;0.01,"E102")))</f>
        <v/>
      </c>
      <c r="F103" s="1840"/>
      <c r="G103" s="1842" t="str">
        <f>IF(ABS(G102)&lt;100,"",IF(G95=0,"G95",IF(ABS(G102/G95)&gt;0.01,"G102")))</f>
        <v/>
      </c>
      <c r="H103" s="1838"/>
      <c r="I103" s="1994"/>
      <c r="J103" s="1994"/>
      <c r="K103" s="1994"/>
      <c r="L103" s="1994"/>
      <c r="M103" s="2329"/>
      <c r="N103" s="2209"/>
      <c r="O103" s="2209"/>
      <c r="P103" s="2209"/>
      <c r="Q103" s="2334"/>
      <c r="R103" s="2209"/>
      <c r="S103" s="2209"/>
      <c r="T103" s="2209"/>
      <c r="U103" s="2209"/>
      <c r="V103" s="2209"/>
      <c r="W103" s="2209"/>
      <c r="X103" s="2209"/>
      <c r="Y103" s="2209"/>
      <c r="Z103" s="2209"/>
    </row>
    <row r="104" spans="1:26" ht="13.5" thickTop="1">
      <c r="A104" s="143"/>
      <c r="B104" s="259"/>
      <c r="C104" s="260"/>
      <c r="D104" s="260"/>
      <c r="E104" s="260"/>
      <c r="F104" s="260"/>
      <c r="G104" s="260"/>
      <c r="H104" s="261"/>
      <c r="I104" s="260"/>
      <c r="J104" s="260"/>
      <c r="K104" s="260"/>
      <c r="L104" s="220"/>
      <c r="M104" s="262"/>
      <c r="N104" s="262"/>
      <c r="O104" s="262"/>
      <c r="P104" s="263"/>
      <c r="Q104" s="264"/>
      <c r="R104" s="2209"/>
      <c r="S104" s="2209"/>
      <c r="T104" s="2209"/>
      <c r="U104" s="2209"/>
      <c r="V104" s="2209"/>
      <c r="W104" s="2209"/>
      <c r="X104" s="2209"/>
      <c r="Y104" s="2209"/>
      <c r="Z104" s="2209"/>
    </row>
  </sheetData>
  <sheetProtection algorithmName="SHA-512" hashValue="A1hXYZ1mZBbqpoyzNr5d8GZL/ThAGjAYYqfTyi3tPkf8U8kG8BV76wYKgfj/auTXQ1X1dc2JxMoRtNCmG0BhBw==" saltValue="h+DWhTsSgUxY50YolWwiqA==" spinCount="100000" sheet="1" objects="1" scenarios="1"/>
  <customSheetViews>
    <customSheetView guid="{27C9E95B-0E2B-454F-B637-1CECC9579A10}" showGridLines="0" hiddenRows="1" hiddenColumns="1" showRuler="0">
      <pane ySplit="7" topLeftCell="A8" activePane="bottomLeft" state="frozen"/>
      <selection pane="bottomLeft" activeCell="G72" sqref="G72"/>
      <pageMargins left="0.70866141732283472" right="0.70866141732283472" top="0.74803149606299213" bottom="0.74803149606299213" header="0.31496062992125984" footer="0.31496062992125984"/>
      <pageSetup paperSize="9" scale="96" orientation="landscape" r:id="rId1"/>
      <headerFooter alignWithMargins="0"/>
    </customSheetView>
    <customSheetView guid="{99FBDEB7-DD08-4F57-81F4-3C180403E153}" showGridLines="0" hiddenRows="1">
      <pane ySplit="7" topLeftCell="A9" activePane="bottomLeft" state="frozen"/>
      <selection pane="bottomLeft" activeCell="H2" sqref="H2"/>
      <pageMargins left="0.70866141732283472" right="0.70866141732283472" top="0.74803149606299213" bottom="0.74803149606299213" header="0.31496062992125984" footer="0.31496062992125984"/>
      <pageSetup paperSize="9" scale="96" orientation="landscape" r:id="rId2"/>
    </customSheetView>
    <customSheetView guid="{97D6DB71-3F4C-4C5F-8C5B-51E3EBF78932}" showPageBreaks="1" showGridLines="0" hiddenRows="1">
      <pane ySplit="7" topLeftCell="A8" activePane="bottomLeft" state="frozen"/>
      <selection pane="bottomLeft" activeCell="E93" sqref="E93"/>
      <pageMargins left="0.70866141732283472" right="0.70866141732283472" top="0.74803149606299213" bottom="0.74803149606299213" header="0.31496062992125984" footer="0.31496062992125984"/>
      <pageSetup paperSize="9" scale="96" orientation="landscape" r:id="rId3"/>
    </customSheetView>
  </customSheetViews>
  <mergeCells count="13">
    <mergeCell ref="I99:I102"/>
    <mergeCell ref="I38:I42"/>
    <mergeCell ref="I51:I55"/>
    <mergeCell ref="I65:I69"/>
    <mergeCell ref="I79:I83"/>
    <mergeCell ref="I90:I94"/>
    <mergeCell ref="IV6:IV7"/>
    <mergeCell ref="Q4:Q7"/>
    <mergeCell ref="M4:M6"/>
    <mergeCell ref="D5:D7"/>
    <mergeCell ref="F5:F7"/>
    <mergeCell ref="G5:G7"/>
    <mergeCell ref="I4:L5"/>
  </mergeCells>
  <phoneticPr fontId="87" type="noConversion"/>
  <conditionalFormatting sqref="G11 G19 G27 G32:G38 G45:G51 G59:G65">
    <cfRule type="expression" dxfId="62" priority="81" stopIfTrue="1">
      <formula>G11&gt;E11</formula>
    </cfRule>
  </conditionalFormatting>
  <conditionalFormatting sqref="G46:G51">
    <cfRule type="expression" dxfId="61" priority="70" stopIfTrue="1">
      <formula>G46&gt;E46</formula>
    </cfRule>
  </conditionalFormatting>
  <conditionalFormatting sqref="E53">
    <cfRule type="expression" dxfId="60" priority="39" stopIfTrue="1">
      <formula>ABS(E53/E43)&gt;0.03</formula>
    </cfRule>
  </conditionalFormatting>
  <conditionalFormatting sqref="G27">
    <cfRule type="expression" dxfId="59" priority="11" stopIfTrue="1">
      <formula>G27&gt;G24</formula>
    </cfRule>
    <cfRule type="expression" dxfId="58" priority="45" stopIfTrue="1">
      <formula>G27&gt;E27</formula>
    </cfRule>
  </conditionalFormatting>
  <conditionalFormatting sqref="G19">
    <cfRule type="expression" dxfId="57" priority="19" stopIfTrue="1">
      <formula>G19&gt;G16</formula>
    </cfRule>
    <cfRule type="expression" dxfId="56" priority="44" stopIfTrue="1">
      <formula>G19&gt;E19</formula>
    </cfRule>
  </conditionalFormatting>
  <conditionalFormatting sqref="C40">
    <cfRule type="expression" dxfId="55" priority="42" stopIfTrue="1">
      <formula>ABS(C40/C31)&gt;0.03</formula>
    </cfRule>
  </conditionalFormatting>
  <conditionalFormatting sqref="E40">
    <cfRule type="expression" dxfId="54" priority="41" stopIfTrue="1">
      <formula>ABS(E40/E31)&gt;0.03</formula>
    </cfRule>
  </conditionalFormatting>
  <conditionalFormatting sqref="G40">
    <cfRule type="expression" dxfId="53" priority="40" stopIfTrue="1">
      <formula>ABS(G40/G31)&gt;0.03</formula>
    </cfRule>
  </conditionalFormatting>
  <conditionalFormatting sqref="G53">
    <cfRule type="expression" dxfId="52" priority="38" stopIfTrue="1">
      <formula>ABS(G53/G43)&gt;0.03</formula>
    </cfRule>
  </conditionalFormatting>
  <conditionalFormatting sqref="C53">
    <cfRule type="expression" dxfId="51" priority="37" stopIfTrue="1">
      <formula>ABS(C53/C44)&gt;0.03</formula>
    </cfRule>
  </conditionalFormatting>
  <conditionalFormatting sqref="C67">
    <cfRule type="expression" dxfId="50" priority="36" stopIfTrue="1">
      <formula>ABS(C67/C57)&gt;0.03</formula>
    </cfRule>
  </conditionalFormatting>
  <conditionalFormatting sqref="E67">
    <cfRule type="expression" dxfId="49" priority="35" stopIfTrue="1">
      <formula>ABS(E67/E57)&gt;0.03</formula>
    </cfRule>
  </conditionalFormatting>
  <conditionalFormatting sqref="G67">
    <cfRule type="expression" dxfId="48" priority="34" stopIfTrue="1">
      <formula>ABS(G67/G57)&gt;0.03</formula>
    </cfRule>
  </conditionalFormatting>
  <conditionalFormatting sqref="C81">
    <cfRule type="expression" dxfId="47" priority="33" stopIfTrue="1">
      <formula>ABS(C81/C71)&gt;0.03</formula>
    </cfRule>
  </conditionalFormatting>
  <conditionalFormatting sqref="E81">
    <cfRule type="expression" dxfId="46" priority="32" stopIfTrue="1">
      <formula>ABS(E81/E71)&gt;0.03</formula>
    </cfRule>
  </conditionalFormatting>
  <conditionalFormatting sqref="G81">
    <cfRule type="expression" dxfId="45" priority="31" stopIfTrue="1">
      <formula>ABS(G81/G71)&gt;0.03</formula>
    </cfRule>
  </conditionalFormatting>
  <conditionalFormatting sqref="C93">
    <cfRule type="expression" dxfId="44" priority="30" stopIfTrue="1">
      <formula>ABS(C93/C85)&gt;0.03</formula>
    </cfRule>
  </conditionalFormatting>
  <conditionalFormatting sqref="E93">
    <cfRule type="expression" dxfId="43" priority="29" stopIfTrue="1">
      <formula>ABS(E93/E85)&gt;0.03</formula>
    </cfRule>
  </conditionalFormatting>
  <conditionalFormatting sqref="G93">
    <cfRule type="expression" dxfId="42" priority="28" stopIfTrue="1">
      <formula>ABS(G93/G85)&gt;0.03</formula>
    </cfRule>
  </conditionalFormatting>
  <conditionalFormatting sqref="C102:C103">
    <cfRule type="expression" dxfId="41" priority="27" stopIfTrue="1">
      <formula>ABS(C102/C94)&gt;0.03</formula>
    </cfRule>
  </conditionalFormatting>
  <conditionalFormatting sqref="E102:E103">
    <cfRule type="expression" dxfId="40" priority="26" stopIfTrue="1">
      <formula>ABS(E102/E94)&gt;0.03</formula>
    </cfRule>
  </conditionalFormatting>
  <conditionalFormatting sqref="G102:G103">
    <cfRule type="expression" dxfId="39" priority="25" stopIfTrue="1">
      <formula>ABS(G102/G94)&gt;0.03</formula>
    </cfRule>
  </conditionalFormatting>
  <conditionalFormatting sqref="C11 E11 E13 G11 G19 E21 E19 C19 C27 E27 G27 C32:C39 E32:E38 G32:G38 C45:C52 E45:E51 G45:G51 C59:C66 E59:E65 G59:G65 C73:C80 E73:E79 G73:G79 C87:C92 E87:E91 C96:C101 E96:E100 G96:G100 G87:G91">
    <cfRule type="cellIs" dxfId="38" priority="23" stopIfTrue="1" operator="lessThan">
      <formula>-500</formula>
    </cfRule>
  </conditionalFormatting>
  <conditionalFormatting sqref="C19">
    <cfRule type="expression" dxfId="37" priority="21" stopIfTrue="1">
      <formula>C19&gt;C16</formula>
    </cfRule>
  </conditionalFormatting>
  <conditionalFormatting sqref="E19">
    <cfRule type="expression" dxfId="36" priority="20" stopIfTrue="1">
      <formula>E19&gt;E16</formula>
    </cfRule>
  </conditionalFormatting>
  <conditionalFormatting sqref="C11">
    <cfRule type="expression" dxfId="35" priority="18" stopIfTrue="1">
      <formula>C11&gt;C8</formula>
    </cfRule>
  </conditionalFormatting>
  <conditionalFormatting sqref="E11">
    <cfRule type="expression" dxfId="34" priority="17" stopIfTrue="1">
      <formula>E11&gt;E8</formula>
    </cfRule>
  </conditionalFormatting>
  <conditionalFormatting sqref="G11">
    <cfRule type="expression" dxfId="33" priority="16" stopIfTrue="1">
      <formula>G11&gt;G8</formula>
    </cfRule>
  </conditionalFormatting>
  <conditionalFormatting sqref="E13">
    <cfRule type="expression" dxfId="32" priority="15" stopIfTrue="1">
      <formula>E13&gt;E12</formula>
    </cfRule>
  </conditionalFormatting>
  <conditionalFormatting sqref="E21">
    <cfRule type="expression" dxfId="31" priority="14" stopIfTrue="1">
      <formula>E21&gt;E20</formula>
    </cfRule>
  </conditionalFormatting>
  <conditionalFormatting sqref="C27">
    <cfRule type="expression" dxfId="30" priority="13" stopIfTrue="1">
      <formula>C27&gt;C24</formula>
    </cfRule>
  </conditionalFormatting>
  <conditionalFormatting sqref="E27">
    <cfRule type="expression" dxfId="29" priority="12" stopIfTrue="1">
      <formula>E27&gt;E24</formula>
    </cfRule>
  </conditionalFormatting>
  <dataValidations count="2">
    <dataValidation type="decimal" operator="lessThan" allowBlank="1" showInputMessage="1" showErrorMessage="1" error="Beloppen ska vara i 1000 tal kronor" sqref="C65489:C65490 G65517:K65517 L65533 C65480:C65482 C65464:C65465 E65464:F65465 E65472:F65473 C65472:C65473 E65480:F65482 E65489:F65490">
      <formula1>99999999</formula1>
    </dataValidation>
    <dataValidation type="decimal" operator="lessThan" allowBlank="1" showInputMessage="1" showErrorMessage="1" error="Beloppet ska vara i 1000 tal kronor" sqref="C11 G96:G100 E96:E100 E11 G87:G91 E87:E91 C87:C92 G73:G79 E73:E79 C73:C80 G59:G65 E59:E65 C59:C66 G45:G51 E45:E51 C45:C52 G32:G38 E32:E38 C32:C39 G27 E27 C27 C19 E21 E19 G19 G11 E13 C96:C101">
      <formula1>99999999</formula1>
    </dataValidation>
  </dataValidations>
  <pageMargins left="0.47" right="0.47" top="0.74803149606299213" bottom="0.74803149606299213" header="0.31" footer="0.31496062992125984"/>
  <pageSetup paperSize="9" scale="96" orientation="landscape"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28489C6D-3605-44EB-AF30-2D3BD554AD4E}">
            <xm:f>SUM(E51-G51+100)&lt;Motpart!AA19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I51:I55</xm:sqref>
        </x14:conditionalFormatting>
        <x14:conditionalFormatting xmlns:xm="http://schemas.microsoft.com/office/excel/2006/main">
          <x14:cfRule type="expression" priority="6" id="{468A7900-2D84-423B-9B3F-94D8EAA45899}">
            <xm:f>SUM(E65-G65+100)&lt;Motpart!AA20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I65:I69</xm:sqref>
        </x14:conditionalFormatting>
        <x14:conditionalFormatting xmlns:xm="http://schemas.microsoft.com/office/excel/2006/main">
          <x14:cfRule type="expression" priority="5" id="{4F84AA19-49AA-46E8-9ADE-79F22FCE6F07}">
            <xm:f>SUM(E79-G79+100)&lt;Motpart!AA21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I79:I83</xm:sqref>
        </x14:conditionalFormatting>
        <x14:conditionalFormatting xmlns:xm="http://schemas.microsoft.com/office/excel/2006/main">
          <x14:cfRule type="expression" priority="4" id="{FE6AF082-1113-4046-BE7C-F09FCD0440EC}">
            <xm:f>SUM(E91-G91+100)&lt;Motpart!AA22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I90:I94</xm:sqref>
        </x14:conditionalFormatting>
        <x14:conditionalFormatting xmlns:xm="http://schemas.microsoft.com/office/excel/2006/main">
          <x14:cfRule type="expression" priority="2" id="{AA617564-E5DF-4D7E-8EA7-BE3A8CD251A2}">
            <xm:f>SUM(E100-G100+100)&lt;Motpart!AA23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I99:I101</xm:sqref>
        </x14:conditionalFormatting>
        <x14:conditionalFormatting xmlns:xm="http://schemas.microsoft.com/office/excel/2006/main">
          <x14:cfRule type="expression" priority="1" id="{917F4404-C110-4D85-A7BD-AEA4F7FA6FA8}">
            <xm:f>SUM(E38-G38+100)&lt;Motpart!AA18</xm:f>
            <x14:dxf>
              <fill>
                <patternFill>
                  <bgColor theme="9" tint="0.59996337778862885"/>
                </patternFill>
              </fill>
            </x14:dxf>
          </x14:cfRule>
          <xm:sqref>I38:I42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Namngivna områden</vt:lpstr>
      </vt:variant>
      <vt:variant>
        <vt:i4>94</vt:i4>
      </vt:variant>
    </vt:vector>
  </HeadingPairs>
  <TitlesOfParts>
    <vt:vector size="105" baseType="lpstr">
      <vt:lpstr>Kn Information</vt:lpstr>
      <vt:lpstr>RR</vt:lpstr>
      <vt:lpstr>BR</vt:lpstr>
      <vt:lpstr>Verks int o kostn</vt:lpstr>
      <vt:lpstr>Skatter, bidrag o fin poster</vt:lpstr>
      <vt:lpstr>Investeringar</vt:lpstr>
      <vt:lpstr>Drift</vt:lpstr>
      <vt:lpstr>Motpart</vt:lpstr>
      <vt:lpstr>Pedagogisk verksamhet</vt:lpstr>
      <vt:lpstr>Äldre o personer funktionsn</vt:lpstr>
      <vt:lpstr>IFO</vt:lpstr>
      <vt:lpstr>'Skatter, bidrag o fin poster'!_GoBack</vt:lpstr>
      <vt:lpstr>Affärsverksamhet</vt:lpstr>
      <vt:lpstr>Balanskravsutredningen</vt:lpstr>
      <vt:lpstr>Barn_o_ungdomsvård</vt:lpstr>
      <vt:lpstr>Barnomsorg</vt:lpstr>
      <vt:lpstr>Bidrag_o_transfer.</vt:lpstr>
      <vt:lpstr>Block_1</vt:lpstr>
      <vt:lpstr>Block_2</vt:lpstr>
      <vt:lpstr>Block_3</vt:lpstr>
      <vt:lpstr>Block_6</vt:lpstr>
      <vt:lpstr>BR</vt:lpstr>
      <vt:lpstr>Drift</vt:lpstr>
      <vt:lpstr>EKchef</vt:lpstr>
      <vt:lpstr>Ekcheftel</vt:lpstr>
      <vt:lpstr>Epost1RS</vt:lpstr>
      <vt:lpstr>Epost2RS</vt:lpstr>
      <vt:lpstr>Epostaldre</vt:lpstr>
      <vt:lpstr>EpostAO</vt:lpstr>
      <vt:lpstr>EpostEkchef</vt:lpstr>
      <vt:lpstr>Epostforskola</vt:lpstr>
      <vt:lpstr>Epostgrund</vt:lpstr>
      <vt:lpstr>Epostgymn</vt:lpstr>
      <vt:lpstr>Eposthandik</vt:lpstr>
      <vt:lpstr>Epostifo</vt:lpstr>
      <vt:lpstr>EpostPV</vt:lpstr>
      <vt:lpstr>epostpvchef</vt:lpstr>
      <vt:lpstr>epostvochef</vt:lpstr>
      <vt:lpstr>Epostvux</vt:lpstr>
      <vt:lpstr>Extraordinära_RR</vt:lpstr>
      <vt:lpstr>Familjerätt</vt:lpstr>
      <vt:lpstr>Fritidshem</vt:lpstr>
      <vt:lpstr>Funktionsnedsättning</vt:lpstr>
      <vt:lpstr>Förskola</vt:lpstr>
      <vt:lpstr>Förskoleklass</vt:lpstr>
      <vt:lpstr>Förändring_anläggningstillgångar</vt:lpstr>
      <vt:lpstr>Grundskola</vt:lpstr>
      <vt:lpstr>Grundsärskola</vt:lpstr>
      <vt:lpstr>Grundvux</vt:lpstr>
      <vt:lpstr>Gymnasieskola</vt:lpstr>
      <vt:lpstr>Gymnasiesärskola</vt:lpstr>
      <vt:lpstr>Gymnvux</vt:lpstr>
      <vt:lpstr>inv7_15</vt:lpstr>
      <vt:lpstr>invanare</vt:lpstr>
      <vt:lpstr>Investeringar</vt:lpstr>
      <vt:lpstr>Invånare</vt:lpstr>
      <vt:lpstr>Jämförelsestörande_RR</vt:lpstr>
      <vt:lpstr>Kontaktpers1RS</vt:lpstr>
      <vt:lpstr>Kontaktpers2RS</vt:lpstr>
      <vt:lpstr>Kontaktpersaldre</vt:lpstr>
      <vt:lpstr>KontaktpersAO</vt:lpstr>
      <vt:lpstr>Kontaktpersforskola</vt:lpstr>
      <vt:lpstr>Kontaktpersgrund</vt:lpstr>
      <vt:lpstr>Kontaktpersgymn</vt:lpstr>
      <vt:lpstr>Kontaktpershandik</vt:lpstr>
      <vt:lpstr>Kontaktpersifo</vt:lpstr>
      <vt:lpstr>KontaktpersPV</vt:lpstr>
      <vt:lpstr>Kontaktpersvux</vt:lpstr>
      <vt:lpstr>Kontakttel1RS</vt:lpstr>
      <vt:lpstr>Kontakttel2RS</vt:lpstr>
      <vt:lpstr>Kontakttelaldre</vt:lpstr>
      <vt:lpstr>KontakttelAO</vt:lpstr>
      <vt:lpstr>Kontakttelforskola</vt:lpstr>
      <vt:lpstr>Kontakttelgrund</vt:lpstr>
      <vt:lpstr>Kontakttelgymn</vt:lpstr>
      <vt:lpstr>Kontakttelhandik</vt:lpstr>
      <vt:lpstr>Kontakttelifo</vt:lpstr>
      <vt:lpstr>Kontakttelpv</vt:lpstr>
      <vt:lpstr>Kontakttelpvchef</vt:lpstr>
      <vt:lpstr>Kontakttelvux</vt:lpstr>
      <vt:lpstr>Kontakttevochef</vt:lpstr>
      <vt:lpstr>Köp_huvudvht</vt:lpstr>
      <vt:lpstr>LSS</vt:lpstr>
      <vt:lpstr>Pvchef</vt:lpstr>
      <vt:lpstr>Skatter_bidrag_finpost</vt:lpstr>
      <vt:lpstr>Spec_intäkter</vt:lpstr>
      <vt:lpstr>Spec_VoO</vt:lpstr>
      <vt:lpstr>Tillägg_1_Invest</vt:lpstr>
      <vt:lpstr>Tillägg_2_Invest</vt:lpstr>
      <vt:lpstr>Utbildning</vt:lpstr>
      <vt:lpstr>Drift!Utskriftsområde</vt:lpstr>
      <vt:lpstr>Investeringar!Utskriftsområde</vt:lpstr>
      <vt:lpstr>'Kn Information'!Utskriftsområde</vt:lpstr>
      <vt:lpstr>Motpart!Utskriftsområde</vt:lpstr>
      <vt:lpstr>RR!Utskriftsområde</vt:lpstr>
      <vt:lpstr>'Äldre o personer funktionsn'!Utskriftsområde</vt:lpstr>
      <vt:lpstr>Drift!Utskriftsrubriker</vt:lpstr>
      <vt:lpstr>Motpart!Utskriftsrubriker</vt:lpstr>
      <vt:lpstr>Vht_int</vt:lpstr>
      <vt:lpstr>Vht_kostn</vt:lpstr>
      <vt:lpstr>VOchef</vt:lpstr>
      <vt:lpstr>Vuxna_missb.</vt:lpstr>
      <vt:lpstr>ÄF_inkl_IFO</vt:lpstr>
      <vt:lpstr>Äldre</vt:lpstr>
      <vt:lpstr>Övr._o_ek.bistånd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Wizell</dc:creator>
  <cp:lastModifiedBy>Glanzelius Marie NR/OEM-Ö</cp:lastModifiedBy>
  <cp:lastPrinted>2017-01-24T13:58:32Z</cp:lastPrinted>
  <dcterms:created xsi:type="dcterms:W3CDTF">2008-10-17T09:37:32Z</dcterms:created>
  <dcterms:modified xsi:type="dcterms:W3CDTF">2020-08-27T08:56:51Z</dcterms:modified>
</cp:coreProperties>
</file>